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drawings/drawing3.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worksheets/sheet5.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6.xml" ContentType="application/vnd.openxmlformats-officedocument.spreadsheetml.worksheet+xml"/>
  <Override PartName="/xl/worksheets/sheet26.xml" ContentType="application/vnd.openxmlformats-officedocument.spreadsheetml.worksheet+xml"/>
  <Override PartName="/xl/worksheets/sheet28.xml" ContentType="application/vnd.openxmlformats-officedocument.spreadsheetml.worksheet+xml"/>
  <Override PartName="/xl/worksheets/sheet27.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5.xml" ContentType="application/vnd.openxmlformats-officedocument.spreadsheetml.worksheet+xml"/>
  <Override PartName="/xl/worksheets/sheet29.xml" ContentType="application/vnd.openxmlformats-officedocument.spreadsheetml.worksheet+xml"/>
  <Override PartName="/xl/worksheets/sheet36.xml" ContentType="application/vnd.openxmlformats-officedocument.spreadsheetml.worksheet+xml"/>
  <Override PartName="/xl/worksheets/sheet31.xml" ContentType="application/vnd.openxmlformats-officedocument.spreadsheetml.worksheet+xml"/>
  <Override PartName="/xl/worksheets/sheet30.xml" ContentType="application/vnd.openxmlformats-officedocument.spreadsheetml.worksheet+xml"/>
  <Override PartName="/xl/worksheets/sheet33.xml" ContentType="application/vnd.openxmlformats-officedocument.spreadsheetml.worksheet+xml"/>
  <Override PartName="/xl/worksheets/sheet32.xml" ContentType="application/vnd.openxmlformats-officedocument.spreadsheetml.worksheet+xml"/>
  <Override PartName="/xl/worksheets/sheet3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17.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40.xml" ContentType="application/vnd.openxmlformats-officedocument.spreadsheetml.externalLink+xml"/>
  <Override PartName="/xl/externalLinks/externalLink39.xml" ContentType="application/vnd.openxmlformats-officedocument.spreadsheetml.externalLink+xml"/>
  <Override PartName="/xl/externalLinks/externalLink38.xml" ContentType="application/vnd.openxmlformats-officedocument.spreadsheetml.externalLink+xml"/>
  <Override PartName="/xl/externalLinks/externalLink37.xml" ContentType="application/vnd.openxmlformats-officedocument.spreadsheetml.externalLink+xml"/>
  <Override PartName="/xl/externalLinks/externalLink36.xml" ContentType="application/vnd.openxmlformats-officedocument.spreadsheetml.externalLink+xml"/>
  <Override PartName="/xl/externalLinks/externalLink25.xml" ContentType="application/vnd.openxmlformats-officedocument.spreadsheetml.externalLink+xml"/>
  <Override PartName="/xl/externalLinks/externalLink24.xml" ContentType="application/vnd.openxmlformats-officedocument.spreadsheetml.externalLink+xml"/>
  <Override PartName="/xl/externalLinks/externalLink23.xml" ContentType="application/vnd.openxmlformats-officedocument.spreadsheetml.externalLink+xml"/>
  <Override PartName="/xl/externalLinks/externalLink22.xml" ContentType="application/vnd.openxmlformats-officedocument.spreadsheetml.externalLink+xml"/>
  <Override PartName="/xl/externalLinks/externalLink21.xml" ContentType="application/vnd.openxmlformats-officedocument.spreadsheetml.externalLink+xml"/>
  <Override PartName="/xl/externalLinks/externalLink20.xml" ContentType="application/vnd.openxmlformats-officedocument.spreadsheetml.externalLink+xml"/>
  <Override PartName="/xl/externalLinks/externalLink19.xml" ContentType="application/vnd.openxmlformats-officedocument.spreadsheetml.externalLink+xml"/>
  <Override PartName="/xl/externalLinks/externalLink18.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35.xml" ContentType="application/vnd.openxmlformats-officedocument.spreadsheetml.externalLink+xml"/>
  <Override PartName="/xl/externalLinks/externalLink34.xml" ContentType="application/vnd.openxmlformats-officedocument.spreadsheetml.externalLink+xml"/>
  <Override PartName="/xl/externalLinks/externalLink33.xml" ContentType="application/vnd.openxmlformats-officedocument.spreadsheetml.externalLink+xml"/>
  <Override PartName="/xl/externalLinks/externalLink32.xml" ContentType="application/vnd.openxmlformats-officedocument.spreadsheetml.externalLink+xml"/>
  <Override PartName="/xl/externalLinks/externalLink31.xml" ContentType="application/vnd.openxmlformats-officedocument.spreadsheetml.externalLink+xml"/>
  <Override PartName="/xl/externalLinks/externalLink30.xml" ContentType="application/vnd.openxmlformats-officedocument.spreadsheetml.externalLink+xml"/>
  <Override PartName="/xl/externalLinks/externalLink29.xml" ContentType="application/vnd.openxmlformats-officedocument.spreadsheetml.externalLink+xml"/>
  <Override PartName="/xl/externalLinks/externalLink12.xml" ContentType="application/vnd.openxmlformats-officedocument.spreadsheetml.externalLink+xml"/>
  <Override PartName="/xl/comments2.xml" ContentType="application/vnd.openxmlformats-officedocument.spreadsheetml.comments+xml"/>
  <Override PartName="/xl/externalLinks/externalLink8.xml" ContentType="application/vnd.openxmlformats-officedocument.spreadsheetml.externalLink+xml"/>
  <Override PartName="/xl/comments1.xml" ContentType="application/vnd.openxmlformats-officedocument.spreadsheetml.comments+xml"/>
  <Override PartName="/xl/externalLinks/externalLink9.xml" ContentType="application/vnd.openxmlformats-officedocument.spreadsheetml.externalLink+xml"/>
  <Override PartName="/xl/externalLinks/externalLink7.xml" ContentType="application/vnd.openxmlformats-officedocument.spreadsheetml.externalLink+xml"/>
  <Override PartName="/xl/comments3.xml" ContentType="application/vnd.openxmlformats-officedocument.spreadsheetml.comments+xml"/>
  <Override PartName="/docProps/core.xml" ContentType="application/vnd.openxmlformats-package.core-properties+xml"/>
  <Override PartName="/xl/calcChain.xml" ContentType="application/vnd.openxmlformats-officedocument.spreadsheetml.calcChain+xml"/>
  <Override PartName="/xl/comments4.xml" ContentType="application/vnd.openxmlformats-officedocument.spreadsheetml.comments+xml"/>
  <Override PartName="/xl/externalLinks/externalLink6.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6.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5" yWindow="-15" windowWidth="12120" windowHeight="4875" tabRatio="597" firstSheet="36" activeTab="40"/>
  </bookViews>
  <sheets>
    <sheet name="Initial credit" sheetId="1" r:id="rId1"/>
    <sheet name="First year adj" sheetId="2" r:id="rId2"/>
    <sheet name="1st yr actual" sheetId="3" r:id="rId3"/>
    <sheet name="Second year adj" sheetId="4" r:id="rId4"/>
    <sheet name="2nd year actual" sheetId="5" r:id="rId5"/>
    <sheet name="Third Year adj" sheetId="6" r:id="rId6"/>
    <sheet name="3rd year actual" sheetId="7" r:id="rId7"/>
    <sheet name="MF_initial" sheetId="8" r:id="rId8"/>
    <sheet name="Fourth Year adj" sheetId="9" r:id="rId9"/>
    <sheet name="4th year actual" sheetId="10" r:id="rId10"/>
    <sheet name="Fifth Year Adj" sheetId="11" r:id="rId11"/>
    <sheet name="5th year actual" sheetId="12" r:id="rId12"/>
    <sheet name="Sixth Year Adj" sheetId="13" r:id="rId13"/>
    <sheet name="6th year actual" sheetId="14" r:id="rId14"/>
    <sheet name="Expl 6th yr" sheetId="15" r:id="rId15"/>
    <sheet name="7th year adj" sheetId="17" r:id="rId16"/>
    <sheet name="7th year actual" sheetId="16" r:id="rId17"/>
    <sheet name="8th year adj" sheetId="18" r:id="rId18"/>
    <sheet name="8th year actual" sheetId="19" r:id="rId19"/>
    <sheet name="9th year adj" sheetId="21" r:id="rId20"/>
    <sheet name="9th year actual" sheetId="20" r:id="rId21"/>
    <sheet name="10th year adj" sheetId="23" r:id="rId22"/>
    <sheet name="10th year actual" sheetId="22" r:id="rId23"/>
    <sheet name="11th year adj" sheetId="25" r:id="rId24"/>
    <sheet name="11th year actual" sheetId="24" r:id="rId25"/>
    <sheet name="12th year adj" sheetId="26" r:id="rId26"/>
    <sheet name="12th year actual" sheetId="27" r:id="rId27"/>
    <sheet name="13th year adj" sheetId="28" r:id="rId28"/>
    <sheet name="13th year actual" sheetId="29" r:id="rId29"/>
    <sheet name="14th year adj" sheetId="30" r:id="rId30"/>
    <sheet name="14th year actual" sheetId="31" r:id="rId31"/>
    <sheet name="15th year adj" sheetId="33" r:id="rId32"/>
    <sheet name="15th year actual" sheetId="32" r:id="rId33"/>
    <sheet name="16th year adj" sheetId="34" r:id="rId34"/>
    <sheet name="16th year actual" sheetId="35" r:id="rId35"/>
    <sheet name="17th year adj" sheetId="36" r:id="rId36"/>
    <sheet name="17th year actual" sheetId="37" r:id="rId37"/>
    <sheet name="18th year actual" sheetId="45" r:id="rId38"/>
    <sheet name="18th year adj (1st half) Orig" sheetId="44" r:id="rId39"/>
    <sheet name="18th year adj (1st half) Rev" sheetId="46" r:id="rId40"/>
    <sheet name="18th year adj (2nd half)" sheetId="38" r:id="rId41"/>
    <sheet name="18th year actual (2nd half)" sheetId="39" r:id="rId42"/>
    <sheet name="Support" sheetId="42" r:id="rId43"/>
  </sheets>
  <externalReferences>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s>
  <definedNames>
    <definedName name="MemoAttachment" localSheetId="39">#REF!</definedName>
    <definedName name="MemoAttachment">#REF!</definedName>
    <definedName name="_xlnm.Print_Area" localSheetId="24">'11th year actual'!$A$1:$J$119</definedName>
    <definedName name="_xlnm.Print_Area" localSheetId="23">'11th year adj'!$A$1:$J$125</definedName>
    <definedName name="_xlnm.Print_Area" localSheetId="25">'12th year adj'!$A$1:$I$124</definedName>
    <definedName name="_xlnm.Print_Area" localSheetId="28">'13th year actual'!$A$1:$K$156</definedName>
    <definedName name="_xlnm.Print_Area" localSheetId="27">'13th year adj'!$A$1:$J$130</definedName>
    <definedName name="_xlnm.Print_Area" localSheetId="30">'14th year actual'!$A$1:$K$135</definedName>
    <definedName name="_xlnm.Print_Area" localSheetId="29">'14th year adj'!$A$1:$H$126</definedName>
    <definedName name="_xlnm.Print_Area" localSheetId="31">'15th year adj'!$A$1:$G$125</definedName>
    <definedName name="_xlnm.Print_Area" localSheetId="34">'16th year actual'!$A$1:$L$118</definedName>
    <definedName name="_xlnm.Print_Area" localSheetId="33">'16th year adj'!$A$1:$I$116</definedName>
    <definedName name="_xlnm.Print_Area" localSheetId="36">'17th year actual'!$A$1:$M$119</definedName>
    <definedName name="_xlnm.Print_Area" localSheetId="35">'17th year adj'!$A$1:$G$105</definedName>
    <definedName name="_xlnm.Print_Area" localSheetId="37">'18th year actual'!$A$1:$M$151</definedName>
    <definedName name="_xlnm.Print_Area" localSheetId="41">'18th year actual (2nd half)'!$A$1:$R$108</definedName>
    <definedName name="_xlnm.Print_Area" localSheetId="38">'18th year adj (1st half) Orig'!$A$1:$G$128</definedName>
    <definedName name="_xlnm.Print_Area" localSheetId="39">'18th year adj (1st half) Rev'!$A$1:$G$128</definedName>
    <definedName name="_xlnm.Print_Area" localSheetId="40">'18th year adj (2nd half)'!$A$1:$J$101</definedName>
    <definedName name="_xlnm.Print_Area" localSheetId="11">'5th year actual'!$A$1:$J$65</definedName>
    <definedName name="_xlnm.Print_Area" localSheetId="13">'6th year actual'!$A$1:$J$71</definedName>
    <definedName name="_xlnm.Print_Area" localSheetId="16">'7th year actual'!$A$1:$J$61</definedName>
    <definedName name="_xlnm.Print_Area" localSheetId="15">'7th year adj'!$A$1:$J$123</definedName>
    <definedName name="_xlnm.Print_Area" localSheetId="18">'8th year actual'!$A$1:$K$120</definedName>
    <definedName name="_xlnm.Print_Area" localSheetId="17">'8th year adj'!$A$1:$J$124</definedName>
    <definedName name="_xlnm.Print_Area" localSheetId="14">'Expl 6th yr'!$A$1:$H$61</definedName>
    <definedName name="_xlnm.Print_Area" localSheetId="12">'Sixth Year Adj'!$A$1:$V$116</definedName>
  </definedNames>
  <calcPr calcId="145621" concurrentManualCount="4"/>
</workbook>
</file>

<file path=xl/calcChain.xml><?xml version="1.0" encoding="utf-8"?>
<calcChain xmlns="http://schemas.openxmlformats.org/spreadsheetml/2006/main">
  <c r="F27" i="39" l="1"/>
  <c r="A26" i="39" l="1"/>
  <c r="A27" i="39"/>
  <c r="A28" i="39"/>
  <c r="A29" i="39"/>
  <c r="A30" i="39"/>
  <c r="A31" i="39"/>
  <c r="D98" i="38" l="1"/>
  <c r="G117" i="46"/>
  <c r="G116" i="46"/>
  <c r="G118" i="46" s="1"/>
  <c r="F79" i="38"/>
  <c r="D47" i="38"/>
  <c r="J47" i="38"/>
  <c r="D99" i="38" s="1"/>
  <c r="J46" i="38"/>
  <c r="I46" i="38"/>
  <c r="D46" i="38"/>
  <c r="G60" i="46"/>
  <c r="G53" i="46"/>
  <c r="G52" i="46"/>
  <c r="G51" i="46"/>
  <c r="F27" i="38"/>
  <c r="C6" i="42" l="1"/>
  <c r="D6" i="42"/>
  <c r="E6" i="42"/>
  <c r="F6" i="42"/>
  <c r="G6" i="42"/>
  <c r="H6" i="42"/>
  <c r="B6" i="42"/>
  <c r="I6" i="42" l="1"/>
  <c r="O96" i="39"/>
  <c r="P96" i="39"/>
  <c r="Q97" i="39"/>
  <c r="Q98" i="39"/>
  <c r="Q99" i="39"/>
  <c r="Q100" i="39"/>
  <c r="Q101" i="39"/>
  <c r="K95" i="39"/>
  <c r="L95" i="39"/>
  <c r="M95" i="39"/>
  <c r="N95" i="39"/>
  <c r="O95" i="39"/>
  <c r="P95" i="39"/>
  <c r="K36" i="39" l="1"/>
  <c r="L36" i="39"/>
  <c r="M36" i="39"/>
  <c r="N36" i="39"/>
  <c r="O36" i="39"/>
  <c r="P36" i="39"/>
  <c r="L37" i="39"/>
  <c r="O37" i="39"/>
  <c r="P37" i="39"/>
  <c r="L38" i="39"/>
  <c r="Q38" i="39"/>
  <c r="L39" i="39"/>
  <c r="Q39" i="39"/>
  <c r="K40" i="39"/>
  <c r="Q40" i="39"/>
  <c r="K41" i="39"/>
  <c r="Q41" i="39"/>
  <c r="K42" i="39"/>
  <c r="Q42" i="39"/>
  <c r="C35" i="46" l="1"/>
  <c r="C23" i="46" l="1"/>
  <c r="C22" i="46"/>
  <c r="C21" i="46"/>
  <c r="C32" i="46" s="1"/>
  <c r="C20" i="46"/>
  <c r="C31" i="46" s="1"/>
  <c r="C19" i="46"/>
  <c r="C30" i="46" s="1"/>
  <c r="C18" i="46"/>
  <c r="C17" i="46"/>
  <c r="C16" i="46"/>
  <c r="C15" i="46"/>
  <c r="C14" i="46"/>
  <c r="C13" i="46"/>
  <c r="C12" i="46"/>
  <c r="E105" i="46"/>
  <c r="E104" i="46"/>
  <c r="C98" i="46"/>
  <c r="C87" i="46"/>
  <c r="C97" i="46" s="1"/>
  <c r="C86" i="46"/>
  <c r="C96" i="46" s="1"/>
  <c r="C85" i="46"/>
  <c r="C95" i="46" s="1"/>
  <c r="C84" i="46"/>
  <c r="C94" i="46" s="1"/>
  <c r="C83" i="46"/>
  <c r="C93" i="46" s="1"/>
  <c r="C99" i="46" s="1"/>
  <c r="G122" i="46" s="1"/>
  <c r="C82" i="46"/>
  <c r="C81" i="46"/>
  <c r="C80" i="46"/>
  <c r="C79" i="46"/>
  <c r="C78" i="46"/>
  <c r="C77" i="46"/>
  <c r="C76" i="46"/>
  <c r="A69" i="46"/>
  <c r="E41" i="46"/>
  <c r="E21" i="38" s="1"/>
  <c r="E40" i="46"/>
  <c r="C34" i="46"/>
  <c r="C33" i="46"/>
  <c r="F97" i="45"/>
  <c r="K75" i="45"/>
  <c r="K169" i="45" s="1"/>
  <c r="J75" i="45"/>
  <c r="J169" i="45" s="1"/>
  <c r="I75" i="45"/>
  <c r="I169" i="45" s="1"/>
  <c r="H75" i="45"/>
  <c r="H169" i="45" s="1"/>
  <c r="G75" i="45"/>
  <c r="G169" i="45" s="1"/>
  <c r="F75" i="45"/>
  <c r="F169" i="45" s="1"/>
  <c r="E75" i="45"/>
  <c r="E169" i="45" s="1"/>
  <c r="D75" i="45"/>
  <c r="D169" i="45" s="1"/>
  <c r="C75" i="45"/>
  <c r="C169" i="45" s="1"/>
  <c r="B75" i="45"/>
  <c r="B169" i="45" s="1"/>
  <c r="K74" i="45"/>
  <c r="K168" i="45" s="1"/>
  <c r="J74" i="45"/>
  <c r="J168" i="45" s="1"/>
  <c r="I74" i="45"/>
  <c r="I168" i="45" s="1"/>
  <c r="H74" i="45"/>
  <c r="H168" i="45" s="1"/>
  <c r="G74" i="45"/>
  <c r="G168" i="45" s="1"/>
  <c r="F74" i="45"/>
  <c r="F168" i="45" s="1"/>
  <c r="E74" i="45"/>
  <c r="E168" i="45" s="1"/>
  <c r="D74" i="45"/>
  <c r="D168" i="45" s="1"/>
  <c r="C74" i="45"/>
  <c r="C168" i="45" s="1"/>
  <c r="B74" i="45"/>
  <c r="B168" i="45" s="1"/>
  <c r="K73" i="45"/>
  <c r="K167" i="45" s="1"/>
  <c r="J73" i="45"/>
  <c r="J167" i="45" s="1"/>
  <c r="I73" i="45"/>
  <c r="I167" i="45" s="1"/>
  <c r="H73" i="45"/>
  <c r="H167" i="45" s="1"/>
  <c r="G73" i="45"/>
  <c r="G167" i="45" s="1"/>
  <c r="F73" i="45"/>
  <c r="F167" i="45" s="1"/>
  <c r="E73" i="45"/>
  <c r="E167" i="45" s="1"/>
  <c r="D73" i="45"/>
  <c r="D167" i="45" s="1"/>
  <c r="C73" i="45"/>
  <c r="C167" i="45" s="1"/>
  <c r="B73" i="45"/>
  <c r="B167" i="45" s="1"/>
  <c r="K72" i="45"/>
  <c r="K166" i="45" s="1"/>
  <c r="J72" i="45"/>
  <c r="J166" i="45" s="1"/>
  <c r="I72" i="45"/>
  <c r="I166" i="45" s="1"/>
  <c r="H72" i="45"/>
  <c r="H166" i="45" s="1"/>
  <c r="G72" i="45"/>
  <c r="G166" i="45" s="1"/>
  <c r="F72" i="45"/>
  <c r="F166" i="45" s="1"/>
  <c r="E72" i="45"/>
  <c r="E166" i="45" s="1"/>
  <c r="D72" i="45"/>
  <c r="D166" i="45" s="1"/>
  <c r="C72" i="45"/>
  <c r="C166" i="45" s="1"/>
  <c r="B72" i="45"/>
  <c r="B166" i="45" s="1"/>
  <c r="K71" i="45"/>
  <c r="K165" i="45" s="1"/>
  <c r="J71" i="45"/>
  <c r="J165" i="45" s="1"/>
  <c r="I71" i="45"/>
  <c r="I165" i="45" s="1"/>
  <c r="H71" i="45"/>
  <c r="H165" i="45" s="1"/>
  <c r="G71" i="45"/>
  <c r="G165" i="45" s="1"/>
  <c r="F71" i="45"/>
  <c r="F165" i="45" s="1"/>
  <c r="E71" i="45"/>
  <c r="E165" i="45" s="1"/>
  <c r="D71" i="45"/>
  <c r="D165" i="45" s="1"/>
  <c r="C71" i="45"/>
  <c r="C165" i="45" s="1"/>
  <c r="B71" i="45"/>
  <c r="B165" i="45" s="1"/>
  <c r="K70" i="45"/>
  <c r="K164" i="45" s="1"/>
  <c r="J70" i="45"/>
  <c r="J164" i="45" s="1"/>
  <c r="I70" i="45"/>
  <c r="I164" i="45" s="1"/>
  <c r="H70" i="45"/>
  <c r="H164" i="45" s="1"/>
  <c r="G70" i="45"/>
  <c r="G164" i="45" s="1"/>
  <c r="F70" i="45"/>
  <c r="F164" i="45" s="1"/>
  <c r="E70" i="45"/>
  <c r="E164" i="45" s="1"/>
  <c r="D70" i="45"/>
  <c r="D164" i="45" s="1"/>
  <c r="C70" i="45"/>
  <c r="C164" i="45" s="1"/>
  <c r="B70" i="45"/>
  <c r="B164" i="45" s="1"/>
  <c r="K65" i="45"/>
  <c r="K86" i="45" s="1"/>
  <c r="J65" i="45"/>
  <c r="J86" i="45" s="1"/>
  <c r="I65" i="45"/>
  <c r="I86" i="45" s="1"/>
  <c r="H65" i="45"/>
  <c r="H86" i="45" s="1"/>
  <c r="G65" i="45"/>
  <c r="G86" i="45" s="1"/>
  <c r="F65" i="45"/>
  <c r="F86" i="45" s="1"/>
  <c r="E65" i="45"/>
  <c r="E86" i="45" s="1"/>
  <c r="D65" i="45"/>
  <c r="D86" i="45" s="1"/>
  <c r="C65" i="45"/>
  <c r="C86" i="45" s="1"/>
  <c r="B65" i="45"/>
  <c r="B86" i="45" s="1"/>
  <c r="K41" i="45"/>
  <c r="K133" i="45" s="1"/>
  <c r="J41" i="45"/>
  <c r="J133" i="45" s="1"/>
  <c r="I41" i="45"/>
  <c r="I133" i="45" s="1"/>
  <c r="H41" i="45"/>
  <c r="H133" i="45" s="1"/>
  <c r="G41" i="45"/>
  <c r="G133" i="45" s="1"/>
  <c r="F41" i="45"/>
  <c r="F133" i="45" s="1"/>
  <c r="E41" i="45"/>
  <c r="E133" i="45" s="1"/>
  <c r="D41" i="45"/>
  <c r="D133" i="45" s="1"/>
  <c r="C41" i="45"/>
  <c r="C133" i="45" s="1"/>
  <c r="B41" i="45"/>
  <c r="B133" i="45" s="1"/>
  <c r="A41" i="45"/>
  <c r="K40" i="45"/>
  <c r="K132" i="45" s="1"/>
  <c r="J40" i="45"/>
  <c r="J132" i="45" s="1"/>
  <c r="I40" i="45"/>
  <c r="I132" i="45" s="1"/>
  <c r="H40" i="45"/>
  <c r="H132" i="45" s="1"/>
  <c r="G40" i="45"/>
  <c r="G132" i="45" s="1"/>
  <c r="F40" i="45"/>
  <c r="F132" i="45" s="1"/>
  <c r="E40" i="45"/>
  <c r="E132" i="45" s="1"/>
  <c r="D40" i="45"/>
  <c r="D132" i="45" s="1"/>
  <c r="C40" i="45"/>
  <c r="C132" i="45" s="1"/>
  <c r="B40" i="45"/>
  <c r="B132" i="45" s="1"/>
  <c r="K39" i="45"/>
  <c r="K131" i="45" s="1"/>
  <c r="J39" i="45"/>
  <c r="J131" i="45" s="1"/>
  <c r="I39" i="45"/>
  <c r="I131" i="45" s="1"/>
  <c r="H39" i="45"/>
  <c r="H131" i="45" s="1"/>
  <c r="G39" i="45"/>
  <c r="G131" i="45" s="1"/>
  <c r="F39" i="45"/>
  <c r="F131" i="45" s="1"/>
  <c r="E39" i="45"/>
  <c r="E131" i="45" s="1"/>
  <c r="D39" i="45"/>
  <c r="D131" i="45" s="1"/>
  <c r="C39" i="45"/>
  <c r="C131" i="45" s="1"/>
  <c r="B39" i="45"/>
  <c r="B131" i="45" s="1"/>
  <c r="K38" i="45"/>
  <c r="K130" i="45" s="1"/>
  <c r="J38" i="45"/>
  <c r="J130" i="45" s="1"/>
  <c r="I38" i="45"/>
  <c r="I130" i="45" s="1"/>
  <c r="H38" i="45"/>
  <c r="H130" i="45" s="1"/>
  <c r="G38" i="45"/>
  <c r="G130" i="45" s="1"/>
  <c r="F38" i="45"/>
  <c r="F130" i="45" s="1"/>
  <c r="E38" i="45"/>
  <c r="E130" i="45" s="1"/>
  <c r="D38" i="45"/>
  <c r="D130" i="45" s="1"/>
  <c r="C38" i="45"/>
  <c r="C130" i="45" s="1"/>
  <c r="B38" i="45"/>
  <c r="B130" i="45" s="1"/>
  <c r="K37" i="45"/>
  <c r="K129" i="45" s="1"/>
  <c r="J37" i="45"/>
  <c r="J129" i="45" s="1"/>
  <c r="I37" i="45"/>
  <c r="I129" i="45" s="1"/>
  <c r="H37" i="45"/>
  <c r="H129" i="45" s="1"/>
  <c r="G37" i="45"/>
  <c r="G129" i="45" s="1"/>
  <c r="F37" i="45"/>
  <c r="F129" i="45" s="1"/>
  <c r="E37" i="45"/>
  <c r="E129" i="45" s="1"/>
  <c r="D37" i="45"/>
  <c r="D129" i="45" s="1"/>
  <c r="C37" i="45"/>
  <c r="C129" i="45" s="1"/>
  <c r="B37" i="45"/>
  <c r="B129" i="45" s="1"/>
  <c r="K36" i="45"/>
  <c r="K128" i="45" s="1"/>
  <c r="J36" i="45"/>
  <c r="J128" i="45" s="1"/>
  <c r="I36" i="45"/>
  <c r="I128" i="45" s="1"/>
  <c r="H36" i="45"/>
  <c r="H128" i="45" s="1"/>
  <c r="G36" i="45"/>
  <c r="G128" i="45" s="1"/>
  <c r="F36" i="45"/>
  <c r="F128" i="45" s="1"/>
  <c r="E36" i="45"/>
  <c r="E128" i="45" s="1"/>
  <c r="D36" i="45"/>
  <c r="D128" i="45" s="1"/>
  <c r="C36" i="45"/>
  <c r="C128" i="45" s="1"/>
  <c r="B36" i="45"/>
  <c r="B128" i="45" s="1"/>
  <c r="K35" i="45"/>
  <c r="K127" i="45" s="1"/>
  <c r="J35" i="45"/>
  <c r="J127" i="45" s="1"/>
  <c r="I35" i="45"/>
  <c r="I127" i="45" s="1"/>
  <c r="H35" i="45"/>
  <c r="H127" i="45" s="1"/>
  <c r="G35" i="45"/>
  <c r="G127" i="45" s="1"/>
  <c r="F35" i="45"/>
  <c r="F127" i="45" s="1"/>
  <c r="E35" i="45"/>
  <c r="E127" i="45" s="1"/>
  <c r="D35" i="45"/>
  <c r="D127" i="45" s="1"/>
  <c r="C35" i="45"/>
  <c r="C127" i="45" s="1"/>
  <c r="B35" i="45"/>
  <c r="B127" i="45" s="1"/>
  <c r="K34" i="45"/>
  <c r="K126" i="45" s="1"/>
  <c r="J34" i="45"/>
  <c r="J126" i="45" s="1"/>
  <c r="I34" i="45"/>
  <c r="I126" i="45" s="1"/>
  <c r="H34" i="45"/>
  <c r="H126" i="45" s="1"/>
  <c r="G34" i="45"/>
  <c r="G126" i="45" s="1"/>
  <c r="F34" i="45"/>
  <c r="F126" i="45" s="1"/>
  <c r="E34" i="45"/>
  <c r="E126" i="45" s="1"/>
  <c r="D34" i="45"/>
  <c r="D126" i="45" s="1"/>
  <c r="C34" i="45"/>
  <c r="C126" i="45" s="1"/>
  <c r="B34" i="45"/>
  <c r="B126" i="45" s="1"/>
  <c r="K33" i="45"/>
  <c r="K125" i="45" s="1"/>
  <c r="J33" i="45"/>
  <c r="J125" i="45" s="1"/>
  <c r="I33" i="45"/>
  <c r="I125" i="45" s="1"/>
  <c r="H33" i="45"/>
  <c r="H125" i="45" s="1"/>
  <c r="G33" i="45"/>
  <c r="G125" i="45" s="1"/>
  <c r="F33" i="45"/>
  <c r="F125" i="45" s="1"/>
  <c r="E33" i="45"/>
  <c r="E125" i="45" s="1"/>
  <c r="D33" i="45"/>
  <c r="D125" i="45" s="1"/>
  <c r="C33" i="45"/>
  <c r="C125" i="45" s="1"/>
  <c r="B33" i="45"/>
  <c r="B125" i="45" s="1"/>
  <c r="K32" i="45"/>
  <c r="K124" i="45" s="1"/>
  <c r="J32" i="45"/>
  <c r="J124" i="45" s="1"/>
  <c r="I32" i="45"/>
  <c r="I124" i="45" s="1"/>
  <c r="H32" i="45"/>
  <c r="H124" i="45" s="1"/>
  <c r="G32" i="45"/>
  <c r="G124" i="45" s="1"/>
  <c r="F32" i="45"/>
  <c r="F124" i="45" s="1"/>
  <c r="E32" i="45"/>
  <c r="E124" i="45" s="1"/>
  <c r="D32" i="45"/>
  <c r="D124" i="45" s="1"/>
  <c r="C32" i="45"/>
  <c r="C124" i="45" s="1"/>
  <c r="B32" i="45"/>
  <c r="B124" i="45" s="1"/>
  <c r="K31" i="45"/>
  <c r="K123" i="45" s="1"/>
  <c r="J31" i="45"/>
  <c r="J123" i="45" s="1"/>
  <c r="I31" i="45"/>
  <c r="I123" i="45" s="1"/>
  <c r="H31" i="45"/>
  <c r="H123" i="45" s="1"/>
  <c r="G31" i="45"/>
  <c r="G123" i="45" s="1"/>
  <c r="F31" i="45"/>
  <c r="F123" i="45" s="1"/>
  <c r="E31" i="45"/>
  <c r="E123" i="45" s="1"/>
  <c r="D31" i="45"/>
  <c r="D123" i="45" s="1"/>
  <c r="C31" i="45"/>
  <c r="C123" i="45" s="1"/>
  <c r="B31" i="45"/>
  <c r="B123" i="45" s="1"/>
  <c r="K30" i="45"/>
  <c r="K122" i="45" s="1"/>
  <c r="J30" i="45"/>
  <c r="J122" i="45" s="1"/>
  <c r="I30" i="45"/>
  <c r="I122" i="45" s="1"/>
  <c r="H30" i="45"/>
  <c r="H122" i="45" s="1"/>
  <c r="G30" i="45"/>
  <c r="G122" i="45" s="1"/>
  <c r="F30" i="45"/>
  <c r="F122" i="45" s="1"/>
  <c r="E30" i="45"/>
  <c r="E122" i="45" s="1"/>
  <c r="D30" i="45"/>
  <c r="D122" i="45" s="1"/>
  <c r="C30" i="45"/>
  <c r="C122" i="45" s="1"/>
  <c r="B30" i="45"/>
  <c r="B122" i="45" s="1"/>
  <c r="K22" i="45"/>
  <c r="J22" i="45"/>
  <c r="I22" i="45"/>
  <c r="H22" i="45"/>
  <c r="G22" i="45"/>
  <c r="F22" i="45"/>
  <c r="E22" i="45"/>
  <c r="D22" i="45"/>
  <c r="C22" i="45"/>
  <c r="B22" i="45"/>
  <c r="K21" i="45"/>
  <c r="J21" i="45"/>
  <c r="I21" i="45"/>
  <c r="H21" i="45"/>
  <c r="H84" i="45" s="1"/>
  <c r="G21" i="45"/>
  <c r="G84" i="45" s="1"/>
  <c r="F21" i="45"/>
  <c r="E21" i="45"/>
  <c r="D21" i="45"/>
  <c r="D84" i="45" s="1"/>
  <c r="C21" i="45"/>
  <c r="C84" i="45" s="1"/>
  <c r="B21" i="45"/>
  <c r="K20" i="45"/>
  <c r="K83" i="45" s="1"/>
  <c r="J20" i="45"/>
  <c r="J83" i="45" s="1"/>
  <c r="I20" i="45"/>
  <c r="I83" i="45" s="1"/>
  <c r="H20" i="45"/>
  <c r="H83" i="45" s="1"/>
  <c r="G20" i="45"/>
  <c r="G83" i="45" s="1"/>
  <c r="F20" i="45"/>
  <c r="F83" i="45" s="1"/>
  <c r="E20" i="45"/>
  <c r="E83" i="45" s="1"/>
  <c r="D20" i="45"/>
  <c r="D83" i="45" s="1"/>
  <c r="C20" i="45"/>
  <c r="C83" i="45" s="1"/>
  <c r="B20" i="45"/>
  <c r="B83" i="45" s="1"/>
  <c r="K19" i="45"/>
  <c r="K82" i="45" s="1"/>
  <c r="J19" i="45"/>
  <c r="J82" i="45" s="1"/>
  <c r="I19" i="45"/>
  <c r="I82" i="45" s="1"/>
  <c r="H19" i="45"/>
  <c r="H82" i="45" s="1"/>
  <c r="G19" i="45"/>
  <c r="G82" i="45" s="1"/>
  <c r="F19" i="45"/>
  <c r="F82" i="45" s="1"/>
  <c r="E19" i="45"/>
  <c r="E82" i="45" s="1"/>
  <c r="D19" i="45"/>
  <c r="D82" i="45" s="1"/>
  <c r="C19" i="45"/>
  <c r="C82" i="45" s="1"/>
  <c r="B19" i="45"/>
  <c r="B82" i="45" s="1"/>
  <c r="K18" i="45"/>
  <c r="K81" i="45" s="1"/>
  <c r="J18" i="45"/>
  <c r="J81" i="45" s="1"/>
  <c r="I18" i="45"/>
  <c r="I81" i="45" s="1"/>
  <c r="H18" i="45"/>
  <c r="H81" i="45" s="1"/>
  <c r="G18" i="45"/>
  <c r="G81" i="45" s="1"/>
  <c r="F18" i="45"/>
  <c r="F81" i="45" s="1"/>
  <c r="E18" i="45"/>
  <c r="E81" i="45" s="1"/>
  <c r="D18" i="45"/>
  <c r="D81" i="45" s="1"/>
  <c r="C18" i="45"/>
  <c r="C81" i="45" s="1"/>
  <c r="B18" i="45"/>
  <c r="B81" i="45" s="1"/>
  <c r="K17" i="45"/>
  <c r="K52" i="45" s="1"/>
  <c r="J17" i="45"/>
  <c r="J52" i="45" s="1"/>
  <c r="I17" i="45"/>
  <c r="I52" i="45" s="1"/>
  <c r="H17" i="45"/>
  <c r="H52" i="45" s="1"/>
  <c r="G17" i="45"/>
  <c r="G52" i="45" s="1"/>
  <c r="F17" i="45"/>
  <c r="F52" i="45" s="1"/>
  <c r="E17" i="45"/>
  <c r="E52" i="45" s="1"/>
  <c r="D17" i="45"/>
  <c r="D52" i="45" s="1"/>
  <c r="C17" i="45"/>
  <c r="C52" i="45" s="1"/>
  <c r="B17" i="45"/>
  <c r="B52" i="45" s="1"/>
  <c r="K16" i="45"/>
  <c r="K51" i="45" s="1"/>
  <c r="J16" i="45"/>
  <c r="J51" i="45" s="1"/>
  <c r="I16" i="45"/>
  <c r="I51" i="45" s="1"/>
  <c r="H16" i="45"/>
  <c r="H51" i="45" s="1"/>
  <c r="G16" i="45"/>
  <c r="G51" i="45" s="1"/>
  <c r="F16" i="45"/>
  <c r="F51" i="45" s="1"/>
  <c r="E16" i="45"/>
  <c r="E51" i="45" s="1"/>
  <c r="D16" i="45"/>
  <c r="D51" i="45" s="1"/>
  <c r="C16" i="45"/>
  <c r="C51" i="45" s="1"/>
  <c r="B16" i="45"/>
  <c r="B51" i="45" s="1"/>
  <c r="K15" i="45"/>
  <c r="K50" i="45" s="1"/>
  <c r="J15" i="45"/>
  <c r="J50" i="45" s="1"/>
  <c r="I15" i="45"/>
  <c r="I50" i="45" s="1"/>
  <c r="H15" i="45"/>
  <c r="H50" i="45" s="1"/>
  <c r="G15" i="45"/>
  <c r="G50" i="45" s="1"/>
  <c r="F15" i="45"/>
  <c r="F50" i="45" s="1"/>
  <c r="E15" i="45"/>
  <c r="E50" i="45" s="1"/>
  <c r="D15" i="45"/>
  <c r="D50" i="45" s="1"/>
  <c r="C15" i="45"/>
  <c r="C50" i="45" s="1"/>
  <c r="B15" i="45"/>
  <c r="B50" i="45" s="1"/>
  <c r="K14" i="45"/>
  <c r="K49" i="45" s="1"/>
  <c r="J14" i="45"/>
  <c r="J49" i="45" s="1"/>
  <c r="I14" i="45"/>
  <c r="I49" i="45" s="1"/>
  <c r="H14" i="45"/>
  <c r="H49" i="45" s="1"/>
  <c r="G14" i="45"/>
  <c r="G49" i="45" s="1"/>
  <c r="F14" i="45"/>
  <c r="F49" i="45" s="1"/>
  <c r="E14" i="45"/>
  <c r="E49" i="45" s="1"/>
  <c r="D14" i="45"/>
  <c r="D49" i="45" s="1"/>
  <c r="C14" i="45"/>
  <c r="C49" i="45" s="1"/>
  <c r="B14" i="45"/>
  <c r="K13" i="45"/>
  <c r="K48" i="45" s="1"/>
  <c r="J13" i="45"/>
  <c r="J48" i="45" s="1"/>
  <c r="I13" i="45"/>
  <c r="I48" i="45" s="1"/>
  <c r="H13" i="45"/>
  <c r="H48" i="45" s="1"/>
  <c r="G13" i="45"/>
  <c r="G48" i="45" s="1"/>
  <c r="F13" i="45"/>
  <c r="F48" i="45" s="1"/>
  <c r="E13" i="45"/>
  <c r="E48" i="45" s="1"/>
  <c r="D13" i="45"/>
  <c r="D48" i="45" s="1"/>
  <c r="C13" i="45"/>
  <c r="C48" i="45" s="1"/>
  <c r="B13" i="45"/>
  <c r="B48" i="45" s="1"/>
  <c r="K12" i="45"/>
  <c r="K47" i="45" s="1"/>
  <c r="J12" i="45"/>
  <c r="J47" i="45" s="1"/>
  <c r="I12" i="45"/>
  <c r="I47" i="45" s="1"/>
  <c r="H12" i="45"/>
  <c r="H47" i="45" s="1"/>
  <c r="G12" i="45"/>
  <c r="G47" i="45" s="1"/>
  <c r="F12" i="45"/>
  <c r="F47" i="45" s="1"/>
  <c r="D12" i="45"/>
  <c r="D47" i="45" s="1"/>
  <c r="C12" i="45"/>
  <c r="C47" i="45" s="1"/>
  <c r="B12" i="45"/>
  <c r="B47" i="45" s="1"/>
  <c r="K11" i="45"/>
  <c r="J11" i="45"/>
  <c r="J46" i="45" s="1"/>
  <c r="I11" i="45"/>
  <c r="H11" i="45"/>
  <c r="H23" i="45" s="1"/>
  <c r="G11" i="45"/>
  <c r="F11" i="45"/>
  <c r="F46" i="45" s="1"/>
  <c r="E11" i="45"/>
  <c r="D11" i="45"/>
  <c r="D23" i="45" s="1"/>
  <c r="C11" i="45"/>
  <c r="B11" i="45"/>
  <c r="B46" i="45" s="1"/>
  <c r="E105" i="44"/>
  <c r="E73" i="38" s="1"/>
  <c r="E104" i="44"/>
  <c r="C98" i="44"/>
  <c r="C87" i="44"/>
  <c r="C97" i="44" s="1"/>
  <c r="C86" i="44"/>
  <c r="C96" i="44" s="1"/>
  <c r="C85" i="44"/>
  <c r="C95" i="44" s="1"/>
  <c r="C84" i="44"/>
  <c r="C94" i="44" s="1"/>
  <c r="C83" i="44"/>
  <c r="C93" i="44" s="1"/>
  <c r="C82" i="44"/>
  <c r="C81" i="44"/>
  <c r="C80" i="44"/>
  <c r="C79" i="44"/>
  <c r="C78" i="44"/>
  <c r="C77" i="44"/>
  <c r="C76" i="44"/>
  <c r="A69" i="44"/>
  <c r="E41" i="44"/>
  <c r="E40" i="44"/>
  <c r="C35" i="44"/>
  <c r="C23" i="44"/>
  <c r="C34" i="44" s="1"/>
  <c r="C22" i="44"/>
  <c r="C33" i="44" s="1"/>
  <c r="C21" i="44"/>
  <c r="C32" i="44" s="1"/>
  <c r="C20" i="44"/>
  <c r="C31" i="44" s="1"/>
  <c r="C19" i="44"/>
  <c r="C30" i="44" s="1"/>
  <c r="C18" i="44"/>
  <c r="C17" i="44"/>
  <c r="C16" i="44"/>
  <c r="C15" i="44"/>
  <c r="C14" i="44"/>
  <c r="C13" i="44"/>
  <c r="C12" i="44"/>
  <c r="C24" i="44" l="1"/>
  <c r="C88" i="44"/>
  <c r="C23" i="45"/>
  <c r="G23" i="45"/>
  <c r="K23" i="45"/>
  <c r="L14" i="45"/>
  <c r="C88" i="46"/>
  <c r="G43" i="44"/>
  <c r="E23" i="45"/>
  <c r="I23" i="45"/>
  <c r="L48" i="45"/>
  <c r="L50" i="45"/>
  <c r="L52" i="45"/>
  <c r="C24" i="46"/>
  <c r="G43" i="46"/>
  <c r="C36" i="46"/>
  <c r="G57" i="46" s="1"/>
  <c r="G108" i="46"/>
  <c r="F52" i="46"/>
  <c r="F117" i="46"/>
  <c r="C36" i="44"/>
  <c r="G57" i="44" s="1"/>
  <c r="C99" i="44"/>
  <c r="G122" i="44" s="1"/>
  <c r="L51" i="45"/>
  <c r="L13" i="45"/>
  <c r="L17" i="45"/>
  <c r="L82" i="45"/>
  <c r="L21" i="45"/>
  <c r="E57" i="45"/>
  <c r="E85" i="45"/>
  <c r="I57" i="45"/>
  <c r="I85" i="45"/>
  <c r="B23" i="45"/>
  <c r="F23" i="45"/>
  <c r="J23" i="45"/>
  <c r="C46" i="45"/>
  <c r="G46" i="45"/>
  <c r="K46" i="45"/>
  <c r="B49" i="45"/>
  <c r="L49" i="45" s="1"/>
  <c r="B53" i="45"/>
  <c r="F53" i="45"/>
  <c r="J53" i="45"/>
  <c r="C54" i="45"/>
  <c r="G54" i="45"/>
  <c r="K54" i="45"/>
  <c r="D55" i="45"/>
  <c r="H55" i="45"/>
  <c r="H56" i="45"/>
  <c r="G108" i="44"/>
  <c r="L12" i="45"/>
  <c r="L16" i="45"/>
  <c r="L81" i="45"/>
  <c r="D30" i="46" s="1"/>
  <c r="L20" i="45"/>
  <c r="E84" i="45"/>
  <c r="E87" i="45" s="1"/>
  <c r="E56" i="45"/>
  <c r="I84" i="45"/>
  <c r="I87" i="45" s="1"/>
  <c r="I56" i="45"/>
  <c r="B85" i="45"/>
  <c r="B57" i="45"/>
  <c r="F85" i="45"/>
  <c r="F57" i="45"/>
  <c r="J85" i="45"/>
  <c r="J57" i="45"/>
  <c r="D46" i="45"/>
  <c r="H46" i="45"/>
  <c r="E47" i="45"/>
  <c r="L47" i="45" s="1"/>
  <c r="C53" i="45"/>
  <c r="G53" i="45"/>
  <c r="K53" i="45"/>
  <c r="D54" i="45"/>
  <c r="H54" i="45"/>
  <c r="E55" i="45"/>
  <c r="I55" i="45"/>
  <c r="C56" i="45"/>
  <c r="L86" i="45"/>
  <c r="F52" i="44"/>
  <c r="F117" i="44"/>
  <c r="L15" i="45"/>
  <c r="G87" i="45"/>
  <c r="L19" i="45"/>
  <c r="B84" i="45"/>
  <c r="B56" i="45"/>
  <c r="F84" i="45"/>
  <c r="F56" i="45"/>
  <c r="J84" i="45"/>
  <c r="J87" i="45" s="1"/>
  <c r="J56" i="45"/>
  <c r="C85" i="45"/>
  <c r="C87" i="45" s="1"/>
  <c r="C57" i="45"/>
  <c r="G85" i="45"/>
  <c r="G57" i="45"/>
  <c r="K85" i="45"/>
  <c r="K57" i="45"/>
  <c r="E46" i="45"/>
  <c r="I46" i="45"/>
  <c r="D53" i="45"/>
  <c r="H53" i="45"/>
  <c r="E54" i="45"/>
  <c r="I54" i="45"/>
  <c r="B55" i="45"/>
  <c r="F55" i="45"/>
  <c r="J55" i="45"/>
  <c r="D56" i="45"/>
  <c r="L11" i="45"/>
  <c r="L18" i="45"/>
  <c r="L83" i="45"/>
  <c r="K84" i="45"/>
  <c r="K87" i="45" s="1"/>
  <c r="K56" i="45"/>
  <c r="D85" i="45"/>
  <c r="D87" i="45" s="1"/>
  <c r="D57" i="45"/>
  <c r="H85" i="45"/>
  <c r="H87" i="45" s="1"/>
  <c r="H57" i="45"/>
  <c r="L22" i="45"/>
  <c r="E53" i="45"/>
  <c r="I53" i="45"/>
  <c r="B54" i="45"/>
  <c r="F54" i="45"/>
  <c r="F58" i="45" s="1"/>
  <c r="J54" i="45"/>
  <c r="C55" i="45"/>
  <c r="G55" i="45"/>
  <c r="K55" i="45"/>
  <c r="G56" i="45"/>
  <c r="L65" i="45"/>
  <c r="F87" i="45" l="1"/>
  <c r="D17" i="44"/>
  <c r="D17" i="46"/>
  <c r="D16" i="44"/>
  <c r="D16" i="46"/>
  <c r="D32" i="44"/>
  <c r="D32" i="46"/>
  <c r="D15" i="44"/>
  <c r="D15" i="46"/>
  <c r="D31" i="44"/>
  <c r="D31" i="46"/>
  <c r="D14" i="44"/>
  <c r="D14" i="46"/>
  <c r="D13" i="44"/>
  <c r="D13" i="46"/>
  <c r="J58" i="45"/>
  <c r="D18" i="44"/>
  <c r="D18" i="46"/>
  <c r="D35" i="44"/>
  <c r="D35" i="46"/>
  <c r="I58" i="45"/>
  <c r="L56" i="45"/>
  <c r="D58" i="45"/>
  <c r="L54" i="45"/>
  <c r="E58" i="45"/>
  <c r="L84" i="45"/>
  <c r="L57" i="45"/>
  <c r="K58" i="45"/>
  <c r="F25" i="45"/>
  <c r="F117" i="45" s="1"/>
  <c r="L85" i="45"/>
  <c r="L87" i="45"/>
  <c r="D30" i="44"/>
  <c r="G58" i="45"/>
  <c r="L46" i="45"/>
  <c r="D12" i="46" s="1"/>
  <c r="L23" i="45"/>
  <c r="B25" i="45" s="1"/>
  <c r="B117" i="45" s="1"/>
  <c r="L55" i="45"/>
  <c r="H58" i="45"/>
  <c r="B87" i="45"/>
  <c r="L53" i="45"/>
  <c r="C58" i="45"/>
  <c r="B58" i="45"/>
  <c r="D21" i="44" l="1"/>
  <c r="D21" i="46"/>
  <c r="D22" i="44"/>
  <c r="D22" i="46"/>
  <c r="D24" i="46" s="1"/>
  <c r="F45" i="46" s="1"/>
  <c r="G47" i="46" s="1"/>
  <c r="G49" i="46" s="1"/>
  <c r="F51" i="46" s="1"/>
  <c r="F53" i="46" s="1"/>
  <c r="D20" i="44"/>
  <c r="D20" i="46"/>
  <c r="D23" i="44"/>
  <c r="D23" i="46"/>
  <c r="J25" i="45"/>
  <c r="J117" i="45" s="1"/>
  <c r="J103" i="45" s="1"/>
  <c r="D19" i="44"/>
  <c r="D19" i="46"/>
  <c r="D34" i="44"/>
  <c r="D34" i="46"/>
  <c r="D36" i="46" s="1"/>
  <c r="G56" i="46" s="1"/>
  <c r="G59" i="46" s="1"/>
  <c r="D33" i="44"/>
  <c r="D33" i="46"/>
  <c r="J159" i="45"/>
  <c r="J179" i="45" s="1"/>
  <c r="J111" i="45"/>
  <c r="J107" i="45"/>
  <c r="J142" i="45" s="1"/>
  <c r="J112" i="45"/>
  <c r="J108" i="45"/>
  <c r="J143" i="45" s="1"/>
  <c r="J104" i="45"/>
  <c r="J139" i="45" s="1"/>
  <c r="J109" i="45"/>
  <c r="J144" i="45" s="1"/>
  <c r="J105" i="45"/>
  <c r="J140" i="45" s="1"/>
  <c r="J114" i="45"/>
  <c r="J106" i="45"/>
  <c r="J141" i="45" s="1"/>
  <c r="L58" i="45"/>
  <c r="D12" i="44"/>
  <c r="D24" i="44" s="1"/>
  <c r="F45" i="44" s="1"/>
  <c r="G47" i="44" s="1"/>
  <c r="G49" i="44" s="1"/>
  <c r="F51" i="44" s="1"/>
  <c r="F53" i="44" s="1"/>
  <c r="G60" i="44" s="1"/>
  <c r="B159" i="45"/>
  <c r="B111" i="45"/>
  <c r="B107" i="45"/>
  <c r="B103" i="45"/>
  <c r="B112" i="45"/>
  <c r="B108" i="45"/>
  <c r="B104" i="45"/>
  <c r="B113" i="45"/>
  <c r="B109" i="45"/>
  <c r="B105" i="45"/>
  <c r="B114" i="45"/>
  <c r="B110" i="45"/>
  <c r="B106" i="45"/>
  <c r="F159" i="45"/>
  <c r="F179" i="45" s="1"/>
  <c r="F111" i="45"/>
  <c r="F107" i="45"/>
  <c r="F142" i="45" s="1"/>
  <c r="F103" i="45"/>
  <c r="F112" i="45"/>
  <c r="F108" i="45"/>
  <c r="F143" i="45" s="1"/>
  <c r="F104" i="45"/>
  <c r="F139" i="45" s="1"/>
  <c r="F113" i="45"/>
  <c r="F109" i="45"/>
  <c r="F144" i="45" s="1"/>
  <c r="F105" i="45"/>
  <c r="F140" i="45" s="1"/>
  <c r="F114" i="45"/>
  <c r="F110" i="45"/>
  <c r="F106" i="45"/>
  <c r="F141" i="45" s="1"/>
  <c r="M23" i="45"/>
  <c r="E25" i="45"/>
  <c r="E117" i="45" s="1"/>
  <c r="C25" i="45"/>
  <c r="C117" i="45" s="1"/>
  <c r="D25" i="45"/>
  <c r="D117" i="45" s="1"/>
  <c r="I25" i="45"/>
  <c r="I117" i="45" s="1"/>
  <c r="G25" i="45"/>
  <c r="G117" i="45" s="1"/>
  <c r="H25" i="45"/>
  <c r="H117" i="45" s="1"/>
  <c r="K25" i="45"/>
  <c r="K117" i="45" s="1"/>
  <c r="D36" i="44"/>
  <c r="G56" i="44" s="1"/>
  <c r="G59" i="44" s="1"/>
  <c r="G61" i="46" l="1"/>
  <c r="H61" i="46" s="1"/>
  <c r="D45" i="38"/>
  <c r="L117" i="45"/>
  <c r="J110" i="45"/>
  <c r="J113" i="45"/>
  <c r="G61" i="44"/>
  <c r="H61" i="44" s="1"/>
  <c r="E22" i="38"/>
  <c r="B174" i="45"/>
  <c r="B145" i="45"/>
  <c r="B176" i="45"/>
  <c r="B147" i="45"/>
  <c r="J174" i="45"/>
  <c r="J145" i="45"/>
  <c r="J148" i="45"/>
  <c r="J177" i="45"/>
  <c r="J138" i="45"/>
  <c r="J115" i="45"/>
  <c r="E159" i="45"/>
  <c r="E179" i="45" s="1"/>
  <c r="E114" i="45"/>
  <c r="E110" i="45"/>
  <c r="E106" i="45"/>
  <c r="E141" i="45" s="1"/>
  <c r="E111" i="45"/>
  <c r="E107" i="45"/>
  <c r="E142" i="45" s="1"/>
  <c r="E103" i="45"/>
  <c r="E112" i="45"/>
  <c r="E108" i="45"/>
  <c r="E143" i="45" s="1"/>
  <c r="E104" i="45"/>
  <c r="E139" i="45" s="1"/>
  <c r="E113" i="45"/>
  <c r="E109" i="45"/>
  <c r="E144" i="45" s="1"/>
  <c r="E105" i="45"/>
  <c r="E140" i="45" s="1"/>
  <c r="B179" i="45"/>
  <c r="I159" i="45"/>
  <c r="I179" i="45" s="1"/>
  <c r="I114" i="45"/>
  <c r="I110" i="45"/>
  <c r="I106" i="45"/>
  <c r="I141" i="45" s="1"/>
  <c r="I111" i="45"/>
  <c r="I107" i="45"/>
  <c r="I142" i="45" s="1"/>
  <c r="I103" i="45"/>
  <c r="I112" i="45"/>
  <c r="I108" i="45"/>
  <c r="I143" i="45" s="1"/>
  <c r="I104" i="45"/>
  <c r="I139" i="45" s="1"/>
  <c r="I113" i="45"/>
  <c r="I109" i="45"/>
  <c r="I144" i="45" s="1"/>
  <c r="I105" i="45"/>
  <c r="I140" i="45" s="1"/>
  <c r="F175" i="45"/>
  <c r="F146" i="45"/>
  <c r="B178" i="45"/>
  <c r="B149" i="45"/>
  <c r="B138" i="45"/>
  <c r="B115" i="45"/>
  <c r="J178" i="45"/>
  <c r="J149" i="45"/>
  <c r="B148" i="45"/>
  <c r="B177" i="45"/>
  <c r="K159" i="45"/>
  <c r="K179" i="45" s="1"/>
  <c r="K112" i="45"/>
  <c r="K108" i="45"/>
  <c r="K143" i="45" s="1"/>
  <c r="K104" i="45"/>
  <c r="K139" i="45" s="1"/>
  <c r="K113" i="45"/>
  <c r="K109" i="45"/>
  <c r="K144" i="45" s="1"/>
  <c r="K105" i="45"/>
  <c r="K140" i="45" s="1"/>
  <c r="K114" i="45"/>
  <c r="K110" i="45"/>
  <c r="K106" i="45"/>
  <c r="K141" i="45" s="1"/>
  <c r="K111" i="45"/>
  <c r="K107" i="45"/>
  <c r="K142" i="45" s="1"/>
  <c r="K103" i="45"/>
  <c r="F176" i="45"/>
  <c r="F147" i="45"/>
  <c r="B142" i="45"/>
  <c r="J175" i="45"/>
  <c r="J146" i="45"/>
  <c r="G159" i="45"/>
  <c r="G179" i="45" s="1"/>
  <c r="G112" i="45"/>
  <c r="G108" i="45"/>
  <c r="G143" i="45" s="1"/>
  <c r="G104" i="45"/>
  <c r="G139" i="45" s="1"/>
  <c r="G113" i="45"/>
  <c r="G109" i="45"/>
  <c r="G144" i="45" s="1"/>
  <c r="G105" i="45"/>
  <c r="G140" i="45" s="1"/>
  <c r="G114" i="45"/>
  <c r="G110" i="45"/>
  <c r="G106" i="45"/>
  <c r="G141" i="45" s="1"/>
  <c r="G111" i="45"/>
  <c r="G107" i="45"/>
  <c r="G142" i="45" s="1"/>
  <c r="G103" i="45"/>
  <c r="F178" i="45"/>
  <c r="F149" i="45"/>
  <c r="B144" i="45"/>
  <c r="D159" i="45"/>
  <c r="D179" i="45" s="1"/>
  <c r="D113" i="45"/>
  <c r="D109" i="45"/>
  <c r="D144" i="45" s="1"/>
  <c r="D105" i="45"/>
  <c r="D140" i="45" s="1"/>
  <c r="D114" i="45"/>
  <c r="D110" i="45"/>
  <c r="D106" i="45"/>
  <c r="D141" i="45" s="1"/>
  <c r="D111" i="45"/>
  <c r="D107" i="45"/>
  <c r="D142" i="45" s="1"/>
  <c r="D103" i="45"/>
  <c r="D112" i="45"/>
  <c r="D108" i="45"/>
  <c r="D143" i="45" s="1"/>
  <c r="D104" i="45"/>
  <c r="D139" i="45" s="1"/>
  <c r="B139" i="45"/>
  <c r="H159" i="45"/>
  <c r="H179" i="45" s="1"/>
  <c r="H113" i="45"/>
  <c r="H109" i="45"/>
  <c r="H144" i="45" s="1"/>
  <c r="H105" i="45"/>
  <c r="H140" i="45" s="1"/>
  <c r="H114" i="45"/>
  <c r="H110" i="45"/>
  <c r="H106" i="45"/>
  <c r="H141" i="45" s="1"/>
  <c r="H111" i="45"/>
  <c r="H107" i="45"/>
  <c r="H142" i="45" s="1"/>
  <c r="H103" i="45"/>
  <c r="H112" i="45"/>
  <c r="H108" i="45"/>
  <c r="H143" i="45" s="1"/>
  <c r="H104" i="45"/>
  <c r="H139" i="45" s="1"/>
  <c r="C159" i="45"/>
  <c r="C179" i="45" s="1"/>
  <c r="C112" i="45"/>
  <c r="C108" i="45"/>
  <c r="C143" i="45" s="1"/>
  <c r="C104" i="45"/>
  <c r="C139" i="45" s="1"/>
  <c r="C113" i="45"/>
  <c r="C109" i="45"/>
  <c r="C144" i="45" s="1"/>
  <c r="C105" i="45"/>
  <c r="C140" i="45" s="1"/>
  <c r="C114" i="45"/>
  <c r="C110" i="45"/>
  <c r="C106" i="45"/>
  <c r="C141" i="45" s="1"/>
  <c r="C111" i="45"/>
  <c r="C107" i="45"/>
  <c r="C142" i="45" s="1"/>
  <c r="C103" i="45"/>
  <c r="F174" i="45"/>
  <c r="F145" i="45"/>
  <c r="F148" i="45"/>
  <c r="F177" i="45"/>
  <c r="F138" i="45"/>
  <c r="F115" i="45"/>
  <c r="B141" i="45"/>
  <c r="B140" i="45"/>
  <c r="B143" i="45"/>
  <c r="B175" i="45"/>
  <c r="B146" i="45"/>
  <c r="J176" i="45"/>
  <c r="J147" i="45"/>
  <c r="L103" i="45" l="1"/>
  <c r="L110" i="45"/>
  <c r="L104" i="45"/>
  <c r="L105" i="45"/>
  <c r="F180" i="45"/>
  <c r="L139" i="45"/>
  <c r="H146" i="45"/>
  <c r="H175" i="45"/>
  <c r="D176" i="45"/>
  <c r="D147" i="45"/>
  <c r="L144" i="45"/>
  <c r="G149" i="45"/>
  <c r="G178" i="45"/>
  <c r="K175" i="45"/>
  <c r="K146" i="45"/>
  <c r="I175" i="45"/>
  <c r="I146" i="45"/>
  <c r="E147" i="45"/>
  <c r="E176" i="45"/>
  <c r="L140" i="45"/>
  <c r="C176" i="45"/>
  <c r="C147" i="45"/>
  <c r="H176" i="45"/>
  <c r="H147" i="45"/>
  <c r="D138" i="45"/>
  <c r="D115" i="45"/>
  <c r="D174" i="45"/>
  <c r="D145" i="45"/>
  <c r="D177" i="45"/>
  <c r="D148" i="45"/>
  <c r="G175" i="45"/>
  <c r="G146" i="45"/>
  <c r="K176" i="45"/>
  <c r="K147" i="45"/>
  <c r="I147" i="45"/>
  <c r="I176" i="45"/>
  <c r="L159" i="45"/>
  <c r="E177" i="45"/>
  <c r="E148" i="45"/>
  <c r="E138" i="45"/>
  <c r="E115" i="45"/>
  <c r="E174" i="45"/>
  <c r="E145" i="45"/>
  <c r="J150" i="45"/>
  <c r="J180" i="45"/>
  <c r="C175" i="45"/>
  <c r="C146" i="45"/>
  <c r="F150" i="45"/>
  <c r="L108" i="45"/>
  <c r="C145" i="45"/>
  <c r="C174" i="45"/>
  <c r="H174" i="45"/>
  <c r="H145" i="45"/>
  <c r="H177" i="45"/>
  <c r="H148" i="45"/>
  <c r="D178" i="45"/>
  <c r="D149" i="45"/>
  <c r="G176" i="45"/>
  <c r="G147" i="45"/>
  <c r="L147" i="45" s="1"/>
  <c r="L107" i="45"/>
  <c r="K138" i="45"/>
  <c r="K115" i="45"/>
  <c r="K145" i="45"/>
  <c r="K174" i="45"/>
  <c r="K177" i="45"/>
  <c r="K148" i="45"/>
  <c r="B150" i="45"/>
  <c r="I177" i="45"/>
  <c r="I148" i="45"/>
  <c r="I138" i="45"/>
  <c r="I115" i="45"/>
  <c r="I174" i="45"/>
  <c r="I145" i="45"/>
  <c r="L179" i="45"/>
  <c r="E178" i="45"/>
  <c r="E149" i="45"/>
  <c r="L112" i="45"/>
  <c r="L106" i="45"/>
  <c r="C138" i="45"/>
  <c r="C115" i="45"/>
  <c r="C177" i="45"/>
  <c r="C148" i="45"/>
  <c r="H138" i="45"/>
  <c r="H115" i="45"/>
  <c r="L111" i="45"/>
  <c r="L143" i="45"/>
  <c r="L141" i="45"/>
  <c r="C149" i="45"/>
  <c r="C178" i="45"/>
  <c r="H178" i="45"/>
  <c r="H149" i="45"/>
  <c r="D146" i="45"/>
  <c r="D175" i="45"/>
  <c r="L109" i="45"/>
  <c r="G138" i="45"/>
  <c r="G115" i="45"/>
  <c r="G145" i="45"/>
  <c r="G174" i="45"/>
  <c r="G177" i="45"/>
  <c r="G148" i="45"/>
  <c r="L142" i="45"/>
  <c r="K149" i="45"/>
  <c r="K178" i="45"/>
  <c r="L113" i="45"/>
  <c r="L114" i="45"/>
  <c r="I178" i="45"/>
  <c r="I149" i="45"/>
  <c r="E175" i="45"/>
  <c r="E146" i="45"/>
  <c r="B180" i="45"/>
  <c r="L174" i="45" l="1"/>
  <c r="D93" i="46" s="1"/>
  <c r="L148" i="45"/>
  <c r="D86" i="46" s="1"/>
  <c r="L145" i="45"/>
  <c r="D83" i="44" s="1"/>
  <c r="L175" i="45"/>
  <c r="D94" i="46" s="1"/>
  <c r="D85" i="44"/>
  <c r="D85" i="46"/>
  <c r="L115" i="45"/>
  <c r="D94" i="44"/>
  <c r="L178" i="45"/>
  <c r="L177" i="45"/>
  <c r="L176" i="45"/>
  <c r="D81" i="44"/>
  <c r="D81" i="46"/>
  <c r="D80" i="44"/>
  <c r="D80" i="46"/>
  <c r="E150" i="45"/>
  <c r="D78" i="44"/>
  <c r="D78" i="46"/>
  <c r="D86" i="44"/>
  <c r="D83" i="46"/>
  <c r="D77" i="44"/>
  <c r="D77" i="46"/>
  <c r="L149" i="45"/>
  <c r="D79" i="44"/>
  <c r="D79" i="46"/>
  <c r="L146" i="45"/>
  <c r="D82" i="44"/>
  <c r="D82" i="46"/>
  <c r="D98" i="44"/>
  <c r="D98" i="46"/>
  <c r="C150" i="45"/>
  <c r="I180" i="45"/>
  <c r="K150" i="45"/>
  <c r="D150" i="45"/>
  <c r="D93" i="44"/>
  <c r="H180" i="45"/>
  <c r="E180" i="45"/>
  <c r="G150" i="45"/>
  <c r="H150" i="45"/>
  <c r="G180" i="45"/>
  <c r="K180" i="45"/>
  <c r="I150" i="45"/>
  <c r="L138" i="45"/>
  <c r="D76" i="46" s="1"/>
  <c r="C180" i="45"/>
  <c r="D180" i="45"/>
  <c r="D95" i="44" l="1"/>
  <c r="D95" i="46"/>
  <c r="D96" i="44"/>
  <c r="D96" i="46"/>
  <c r="D99" i="46" s="1"/>
  <c r="G121" i="46" s="1"/>
  <c r="G124" i="46" s="1"/>
  <c r="D87" i="44"/>
  <c r="D87" i="46"/>
  <c r="D97" i="44"/>
  <c r="D97" i="46"/>
  <c r="L180" i="45"/>
  <c r="D84" i="44"/>
  <c r="D84" i="46"/>
  <c r="D88" i="46" s="1"/>
  <c r="F110" i="46" s="1"/>
  <c r="G112" i="46" s="1"/>
  <c r="G114" i="46" s="1"/>
  <c r="F116" i="46" s="1"/>
  <c r="F118" i="46" s="1"/>
  <c r="G125" i="46" s="1"/>
  <c r="L150" i="45"/>
  <c r="D76" i="44"/>
  <c r="D99" i="44" l="1"/>
  <c r="G121" i="44" s="1"/>
  <c r="G124" i="44" s="1"/>
  <c r="E74" i="38" s="1"/>
  <c r="D88" i="44"/>
  <c r="F110" i="44" s="1"/>
  <c r="G112" i="44" s="1"/>
  <c r="G114" i="44" s="1"/>
  <c r="F116" i="44" s="1"/>
  <c r="F118" i="44" s="1"/>
  <c r="G125" i="44" s="1"/>
  <c r="G126" i="44" s="1"/>
  <c r="G126" i="46"/>
  <c r="C63" i="38" l="1"/>
  <c r="C11" i="38" l="1"/>
  <c r="L108" i="39" l="1"/>
  <c r="Q108" i="39"/>
  <c r="L107" i="39"/>
  <c r="O107" i="39"/>
  <c r="P107" i="39"/>
  <c r="Q55" i="39"/>
  <c r="L55" i="39"/>
  <c r="L54" i="39"/>
  <c r="O54" i="39"/>
  <c r="P54" i="39"/>
  <c r="Q49" i="39"/>
  <c r="N49" i="39"/>
  <c r="M49" i="39"/>
  <c r="K49" i="39"/>
  <c r="J49" i="39"/>
  <c r="I49" i="39"/>
  <c r="H49" i="39"/>
  <c r="G49" i="39"/>
  <c r="F49" i="39"/>
  <c r="E49" i="39"/>
  <c r="D49" i="39"/>
  <c r="C49" i="39"/>
  <c r="B49" i="39"/>
  <c r="P50" i="39"/>
  <c r="O50" i="39"/>
  <c r="N50" i="39"/>
  <c r="M50" i="39"/>
  <c r="K50" i="39"/>
  <c r="J50" i="39"/>
  <c r="I50" i="39"/>
  <c r="H50" i="39"/>
  <c r="G50" i="39"/>
  <c r="F50" i="39"/>
  <c r="E50" i="39"/>
  <c r="D50" i="39"/>
  <c r="C50" i="39"/>
  <c r="B50" i="39"/>
  <c r="P27" i="39"/>
  <c r="O27" i="39"/>
  <c r="N27" i="39"/>
  <c r="M27" i="39"/>
  <c r="K27" i="39"/>
  <c r="J27" i="39"/>
  <c r="I27" i="39"/>
  <c r="H27" i="39"/>
  <c r="G27" i="39"/>
  <c r="E27" i="39"/>
  <c r="D27" i="39"/>
  <c r="C27" i="39"/>
  <c r="B27" i="39"/>
  <c r="Q26" i="39"/>
  <c r="N26" i="39"/>
  <c r="M26" i="39"/>
  <c r="K26" i="39"/>
  <c r="J26" i="39"/>
  <c r="I26" i="39"/>
  <c r="H26" i="39"/>
  <c r="G26" i="39"/>
  <c r="F26" i="39"/>
  <c r="E26" i="39"/>
  <c r="D26" i="39"/>
  <c r="C26" i="39"/>
  <c r="B26" i="39"/>
  <c r="R50" i="39" l="1"/>
  <c r="R49" i="39"/>
  <c r="Q25" i="39"/>
  <c r="J25" i="39"/>
  <c r="I25" i="39"/>
  <c r="H25" i="39"/>
  <c r="G25" i="39"/>
  <c r="F25" i="39"/>
  <c r="E25" i="39"/>
  <c r="D25" i="39"/>
  <c r="C25" i="39"/>
  <c r="B25" i="39"/>
  <c r="A63" i="38" l="1"/>
  <c r="B84" i="39"/>
  <c r="C84" i="39"/>
  <c r="D84" i="39"/>
  <c r="E84" i="39"/>
  <c r="F84" i="39"/>
  <c r="G84" i="39"/>
  <c r="H84" i="39"/>
  <c r="I84" i="39"/>
  <c r="J84" i="39"/>
  <c r="K84" i="39"/>
  <c r="L84" i="39"/>
  <c r="M84" i="39"/>
  <c r="N84" i="39"/>
  <c r="O84" i="39"/>
  <c r="P84" i="39"/>
  <c r="Q84" i="39"/>
  <c r="B7" i="42" l="1"/>
  <c r="A95" i="39"/>
  <c r="A84" i="39"/>
  <c r="A25" i="39"/>
  <c r="A36" i="39" s="1"/>
  <c r="C88" i="38"/>
  <c r="C89" i="38"/>
  <c r="C90" i="38"/>
  <c r="C91" i="38"/>
  <c r="C92" i="38"/>
  <c r="C93" i="38"/>
  <c r="P28" i="39"/>
  <c r="O28" i="39"/>
  <c r="O87" i="39" s="1"/>
  <c r="N28" i="39"/>
  <c r="N87" i="39" s="1"/>
  <c r="M28" i="39"/>
  <c r="M87" i="39" s="1"/>
  <c r="K28" i="39"/>
  <c r="J28" i="39"/>
  <c r="J87" i="39" s="1"/>
  <c r="I28" i="39"/>
  <c r="I87" i="39" s="1"/>
  <c r="H28" i="39"/>
  <c r="H87" i="39" s="1"/>
  <c r="G28" i="39"/>
  <c r="F28" i="39"/>
  <c r="F87" i="39" s="1"/>
  <c r="E28" i="39"/>
  <c r="E87" i="39" s="1"/>
  <c r="D28" i="39"/>
  <c r="C28" i="39"/>
  <c r="C87" i="39" s="1"/>
  <c r="B28" i="39"/>
  <c r="B87" i="39" s="1"/>
  <c r="C40" i="38"/>
  <c r="C39" i="38"/>
  <c r="C38" i="38"/>
  <c r="C37" i="38"/>
  <c r="C36" i="38"/>
  <c r="C35" i="38"/>
  <c r="G87" i="39"/>
  <c r="N86" i="39"/>
  <c r="M86" i="39"/>
  <c r="J86" i="39"/>
  <c r="I86" i="39"/>
  <c r="H86" i="39"/>
  <c r="D86" i="39"/>
  <c r="Q85" i="39"/>
  <c r="J85" i="39"/>
  <c r="I85" i="39"/>
  <c r="H85" i="39"/>
  <c r="F85" i="39"/>
  <c r="E85" i="39"/>
  <c r="B85" i="39"/>
  <c r="O85" i="39"/>
  <c r="P85" i="39"/>
  <c r="Q86" i="39"/>
  <c r="Q87" i="39"/>
  <c r="Q88" i="39"/>
  <c r="Q89" i="39"/>
  <c r="Q90" i="39"/>
  <c r="H7" i="42"/>
  <c r="H8" i="42" s="1"/>
  <c r="G7" i="42"/>
  <c r="G8" i="42" s="1"/>
  <c r="F7" i="42"/>
  <c r="F8" i="42" s="1"/>
  <c r="E7" i="42"/>
  <c r="E8" i="42" s="1"/>
  <c r="C7" i="42"/>
  <c r="C8" i="42" s="1"/>
  <c r="D7" i="42"/>
  <c r="D8" i="42" s="1"/>
  <c r="O76" i="39"/>
  <c r="M75" i="39"/>
  <c r="O74" i="39"/>
  <c r="M73" i="39"/>
  <c r="O72" i="39"/>
  <c r="K71" i="39"/>
  <c r="P87" i="39"/>
  <c r="P86" i="39"/>
  <c r="O86" i="39"/>
  <c r="P31" i="39"/>
  <c r="P90" i="39" s="1"/>
  <c r="O31" i="39"/>
  <c r="O90" i="39" s="1"/>
  <c r="P30" i="39"/>
  <c r="P89" i="39" s="1"/>
  <c r="O30" i="39"/>
  <c r="O89" i="39" s="1"/>
  <c r="P29" i="39"/>
  <c r="P88" i="39" s="1"/>
  <c r="O29" i="39"/>
  <c r="N31" i="39"/>
  <c r="N90" i="39" s="1"/>
  <c r="M31" i="39"/>
  <c r="M90" i="39" s="1"/>
  <c r="L31" i="39"/>
  <c r="L90" i="39" s="1"/>
  <c r="J31" i="39"/>
  <c r="J90" i="39" s="1"/>
  <c r="I31" i="39"/>
  <c r="I90" i="39" s="1"/>
  <c r="H31" i="39"/>
  <c r="G31" i="39"/>
  <c r="G90" i="39" s="1"/>
  <c r="F31" i="39"/>
  <c r="F90" i="39" s="1"/>
  <c r="E31" i="39"/>
  <c r="E90" i="39" s="1"/>
  <c r="D31" i="39"/>
  <c r="D90" i="39" s="1"/>
  <c r="C31" i="39"/>
  <c r="C90" i="39" s="1"/>
  <c r="B31" i="39"/>
  <c r="N30" i="39"/>
  <c r="N89" i="39" s="1"/>
  <c r="M30" i="39"/>
  <c r="M89" i="39" s="1"/>
  <c r="L30" i="39"/>
  <c r="L89" i="39" s="1"/>
  <c r="J30" i="39"/>
  <c r="J89" i="39" s="1"/>
  <c r="I30" i="39"/>
  <c r="I89" i="39" s="1"/>
  <c r="H30" i="39"/>
  <c r="G30" i="39"/>
  <c r="G89" i="39" s="1"/>
  <c r="F30" i="39"/>
  <c r="F89" i="39" s="1"/>
  <c r="E30" i="39"/>
  <c r="E89" i="39" s="1"/>
  <c r="D30" i="39"/>
  <c r="D89" i="39" s="1"/>
  <c r="C30" i="39"/>
  <c r="C89" i="39" s="1"/>
  <c r="B30" i="39"/>
  <c r="N29" i="39"/>
  <c r="N88" i="39" s="1"/>
  <c r="M29" i="39"/>
  <c r="L29" i="39"/>
  <c r="J29" i="39"/>
  <c r="J88" i="39" s="1"/>
  <c r="I29" i="39"/>
  <c r="I88" i="39" s="1"/>
  <c r="H29" i="39"/>
  <c r="H88" i="39" s="1"/>
  <c r="G29" i="39"/>
  <c r="G88" i="39" s="1"/>
  <c r="F29" i="39"/>
  <c r="F88" i="39" s="1"/>
  <c r="E29" i="39"/>
  <c r="E88" i="39" s="1"/>
  <c r="D29" i="39"/>
  <c r="D88" i="39" s="1"/>
  <c r="C29" i="39"/>
  <c r="C88" i="39" s="1"/>
  <c r="B29" i="39"/>
  <c r="B88" i="39" s="1"/>
  <c r="K87" i="39"/>
  <c r="K86" i="39"/>
  <c r="G86" i="39"/>
  <c r="C86" i="39"/>
  <c r="M85" i="39"/>
  <c r="D85" i="39"/>
  <c r="C68" i="38"/>
  <c r="C67" i="38"/>
  <c r="C66" i="38"/>
  <c r="C65" i="38"/>
  <c r="C64" i="38"/>
  <c r="A68" i="38"/>
  <c r="A92" i="38" s="1"/>
  <c r="A67" i="38"/>
  <c r="A91" i="38" s="1"/>
  <c r="A66" i="38"/>
  <c r="A90" i="38" s="1"/>
  <c r="A65" i="38"/>
  <c r="A89" i="38" s="1"/>
  <c r="A64" i="38"/>
  <c r="A88" i="38" s="1"/>
  <c r="K90" i="39"/>
  <c r="K101" i="39" s="1"/>
  <c r="L85" i="39"/>
  <c r="L96" i="39" s="1"/>
  <c r="E86" i="39"/>
  <c r="L86" i="39"/>
  <c r="L97" i="39" s="1"/>
  <c r="D87" i="39"/>
  <c r="L87" i="39"/>
  <c r="L98" i="39" s="1"/>
  <c r="K88" i="39"/>
  <c r="K99" i="39" s="1"/>
  <c r="H89" i="39"/>
  <c r="K89" i="39"/>
  <c r="K100" i="39" s="1"/>
  <c r="A90" i="39"/>
  <c r="A89" i="39"/>
  <c r="A100" i="39" s="1"/>
  <c r="A88" i="39"/>
  <c r="A99" i="39" s="1"/>
  <c r="A87" i="39"/>
  <c r="A98" i="39" s="1"/>
  <c r="A86" i="39"/>
  <c r="A97" i="39" s="1"/>
  <c r="A85" i="39"/>
  <c r="A107" i="39" s="1"/>
  <c r="K85" i="39"/>
  <c r="G85" i="39"/>
  <c r="C85" i="39"/>
  <c r="A16" i="39"/>
  <c r="A41" i="39" s="1"/>
  <c r="A15" i="39"/>
  <c r="A40" i="39" s="1"/>
  <c r="A14" i="39"/>
  <c r="A39" i="39" s="1"/>
  <c r="A13" i="39"/>
  <c r="A12" i="39"/>
  <c r="C16" i="38"/>
  <c r="C15" i="38"/>
  <c r="C14" i="38"/>
  <c r="C13" i="38"/>
  <c r="C12" i="38"/>
  <c r="B89" i="39"/>
  <c r="B86" i="39"/>
  <c r="I64" i="39"/>
  <c r="C22" i="36"/>
  <c r="H101" i="37"/>
  <c r="F101" i="37"/>
  <c r="E101" i="37"/>
  <c r="D101" i="37"/>
  <c r="C101" i="37"/>
  <c r="B101" i="37"/>
  <c r="H23" i="37"/>
  <c r="I23" i="37"/>
  <c r="J23" i="37"/>
  <c r="C76" i="36"/>
  <c r="C23" i="36"/>
  <c r="D75" i="36"/>
  <c r="H100" i="37"/>
  <c r="D22" i="36"/>
  <c r="F100" i="37"/>
  <c r="E100" i="37"/>
  <c r="D100" i="37"/>
  <c r="C100" i="37"/>
  <c r="B100" i="37"/>
  <c r="C75" i="36"/>
  <c r="D74" i="36"/>
  <c r="H99" i="37"/>
  <c r="F99" i="37"/>
  <c r="E99" i="37"/>
  <c r="D99" i="37"/>
  <c r="D115" i="37"/>
  <c r="C99" i="37"/>
  <c r="B99" i="37"/>
  <c r="C74" i="36"/>
  <c r="C21" i="36"/>
  <c r="D73" i="36"/>
  <c r="H98" i="37"/>
  <c r="F98" i="37"/>
  <c r="E98" i="37"/>
  <c r="D98" i="37"/>
  <c r="C98" i="37"/>
  <c r="B98" i="37"/>
  <c r="C73" i="36"/>
  <c r="C20" i="36"/>
  <c r="H97" i="37"/>
  <c r="F97" i="37"/>
  <c r="E97" i="37"/>
  <c r="D97" i="37"/>
  <c r="C97" i="37"/>
  <c r="C113" i="37"/>
  <c r="B97" i="37"/>
  <c r="D71" i="36"/>
  <c r="H96" i="37"/>
  <c r="F96" i="37"/>
  <c r="E96" i="37"/>
  <c r="D96" i="37"/>
  <c r="C96" i="37"/>
  <c r="B96" i="37"/>
  <c r="C72" i="36"/>
  <c r="C71" i="36"/>
  <c r="C19" i="36"/>
  <c r="C18" i="36"/>
  <c r="D70" i="36"/>
  <c r="D69" i="36"/>
  <c r="H95" i="37"/>
  <c r="H94" i="37"/>
  <c r="F95" i="37"/>
  <c r="E95" i="37"/>
  <c r="D95" i="37"/>
  <c r="D111" i="37"/>
  <c r="C95" i="37"/>
  <c r="B95" i="37"/>
  <c r="F94" i="37"/>
  <c r="E94" i="37"/>
  <c r="D94" i="37"/>
  <c r="C94" i="37"/>
  <c r="B94" i="37"/>
  <c r="C70" i="36"/>
  <c r="C17" i="36"/>
  <c r="C69" i="36"/>
  <c r="C16" i="36"/>
  <c r="E81" i="36"/>
  <c r="E30" i="36"/>
  <c r="E29" i="36"/>
  <c r="D15" i="36"/>
  <c r="D68" i="36"/>
  <c r="H93" i="37"/>
  <c r="F93" i="37"/>
  <c r="E93" i="37"/>
  <c r="E109" i="37"/>
  <c r="D93" i="37"/>
  <c r="D109" i="37"/>
  <c r="C93" i="37"/>
  <c r="C109" i="37"/>
  <c r="B93" i="37"/>
  <c r="C68" i="36"/>
  <c r="C15" i="36"/>
  <c r="C14" i="36"/>
  <c r="C13" i="36"/>
  <c r="D67" i="36"/>
  <c r="D66" i="36"/>
  <c r="D65" i="36"/>
  <c r="D14" i="36"/>
  <c r="D13" i="36"/>
  <c r="H92" i="37"/>
  <c r="H91" i="37"/>
  <c r="H107" i="37"/>
  <c r="F92" i="37"/>
  <c r="E92" i="37"/>
  <c r="E108" i="37"/>
  <c r="D92" i="37"/>
  <c r="D108" i="37"/>
  <c r="C92" i="37"/>
  <c r="B92" i="37"/>
  <c r="B108" i="37"/>
  <c r="F91" i="37"/>
  <c r="F107" i="37"/>
  <c r="E91" i="37"/>
  <c r="E107" i="37"/>
  <c r="D91" i="37"/>
  <c r="D107" i="37"/>
  <c r="C91" i="37"/>
  <c r="B91" i="37"/>
  <c r="B107" i="37"/>
  <c r="H90" i="37"/>
  <c r="F90" i="37"/>
  <c r="E90" i="37"/>
  <c r="E106" i="37"/>
  <c r="D90" i="37"/>
  <c r="D106" i="37"/>
  <c r="C90" i="37"/>
  <c r="B90" i="37"/>
  <c r="B106" i="37"/>
  <c r="I82" i="37"/>
  <c r="I81" i="37"/>
  <c r="I80" i="37"/>
  <c r="I79" i="37"/>
  <c r="I78" i="37"/>
  <c r="I77" i="37"/>
  <c r="I76" i="37"/>
  <c r="I75" i="37"/>
  <c r="I74" i="37"/>
  <c r="I73" i="37"/>
  <c r="I72" i="37"/>
  <c r="I71" i="37"/>
  <c r="H117" i="37"/>
  <c r="H118" i="37"/>
  <c r="G117" i="37"/>
  <c r="E117" i="37"/>
  <c r="E118" i="37"/>
  <c r="D117" i="37"/>
  <c r="D118" i="37"/>
  <c r="H116" i="37"/>
  <c r="G116" i="37"/>
  <c r="E116" i="37"/>
  <c r="B116" i="37"/>
  <c r="H115" i="37"/>
  <c r="G115" i="37"/>
  <c r="F115" i="37"/>
  <c r="E115" i="37"/>
  <c r="H114" i="37"/>
  <c r="G114" i="37"/>
  <c r="D114" i="37"/>
  <c r="H113" i="37"/>
  <c r="G113" i="37"/>
  <c r="H112" i="37"/>
  <c r="G112" i="37"/>
  <c r="F112" i="37"/>
  <c r="E112" i="37"/>
  <c r="D112" i="37"/>
  <c r="H111" i="37"/>
  <c r="G111" i="37"/>
  <c r="C111" i="37"/>
  <c r="B111" i="37"/>
  <c r="H110" i="37"/>
  <c r="G110" i="37"/>
  <c r="H109" i="37"/>
  <c r="G109" i="37"/>
  <c r="H108" i="37"/>
  <c r="G108" i="37"/>
  <c r="F108" i="37"/>
  <c r="G107" i="37"/>
  <c r="C107" i="37"/>
  <c r="H106" i="37"/>
  <c r="G106" i="37"/>
  <c r="F117" i="37"/>
  <c r="C117" i="37"/>
  <c r="B117" i="37"/>
  <c r="F116" i="37"/>
  <c r="F118" i="37"/>
  <c r="D116" i="37"/>
  <c r="C116" i="37"/>
  <c r="C115" i="37"/>
  <c r="B115" i="37"/>
  <c r="F114" i="37"/>
  <c r="E114" i="37"/>
  <c r="C114" i="37"/>
  <c r="B114" i="37"/>
  <c r="F113" i="37"/>
  <c r="E113" i="37"/>
  <c r="D113" i="37"/>
  <c r="B113" i="37"/>
  <c r="C112" i="37"/>
  <c r="B112" i="37"/>
  <c r="F111" i="37"/>
  <c r="E111" i="37"/>
  <c r="F110" i="37"/>
  <c r="E110" i="37"/>
  <c r="D110" i="37"/>
  <c r="C110" i="37"/>
  <c r="B110" i="37"/>
  <c r="F109" i="37"/>
  <c r="B109" i="37"/>
  <c r="C108" i="37"/>
  <c r="F106" i="37"/>
  <c r="C106" i="37"/>
  <c r="H83" i="37"/>
  <c r="G83" i="37"/>
  <c r="F83" i="37"/>
  <c r="E83" i="37"/>
  <c r="D83" i="37"/>
  <c r="C83" i="37"/>
  <c r="B83" i="37"/>
  <c r="F65" i="37"/>
  <c r="K57" i="37"/>
  <c r="J57" i="37"/>
  <c r="I57" i="37"/>
  <c r="H57" i="37"/>
  <c r="G57" i="37"/>
  <c r="F57" i="37"/>
  <c r="E57" i="37"/>
  <c r="D57" i="37"/>
  <c r="C57" i="37"/>
  <c r="B57" i="37"/>
  <c r="K56" i="37"/>
  <c r="J56" i="37"/>
  <c r="I56" i="37"/>
  <c r="H56" i="37"/>
  <c r="G56" i="37"/>
  <c r="F56" i="37"/>
  <c r="E56" i="37"/>
  <c r="D56" i="37"/>
  <c r="C56" i="37"/>
  <c r="B56" i="37"/>
  <c r="K55" i="37"/>
  <c r="J55" i="37"/>
  <c r="I55" i="37"/>
  <c r="H55" i="37"/>
  <c r="G55" i="37"/>
  <c r="F55" i="37"/>
  <c r="E55" i="37"/>
  <c r="D55" i="37"/>
  <c r="C55" i="37"/>
  <c r="B55" i="37"/>
  <c r="K54" i="37"/>
  <c r="J54" i="37"/>
  <c r="I54" i="37"/>
  <c r="H54" i="37"/>
  <c r="G54" i="37"/>
  <c r="F54" i="37"/>
  <c r="E54" i="37"/>
  <c r="D54" i="37"/>
  <c r="C54" i="37"/>
  <c r="B54" i="37"/>
  <c r="K53" i="37"/>
  <c r="J53" i="37"/>
  <c r="I53" i="37"/>
  <c r="H53" i="37"/>
  <c r="G53" i="37"/>
  <c r="F53" i="37"/>
  <c r="E53" i="37"/>
  <c r="D53" i="37"/>
  <c r="C53" i="37"/>
  <c r="B53" i="37"/>
  <c r="K52" i="37"/>
  <c r="J52" i="37"/>
  <c r="I52" i="37"/>
  <c r="H52" i="37"/>
  <c r="G52" i="37"/>
  <c r="F52" i="37"/>
  <c r="E52" i="37"/>
  <c r="D52" i="37"/>
  <c r="C52" i="37"/>
  <c r="B52" i="37"/>
  <c r="K51" i="37"/>
  <c r="J51" i="37"/>
  <c r="I51" i="37"/>
  <c r="H51" i="37"/>
  <c r="G51" i="37"/>
  <c r="F51" i="37"/>
  <c r="E51" i="37"/>
  <c r="D51" i="37"/>
  <c r="C51" i="37"/>
  <c r="B51" i="37"/>
  <c r="K50" i="37"/>
  <c r="J50" i="37"/>
  <c r="I50" i="37"/>
  <c r="H50" i="37"/>
  <c r="G50" i="37"/>
  <c r="F50" i="37"/>
  <c r="E50" i="37"/>
  <c r="D50" i="37"/>
  <c r="C50" i="37"/>
  <c r="B50" i="37"/>
  <c r="K49" i="37"/>
  <c r="J49" i="37"/>
  <c r="I49" i="37"/>
  <c r="H49" i="37"/>
  <c r="G49" i="37"/>
  <c r="F49" i="37"/>
  <c r="E49" i="37"/>
  <c r="D49" i="37"/>
  <c r="C49" i="37"/>
  <c r="B49" i="37"/>
  <c r="K48" i="37"/>
  <c r="J48" i="37"/>
  <c r="I48" i="37"/>
  <c r="H48" i="37"/>
  <c r="G48" i="37"/>
  <c r="F48" i="37"/>
  <c r="E48" i="37"/>
  <c r="D48" i="37"/>
  <c r="C48" i="37"/>
  <c r="B48" i="37"/>
  <c r="K47" i="37"/>
  <c r="J47" i="37"/>
  <c r="I47" i="37"/>
  <c r="H47" i="37"/>
  <c r="G47" i="37"/>
  <c r="F47" i="37"/>
  <c r="E47" i="37"/>
  <c r="D47" i="37"/>
  <c r="C47" i="37"/>
  <c r="B47" i="37"/>
  <c r="K46" i="37"/>
  <c r="J46" i="37"/>
  <c r="I46" i="37"/>
  <c r="H46" i="37"/>
  <c r="G46" i="37"/>
  <c r="F46" i="37"/>
  <c r="E46" i="37"/>
  <c r="D46" i="37"/>
  <c r="C46" i="37"/>
  <c r="B46" i="37"/>
  <c r="A41" i="37"/>
  <c r="A31" i="37"/>
  <c r="A47" i="37"/>
  <c r="K23" i="37"/>
  <c r="G23" i="37"/>
  <c r="F23" i="37"/>
  <c r="E23" i="37"/>
  <c r="D23" i="37"/>
  <c r="C23" i="37"/>
  <c r="B23" i="37"/>
  <c r="L22" i="37"/>
  <c r="L21" i="37"/>
  <c r="L20" i="37"/>
  <c r="L19" i="37"/>
  <c r="L18" i="37"/>
  <c r="L17" i="37"/>
  <c r="L16" i="37"/>
  <c r="L15" i="37"/>
  <c r="L14" i="37"/>
  <c r="L13" i="37"/>
  <c r="L12" i="37"/>
  <c r="L11" i="37"/>
  <c r="C67" i="36"/>
  <c r="C66" i="36"/>
  <c r="C65" i="36"/>
  <c r="C12" i="36"/>
  <c r="A58" i="36"/>
  <c r="C14" i="34"/>
  <c r="C15" i="34"/>
  <c r="G35" i="34"/>
  <c r="C16" i="34"/>
  <c r="C17" i="34"/>
  <c r="G51" i="34"/>
  <c r="C18" i="34"/>
  <c r="C19" i="34"/>
  <c r="C20" i="34"/>
  <c r="C21" i="34"/>
  <c r="C22" i="34"/>
  <c r="C23" i="34"/>
  <c r="C24" i="34"/>
  <c r="C25" i="34"/>
  <c r="I82" i="35"/>
  <c r="I81" i="35"/>
  <c r="I80" i="35"/>
  <c r="I79" i="35"/>
  <c r="I78" i="35"/>
  <c r="F96" i="35"/>
  <c r="F112" i="35"/>
  <c r="I77" i="35"/>
  <c r="I76" i="35"/>
  <c r="I75" i="35"/>
  <c r="F105" i="34"/>
  <c r="H110" i="35"/>
  <c r="H117" i="35"/>
  <c r="G117" i="35"/>
  <c r="H116" i="35"/>
  <c r="H115" i="35"/>
  <c r="H114" i="35"/>
  <c r="G114" i="35"/>
  <c r="H113" i="35"/>
  <c r="H112" i="35"/>
  <c r="H111" i="35"/>
  <c r="H109" i="35"/>
  <c r="G109" i="35"/>
  <c r="H108" i="35"/>
  <c r="G108" i="35"/>
  <c r="F108" i="35"/>
  <c r="E108" i="35"/>
  <c r="D108" i="35"/>
  <c r="H107" i="35"/>
  <c r="G107" i="35"/>
  <c r="I107" i="35"/>
  <c r="D73" i="34"/>
  <c r="F107" i="35"/>
  <c r="E107" i="35"/>
  <c r="D107" i="35"/>
  <c r="C107" i="35"/>
  <c r="H106" i="35"/>
  <c r="G106" i="35"/>
  <c r="I74" i="35"/>
  <c r="I73" i="35"/>
  <c r="I83" i="35"/>
  <c r="I72" i="35"/>
  <c r="I71" i="35"/>
  <c r="I46" i="35"/>
  <c r="H46" i="35"/>
  <c r="H83" i="35"/>
  <c r="I23" i="35"/>
  <c r="H23" i="35"/>
  <c r="I57" i="35"/>
  <c r="H57" i="35"/>
  <c r="I56" i="35"/>
  <c r="H56" i="35"/>
  <c r="I55" i="35"/>
  <c r="H55" i="35"/>
  <c r="I54" i="35"/>
  <c r="H54" i="35"/>
  <c r="I53" i="35"/>
  <c r="H53" i="35"/>
  <c r="I52" i="35"/>
  <c r="H52" i="35"/>
  <c r="I51" i="35"/>
  <c r="H51" i="35"/>
  <c r="I50" i="35"/>
  <c r="H50" i="35"/>
  <c r="I49" i="35"/>
  <c r="H49" i="35"/>
  <c r="I48" i="35"/>
  <c r="I58" i="35"/>
  <c r="H48" i="35"/>
  <c r="K57" i="35"/>
  <c r="K56" i="35"/>
  <c r="K55" i="35"/>
  <c r="K54" i="35"/>
  <c r="K53" i="35"/>
  <c r="K52" i="35"/>
  <c r="K51" i="35"/>
  <c r="K58" i="35"/>
  <c r="K50" i="35"/>
  <c r="K49" i="35"/>
  <c r="K48" i="35"/>
  <c r="K46" i="35"/>
  <c r="K47" i="35"/>
  <c r="I47" i="35"/>
  <c r="H47" i="35"/>
  <c r="H58" i="35"/>
  <c r="F101" i="35"/>
  <c r="F117" i="35"/>
  <c r="E101" i="35"/>
  <c r="E117" i="35"/>
  <c r="D101" i="35"/>
  <c r="D117" i="35"/>
  <c r="C101" i="35"/>
  <c r="C117" i="35"/>
  <c r="I117" i="35"/>
  <c r="D83" i="34"/>
  <c r="B101" i="35"/>
  <c r="B117" i="35"/>
  <c r="G116" i="35"/>
  <c r="F100" i="35"/>
  <c r="F116" i="35"/>
  <c r="E100" i="35"/>
  <c r="E116" i="35"/>
  <c r="D100" i="35"/>
  <c r="D116" i="35"/>
  <c r="C100" i="35"/>
  <c r="C116" i="35"/>
  <c r="B100" i="35"/>
  <c r="B116" i="35"/>
  <c r="G115" i="35"/>
  <c r="F99" i="35"/>
  <c r="F115" i="35"/>
  <c r="E99" i="35"/>
  <c r="E115" i="35"/>
  <c r="D99" i="35"/>
  <c r="D115" i="35"/>
  <c r="C99" i="35"/>
  <c r="C115" i="35"/>
  <c r="B99" i="35"/>
  <c r="B115" i="35"/>
  <c r="F98" i="35"/>
  <c r="F114" i="35"/>
  <c r="E98" i="35"/>
  <c r="E114" i="35"/>
  <c r="D98" i="35"/>
  <c r="D114" i="35"/>
  <c r="C98" i="35"/>
  <c r="C114" i="35"/>
  <c r="B98" i="35"/>
  <c r="B114" i="35"/>
  <c r="G113" i="35"/>
  <c r="F97" i="35"/>
  <c r="F113" i="35"/>
  <c r="E97" i="35"/>
  <c r="E113" i="35"/>
  <c r="D97" i="35"/>
  <c r="D113" i="35"/>
  <c r="C97" i="35"/>
  <c r="C113" i="35"/>
  <c r="B97" i="35"/>
  <c r="B113" i="35"/>
  <c r="I113" i="35"/>
  <c r="D79" i="34"/>
  <c r="G112" i="35"/>
  <c r="E96" i="35"/>
  <c r="E112" i="35"/>
  <c r="D96" i="35"/>
  <c r="D112" i="35"/>
  <c r="C96" i="35"/>
  <c r="C112" i="35"/>
  <c r="B96" i="35"/>
  <c r="B112" i="35"/>
  <c r="G111" i="35"/>
  <c r="F95" i="35"/>
  <c r="F111" i="35"/>
  <c r="E95" i="35"/>
  <c r="E111" i="35"/>
  <c r="D95" i="35"/>
  <c r="D111" i="35"/>
  <c r="C95" i="35"/>
  <c r="C111" i="35"/>
  <c r="B95" i="35"/>
  <c r="B111" i="35"/>
  <c r="G110" i="35"/>
  <c r="F94" i="35"/>
  <c r="F110" i="35"/>
  <c r="E94" i="35"/>
  <c r="E110" i="35"/>
  <c r="D94" i="35"/>
  <c r="D110" i="35"/>
  <c r="C94" i="35"/>
  <c r="C110" i="35"/>
  <c r="B94" i="35"/>
  <c r="B110" i="35"/>
  <c r="I110" i="35"/>
  <c r="D76" i="34"/>
  <c r="F93" i="35"/>
  <c r="F109" i="35"/>
  <c r="E93" i="35"/>
  <c r="E109" i="35"/>
  <c r="E118" i="35"/>
  <c r="D93" i="35"/>
  <c r="D109" i="35"/>
  <c r="C93" i="35"/>
  <c r="C109" i="35"/>
  <c r="B93" i="35"/>
  <c r="B109" i="35"/>
  <c r="I109" i="35"/>
  <c r="D75" i="34"/>
  <c r="C92" i="35"/>
  <c r="C108" i="35"/>
  <c r="C118" i="35"/>
  <c r="B92" i="35"/>
  <c r="B108" i="35"/>
  <c r="B107" i="35"/>
  <c r="F90" i="35"/>
  <c r="F106" i="35"/>
  <c r="E90" i="35"/>
  <c r="E106" i="35"/>
  <c r="D90" i="35"/>
  <c r="D106" i="35"/>
  <c r="C90" i="35"/>
  <c r="C106" i="35"/>
  <c r="B90" i="35"/>
  <c r="B106" i="35"/>
  <c r="G83" i="35"/>
  <c r="F83" i="35"/>
  <c r="E83" i="35"/>
  <c r="D83" i="35"/>
  <c r="C83" i="35"/>
  <c r="B83" i="35"/>
  <c r="F65" i="35"/>
  <c r="J57" i="35"/>
  <c r="L57" i="35"/>
  <c r="D25" i="34"/>
  <c r="G57" i="35"/>
  <c r="F57" i="35"/>
  <c r="E57" i="35"/>
  <c r="D57" i="35"/>
  <c r="C57" i="35"/>
  <c r="B57" i="35"/>
  <c r="J56" i="35"/>
  <c r="G56" i="35"/>
  <c r="L56" i="35"/>
  <c r="D24" i="34"/>
  <c r="F56" i="35"/>
  <c r="E56" i="35"/>
  <c r="D56" i="35"/>
  <c r="C56" i="35"/>
  <c r="B56" i="35"/>
  <c r="J55" i="35"/>
  <c r="G55" i="35"/>
  <c r="F55" i="35"/>
  <c r="E55" i="35"/>
  <c r="D55" i="35"/>
  <c r="C55" i="35"/>
  <c r="L55" i="35"/>
  <c r="D23" i="34"/>
  <c r="B55" i="35"/>
  <c r="J54" i="35"/>
  <c r="G54" i="35"/>
  <c r="F54" i="35"/>
  <c r="E54" i="35"/>
  <c r="L54" i="35"/>
  <c r="D22" i="34"/>
  <c r="D54" i="35"/>
  <c r="C54" i="35"/>
  <c r="B54" i="35"/>
  <c r="J53" i="35"/>
  <c r="G53" i="35"/>
  <c r="F53" i="35"/>
  <c r="E53" i="35"/>
  <c r="D53" i="35"/>
  <c r="C53" i="35"/>
  <c r="B53" i="35"/>
  <c r="J52" i="35"/>
  <c r="G52" i="35"/>
  <c r="F52" i="35"/>
  <c r="E52" i="35"/>
  <c r="D52" i="35"/>
  <c r="C52" i="35"/>
  <c r="L52" i="35"/>
  <c r="D20" i="34"/>
  <c r="B52" i="35"/>
  <c r="J51" i="35"/>
  <c r="G51" i="35"/>
  <c r="F51" i="35"/>
  <c r="E51" i="35"/>
  <c r="D51" i="35"/>
  <c r="C51" i="35"/>
  <c r="B51" i="35"/>
  <c r="J50" i="35"/>
  <c r="G50" i="35"/>
  <c r="F50" i="35"/>
  <c r="E50" i="35"/>
  <c r="D50" i="35"/>
  <c r="C50" i="35"/>
  <c r="B50" i="35"/>
  <c r="L50" i="35"/>
  <c r="D18" i="34"/>
  <c r="J49" i="35"/>
  <c r="G49" i="35"/>
  <c r="F49" i="35"/>
  <c r="E49" i="35"/>
  <c r="E58" i="35"/>
  <c r="D49" i="35"/>
  <c r="C49" i="35"/>
  <c r="B49" i="35"/>
  <c r="B58" i="35"/>
  <c r="J48" i="35"/>
  <c r="J58" i="35"/>
  <c r="G48" i="35"/>
  <c r="F48" i="35"/>
  <c r="E48" i="35"/>
  <c r="D48" i="35"/>
  <c r="L48" i="35"/>
  <c r="D16" i="34"/>
  <c r="C48" i="35"/>
  <c r="B48" i="35"/>
  <c r="J47" i="35"/>
  <c r="G47" i="35"/>
  <c r="F47" i="35"/>
  <c r="F58" i="35"/>
  <c r="E47" i="35"/>
  <c r="D47" i="35"/>
  <c r="C47" i="35"/>
  <c r="B47" i="35"/>
  <c r="J46" i="35"/>
  <c r="G46" i="35"/>
  <c r="L46" i="35"/>
  <c r="G58" i="35"/>
  <c r="F46" i="35"/>
  <c r="E46" i="35"/>
  <c r="D46" i="35"/>
  <c r="D58" i="35"/>
  <c r="C46" i="35"/>
  <c r="B46" i="35"/>
  <c r="A41" i="35"/>
  <c r="A31" i="35"/>
  <c r="A47" i="35"/>
  <c r="K23" i="35"/>
  <c r="J23" i="35"/>
  <c r="G23" i="35"/>
  <c r="F23" i="35"/>
  <c r="E23" i="35"/>
  <c r="D23" i="35"/>
  <c r="C23" i="35"/>
  <c r="B23" i="35"/>
  <c r="L22" i="35"/>
  <c r="L21" i="35"/>
  <c r="L20" i="35"/>
  <c r="L19" i="35"/>
  <c r="L18" i="35"/>
  <c r="L17" i="35"/>
  <c r="L16" i="35"/>
  <c r="L15" i="35"/>
  <c r="L14" i="35"/>
  <c r="L13" i="35"/>
  <c r="L12" i="35"/>
  <c r="L23" i="35"/>
  <c r="L11" i="35"/>
  <c r="A63" i="34"/>
  <c r="C90" i="32"/>
  <c r="C90" i="33"/>
  <c r="C26" i="33"/>
  <c r="F49" i="33"/>
  <c r="J22" i="31"/>
  <c r="K84" i="32"/>
  <c r="C89" i="33"/>
  <c r="C25" i="33"/>
  <c r="C88" i="33"/>
  <c r="C24" i="33"/>
  <c r="B23" i="32"/>
  <c r="C23" i="33"/>
  <c r="C87" i="33"/>
  <c r="C86" i="33"/>
  <c r="C22" i="33"/>
  <c r="C85" i="33"/>
  <c r="C21" i="33"/>
  <c r="C84" i="33"/>
  <c r="D84" i="33"/>
  <c r="C20" i="33"/>
  <c r="C83" i="33"/>
  <c r="C19" i="33"/>
  <c r="C82" i="33"/>
  <c r="C18" i="33"/>
  <c r="G102" i="33"/>
  <c r="G38" i="33"/>
  <c r="C81" i="33"/>
  <c r="C80" i="33"/>
  <c r="C79" i="33"/>
  <c r="C16" i="33"/>
  <c r="C17" i="33"/>
  <c r="D15" i="33"/>
  <c r="C15" i="33"/>
  <c r="I117" i="32"/>
  <c r="F116" i="32"/>
  <c r="B116" i="32"/>
  <c r="F113" i="32"/>
  <c r="G111" i="32"/>
  <c r="B110" i="32"/>
  <c r="F109" i="32"/>
  <c r="I102" i="32"/>
  <c r="H102" i="32"/>
  <c r="H117" i="32"/>
  <c r="H118" i="32"/>
  <c r="G102" i="32"/>
  <c r="G117" i="32"/>
  <c r="F102" i="32"/>
  <c r="F117" i="32"/>
  <c r="F118" i="32"/>
  <c r="E102" i="32"/>
  <c r="E117" i="32"/>
  <c r="E118" i="32"/>
  <c r="D102" i="32"/>
  <c r="D117" i="32"/>
  <c r="D118" i="32"/>
  <c r="C102" i="32"/>
  <c r="C117" i="32"/>
  <c r="B102" i="32"/>
  <c r="B117" i="32"/>
  <c r="I101" i="32"/>
  <c r="I116" i="32"/>
  <c r="H101" i="32"/>
  <c r="H116" i="32"/>
  <c r="G101" i="32"/>
  <c r="G116" i="32"/>
  <c r="F101" i="32"/>
  <c r="E101" i="32"/>
  <c r="E116" i="32"/>
  <c r="D101" i="32"/>
  <c r="D116" i="32"/>
  <c r="C101" i="32"/>
  <c r="C116" i="32"/>
  <c r="B101" i="32"/>
  <c r="I100" i="32"/>
  <c r="I115" i="32"/>
  <c r="H100" i="32"/>
  <c r="H115" i="32"/>
  <c r="G100" i="32"/>
  <c r="G115" i="32"/>
  <c r="G131" i="32"/>
  <c r="F100" i="32"/>
  <c r="F115" i="32"/>
  <c r="E100" i="32"/>
  <c r="E115" i="32"/>
  <c r="D100" i="32"/>
  <c r="D115" i="32"/>
  <c r="C100" i="32"/>
  <c r="C115" i="32"/>
  <c r="B100" i="32"/>
  <c r="B115" i="32"/>
  <c r="I99" i="32"/>
  <c r="I114" i="32"/>
  <c r="H99" i="32"/>
  <c r="H114" i="32"/>
  <c r="G99" i="32"/>
  <c r="G114" i="32"/>
  <c r="F99" i="32"/>
  <c r="F114" i="32"/>
  <c r="E99" i="32"/>
  <c r="E114" i="32"/>
  <c r="E130" i="32"/>
  <c r="D99" i="32"/>
  <c r="D114" i="32"/>
  <c r="C99" i="32"/>
  <c r="C114" i="32"/>
  <c r="B99" i="32"/>
  <c r="B114" i="32"/>
  <c r="I98" i="32"/>
  <c r="I113" i="32"/>
  <c r="H98" i="32"/>
  <c r="H113" i="32"/>
  <c r="G98" i="32"/>
  <c r="G113" i="32"/>
  <c r="G129" i="32"/>
  <c r="F98" i="32"/>
  <c r="E98" i="32"/>
  <c r="E113" i="32"/>
  <c r="E129" i="32"/>
  <c r="D98" i="32"/>
  <c r="D113" i="32"/>
  <c r="C98" i="32"/>
  <c r="C113" i="32"/>
  <c r="C129" i="32"/>
  <c r="B98" i="32"/>
  <c r="B113" i="32"/>
  <c r="I97" i="32"/>
  <c r="I112" i="32"/>
  <c r="H97" i="32"/>
  <c r="H112" i="32"/>
  <c r="G97" i="32"/>
  <c r="G112" i="32"/>
  <c r="F97" i="32"/>
  <c r="F112" i="32"/>
  <c r="E97" i="32"/>
  <c r="E112" i="32"/>
  <c r="D97" i="32"/>
  <c r="D112" i="32"/>
  <c r="C97" i="32"/>
  <c r="C112" i="32"/>
  <c r="B97" i="32"/>
  <c r="B112" i="32"/>
  <c r="I96" i="32"/>
  <c r="I111" i="32"/>
  <c r="H96" i="32"/>
  <c r="H111" i="32"/>
  <c r="G96" i="32"/>
  <c r="F96" i="32"/>
  <c r="F111" i="32"/>
  <c r="E96" i="32"/>
  <c r="E111" i="32"/>
  <c r="D96" i="32"/>
  <c r="D111" i="32"/>
  <c r="C96" i="32"/>
  <c r="C111" i="32"/>
  <c r="B96" i="32"/>
  <c r="B111" i="32"/>
  <c r="I95" i="32"/>
  <c r="I110" i="32"/>
  <c r="I126" i="32"/>
  <c r="H95" i="32"/>
  <c r="H110" i="32"/>
  <c r="G95" i="32"/>
  <c r="G110" i="32"/>
  <c r="F95" i="32"/>
  <c r="F110" i="32"/>
  <c r="E95" i="32"/>
  <c r="E110" i="32"/>
  <c r="D95" i="32"/>
  <c r="D110" i="32"/>
  <c r="J110" i="32"/>
  <c r="D83" i="33"/>
  <c r="C95" i="32"/>
  <c r="C110" i="32"/>
  <c r="B95" i="32"/>
  <c r="I94" i="32"/>
  <c r="I109" i="32"/>
  <c r="H94" i="32"/>
  <c r="H109" i="32"/>
  <c r="H125" i="32"/>
  <c r="G94" i="32"/>
  <c r="G109" i="32"/>
  <c r="F94" i="32"/>
  <c r="E94" i="32"/>
  <c r="E109" i="32"/>
  <c r="D94" i="32"/>
  <c r="D109" i="32"/>
  <c r="B94" i="32"/>
  <c r="B109" i="32"/>
  <c r="I93" i="32"/>
  <c r="I108" i="32"/>
  <c r="I124" i="32"/>
  <c r="H93" i="32"/>
  <c r="H108" i="32"/>
  <c r="G93" i="32"/>
  <c r="G108" i="32"/>
  <c r="F93" i="32"/>
  <c r="F108" i="32"/>
  <c r="E93" i="32"/>
  <c r="E108" i="32"/>
  <c r="D93" i="32"/>
  <c r="D108" i="32"/>
  <c r="C93" i="32"/>
  <c r="C108" i="32"/>
  <c r="B93" i="32"/>
  <c r="B108" i="32"/>
  <c r="B124" i="32"/>
  <c r="I92" i="32"/>
  <c r="I107" i="32"/>
  <c r="H92" i="32"/>
  <c r="H107" i="32"/>
  <c r="G92" i="32"/>
  <c r="G107" i="32"/>
  <c r="G123" i="32"/>
  <c r="F92" i="32"/>
  <c r="F107" i="32"/>
  <c r="E92" i="32"/>
  <c r="E107" i="32"/>
  <c r="D92" i="32"/>
  <c r="D107" i="32"/>
  <c r="C92" i="32"/>
  <c r="C107" i="32"/>
  <c r="B92" i="32"/>
  <c r="B107" i="32"/>
  <c r="I91" i="32"/>
  <c r="I106" i="32"/>
  <c r="H91" i="32"/>
  <c r="H106" i="32"/>
  <c r="H122" i="32"/>
  <c r="G91" i="32"/>
  <c r="G106" i="32"/>
  <c r="F91" i="32"/>
  <c r="F106" i="32"/>
  <c r="E91" i="32"/>
  <c r="E106" i="32"/>
  <c r="E122" i="32"/>
  <c r="D91" i="32"/>
  <c r="D106" i="32"/>
  <c r="D122" i="32"/>
  <c r="C91" i="32"/>
  <c r="C106" i="32"/>
  <c r="C122" i="32"/>
  <c r="B91" i="32"/>
  <c r="B106" i="32"/>
  <c r="A89" i="32"/>
  <c r="I84" i="32"/>
  <c r="H84" i="32"/>
  <c r="G84" i="32"/>
  <c r="F84" i="32"/>
  <c r="E84" i="32"/>
  <c r="D84" i="32"/>
  <c r="C84" i="32"/>
  <c r="B84" i="32"/>
  <c r="J83" i="32"/>
  <c r="J84" i="32"/>
  <c r="J82" i="32"/>
  <c r="J81" i="32"/>
  <c r="J80" i="32"/>
  <c r="J79" i="32"/>
  <c r="J78" i="32"/>
  <c r="J77" i="32"/>
  <c r="J76" i="32"/>
  <c r="J75" i="32"/>
  <c r="J74" i="32"/>
  <c r="J73" i="32"/>
  <c r="J72" i="32"/>
  <c r="F66" i="32"/>
  <c r="I57" i="32"/>
  <c r="I58" i="32"/>
  <c r="H57" i="32"/>
  <c r="G57" i="32"/>
  <c r="G58" i="32"/>
  <c r="F57" i="32"/>
  <c r="E57" i="32"/>
  <c r="E58" i="32"/>
  <c r="D57" i="32"/>
  <c r="C57" i="32"/>
  <c r="B57" i="32"/>
  <c r="B133" i="32"/>
  <c r="B134" i="32"/>
  <c r="I56" i="32"/>
  <c r="I132" i="32"/>
  <c r="H56" i="32"/>
  <c r="G56" i="32"/>
  <c r="G132" i="32"/>
  <c r="F56" i="32"/>
  <c r="F132" i="32"/>
  <c r="E56" i="32"/>
  <c r="E132" i="32"/>
  <c r="D56" i="32"/>
  <c r="C56" i="32"/>
  <c r="B56" i="32"/>
  <c r="I55" i="32"/>
  <c r="H55" i="32"/>
  <c r="H131" i="32"/>
  <c r="G55" i="32"/>
  <c r="F55" i="32"/>
  <c r="E55" i="32"/>
  <c r="E131" i="32"/>
  <c r="D55" i="32"/>
  <c r="C55" i="32"/>
  <c r="C131" i="32"/>
  <c r="B55" i="32"/>
  <c r="B131" i="32"/>
  <c r="I54" i="32"/>
  <c r="I130" i="32"/>
  <c r="H54" i="32"/>
  <c r="G54" i="32"/>
  <c r="F54" i="32"/>
  <c r="E54" i="32"/>
  <c r="D54" i="32"/>
  <c r="C54" i="32"/>
  <c r="C130" i="32"/>
  <c r="B54" i="32"/>
  <c r="B130" i="32"/>
  <c r="I53" i="32"/>
  <c r="H53" i="32"/>
  <c r="H129" i="32"/>
  <c r="G53" i="32"/>
  <c r="F53" i="32"/>
  <c r="F129" i="32"/>
  <c r="E53" i="32"/>
  <c r="D53" i="32"/>
  <c r="C53" i="32"/>
  <c r="B53" i="32"/>
  <c r="I52" i="32"/>
  <c r="I128" i="32"/>
  <c r="H52" i="32"/>
  <c r="H128" i="32"/>
  <c r="G52" i="32"/>
  <c r="F52" i="32"/>
  <c r="F128" i="32"/>
  <c r="E52" i="32"/>
  <c r="D52" i="32"/>
  <c r="C52" i="32"/>
  <c r="C128" i="32"/>
  <c r="B52" i="32"/>
  <c r="I51" i="32"/>
  <c r="I127" i="32"/>
  <c r="H51" i="32"/>
  <c r="H127" i="32"/>
  <c r="G51" i="32"/>
  <c r="G127" i="32"/>
  <c r="F51" i="32"/>
  <c r="F127" i="32"/>
  <c r="E51" i="32"/>
  <c r="D51" i="32"/>
  <c r="C51" i="32"/>
  <c r="C127" i="32"/>
  <c r="B51" i="32"/>
  <c r="I50" i="32"/>
  <c r="H50" i="32"/>
  <c r="G50" i="32"/>
  <c r="F50" i="32"/>
  <c r="E50" i="32"/>
  <c r="D50" i="32"/>
  <c r="J50" i="32"/>
  <c r="D19" i="33"/>
  <c r="C50" i="32"/>
  <c r="B50" i="32"/>
  <c r="B126" i="32"/>
  <c r="I49" i="32"/>
  <c r="I125" i="32"/>
  <c r="H49" i="32"/>
  <c r="G49" i="32"/>
  <c r="F49" i="32"/>
  <c r="F125" i="32"/>
  <c r="E49" i="32"/>
  <c r="E125" i="32"/>
  <c r="D49" i="32"/>
  <c r="D125" i="32"/>
  <c r="C49" i="32"/>
  <c r="B49" i="32"/>
  <c r="B125" i="32"/>
  <c r="I48" i="32"/>
  <c r="H48" i="32"/>
  <c r="H124" i="32"/>
  <c r="G48" i="32"/>
  <c r="F48" i="32"/>
  <c r="E48" i="32"/>
  <c r="E124" i="32"/>
  <c r="D48" i="32"/>
  <c r="C48" i="32"/>
  <c r="C124" i="32"/>
  <c r="B48" i="32"/>
  <c r="I47" i="32"/>
  <c r="I123" i="32"/>
  <c r="H47" i="32"/>
  <c r="G47" i="32"/>
  <c r="F47" i="32"/>
  <c r="E47" i="32"/>
  <c r="D47" i="32"/>
  <c r="D123" i="32"/>
  <c r="C47" i="32"/>
  <c r="B47" i="32"/>
  <c r="B123" i="32"/>
  <c r="I46" i="32"/>
  <c r="H46" i="32"/>
  <c r="G46" i="32"/>
  <c r="F46" i="32"/>
  <c r="E46" i="32"/>
  <c r="D46" i="32"/>
  <c r="C46" i="32"/>
  <c r="B46" i="32"/>
  <c r="A41" i="32"/>
  <c r="C94" i="32"/>
  <c r="C109" i="32"/>
  <c r="C125" i="32"/>
  <c r="A31" i="32"/>
  <c r="A47" i="32"/>
  <c r="I23" i="32"/>
  <c r="H23" i="32"/>
  <c r="G23" i="32"/>
  <c r="F23" i="32"/>
  <c r="E23" i="32"/>
  <c r="D23" i="32"/>
  <c r="C23" i="32"/>
  <c r="J22" i="32"/>
  <c r="J23" i="32"/>
  <c r="J21" i="32"/>
  <c r="J20" i="32"/>
  <c r="J19" i="32"/>
  <c r="J18" i="32"/>
  <c r="J17" i="32"/>
  <c r="J16" i="32"/>
  <c r="J15" i="32"/>
  <c r="J14" i="32"/>
  <c r="J13" i="32"/>
  <c r="J12" i="32"/>
  <c r="J11" i="32"/>
  <c r="C91" i="33"/>
  <c r="F113" i="33"/>
  <c r="A70" i="33"/>
  <c r="H108" i="31"/>
  <c r="I94" i="31"/>
  <c r="H94" i="31"/>
  <c r="G94" i="31"/>
  <c r="I93" i="31"/>
  <c r="H93" i="31"/>
  <c r="G93" i="31"/>
  <c r="I92" i="31"/>
  <c r="H92" i="31"/>
  <c r="G92" i="31"/>
  <c r="I91" i="31"/>
  <c r="H91" i="31"/>
  <c r="G91" i="31"/>
  <c r="I84" i="31"/>
  <c r="H84" i="31"/>
  <c r="G84" i="31"/>
  <c r="H23" i="31"/>
  <c r="G23" i="31"/>
  <c r="A41" i="31"/>
  <c r="C89" i="30"/>
  <c r="C15" i="30"/>
  <c r="C90" i="30"/>
  <c r="C26" i="30"/>
  <c r="C88" i="30"/>
  <c r="C25" i="30"/>
  <c r="C24" i="30"/>
  <c r="C87" i="30"/>
  <c r="C23" i="30"/>
  <c r="C86" i="30"/>
  <c r="C22" i="30"/>
  <c r="C85" i="30"/>
  <c r="C21" i="30"/>
  <c r="G111" i="31"/>
  <c r="I96" i="31"/>
  <c r="I111" i="31"/>
  <c r="J111" i="31"/>
  <c r="D84" i="30"/>
  <c r="H96" i="31"/>
  <c r="H111" i="31"/>
  <c r="G96" i="31"/>
  <c r="F96" i="31"/>
  <c r="F111" i="31"/>
  <c r="F127" i="31"/>
  <c r="E96" i="31"/>
  <c r="E111" i="31"/>
  <c r="D96" i="31"/>
  <c r="D111" i="31"/>
  <c r="C96" i="31"/>
  <c r="C111" i="31"/>
  <c r="B96" i="31"/>
  <c r="B111" i="31"/>
  <c r="C84" i="30"/>
  <c r="C20" i="30"/>
  <c r="C19" i="30"/>
  <c r="C16" i="30"/>
  <c r="C83" i="30"/>
  <c r="C91" i="30"/>
  <c r="C82" i="30"/>
  <c r="C18" i="30"/>
  <c r="C33" i="31"/>
  <c r="C49" i="31"/>
  <c r="C17" i="30"/>
  <c r="C81" i="30"/>
  <c r="C80" i="30"/>
  <c r="E34" i="30"/>
  <c r="E98" i="30"/>
  <c r="A100" i="30"/>
  <c r="C79" i="30"/>
  <c r="B91" i="31"/>
  <c r="B106" i="31"/>
  <c r="C91" i="31"/>
  <c r="C106" i="31"/>
  <c r="D91" i="31"/>
  <c r="D106" i="31"/>
  <c r="D122" i="31"/>
  <c r="E91" i="31"/>
  <c r="E106" i="31"/>
  <c r="F91" i="31"/>
  <c r="F106" i="31"/>
  <c r="G106" i="31"/>
  <c r="H106" i="31"/>
  <c r="J106" i="31"/>
  <c r="D79" i="30"/>
  <c r="H122" i="31"/>
  <c r="B92" i="31"/>
  <c r="B107" i="31"/>
  <c r="C92" i="31"/>
  <c r="C107" i="31"/>
  <c r="D92" i="31"/>
  <c r="D107" i="31"/>
  <c r="E92" i="31"/>
  <c r="E107" i="31"/>
  <c r="F92" i="31"/>
  <c r="F107" i="31"/>
  <c r="F123" i="31"/>
  <c r="G107" i="31"/>
  <c r="H107" i="31"/>
  <c r="B57" i="31"/>
  <c r="B58" i="31"/>
  <c r="C57" i="31"/>
  <c r="C58" i="31"/>
  <c r="D57" i="31"/>
  <c r="D133" i="31"/>
  <c r="E57" i="31"/>
  <c r="E133" i="31"/>
  <c r="E134" i="31"/>
  <c r="F57" i="31"/>
  <c r="G57" i="31"/>
  <c r="H57" i="31"/>
  <c r="H133" i="31"/>
  <c r="I57" i="31"/>
  <c r="B56" i="31"/>
  <c r="B132" i="31"/>
  <c r="C56" i="31"/>
  <c r="D56" i="31"/>
  <c r="D58" i="31"/>
  <c r="E56" i="31"/>
  <c r="F56" i="31"/>
  <c r="G56" i="31"/>
  <c r="H56" i="31"/>
  <c r="J56" i="31"/>
  <c r="D25" i="30"/>
  <c r="I56" i="31"/>
  <c r="I58" i="31"/>
  <c r="B55" i="31"/>
  <c r="B131" i="31"/>
  <c r="C55" i="31"/>
  <c r="D55" i="31"/>
  <c r="E55" i="31"/>
  <c r="F55" i="31"/>
  <c r="G55" i="31"/>
  <c r="H55" i="31"/>
  <c r="I55" i="31"/>
  <c r="B54" i="31"/>
  <c r="C54" i="31"/>
  <c r="D54" i="31"/>
  <c r="D130" i="31"/>
  <c r="E54" i="31"/>
  <c r="F54" i="31"/>
  <c r="G54" i="31"/>
  <c r="H54" i="31"/>
  <c r="I54" i="31"/>
  <c r="B53" i="31"/>
  <c r="C53" i="31"/>
  <c r="D53" i="31"/>
  <c r="E53" i="31"/>
  <c r="F53" i="31"/>
  <c r="G53" i="31"/>
  <c r="H53" i="31"/>
  <c r="I53" i="31"/>
  <c r="B52" i="31"/>
  <c r="C52" i="31"/>
  <c r="D52" i="31"/>
  <c r="E52" i="31"/>
  <c r="F52" i="31"/>
  <c r="G52" i="31"/>
  <c r="H52" i="31"/>
  <c r="I52" i="31"/>
  <c r="I128" i="31"/>
  <c r="B51" i="31"/>
  <c r="C51" i="31"/>
  <c r="D51" i="31"/>
  <c r="E51" i="31"/>
  <c r="F51" i="31"/>
  <c r="G51" i="31"/>
  <c r="H51" i="31"/>
  <c r="J51" i="31"/>
  <c r="D20" i="30"/>
  <c r="I51" i="31"/>
  <c r="B50" i="31"/>
  <c r="B126" i="31"/>
  <c r="C50" i="31"/>
  <c r="D50" i="31"/>
  <c r="D126" i="31"/>
  <c r="E50" i="31"/>
  <c r="F50" i="31"/>
  <c r="G50" i="31"/>
  <c r="H50" i="31"/>
  <c r="H126" i="31"/>
  <c r="I50" i="31"/>
  <c r="I126" i="31"/>
  <c r="B49" i="31"/>
  <c r="D49" i="31"/>
  <c r="E49" i="31"/>
  <c r="F49" i="31"/>
  <c r="G49" i="31"/>
  <c r="H49" i="31"/>
  <c r="I49" i="31"/>
  <c r="B48" i="31"/>
  <c r="C48" i="31"/>
  <c r="D48" i="31"/>
  <c r="E48" i="31"/>
  <c r="F48" i="31"/>
  <c r="G48" i="31"/>
  <c r="H48" i="31"/>
  <c r="I48" i="31"/>
  <c r="B47" i="31"/>
  <c r="C47" i="31"/>
  <c r="C123" i="31"/>
  <c r="D47" i="31"/>
  <c r="E47" i="31"/>
  <c r="F47" i="31"/>
  <c r="G47" i="31"/>
  <c r="H47" i="31"/>
  <c r="I47" i="31"/>
  <c r="B46" i="31"/>
  <c r="C46" i="31"/>
  <c r="C122" i="31"/>
  <c r="D46" i="31"/>
  <c r="E46" i="31"/>
  <c r="F46" i="31"/>
  <c r="G46" i="31"/>
  <c r="H46" i="31"/>
  <c r="I46" i="31"/>
  <c r="I106" i="31"/>
  <c r="I107" i="31"/>
  <c r="B93" i="31"/>
  <c r="B108" i="31"/>
  <c r="C93" i="31"/>
  <c r="C108" i="31"/>
  <c r="D93" i="31"/>
  <c r="D108" i="31"/>
  <c r="E93" i="31"/>
  <c r="E108" i="31"/>
  <c r="F93" i="31"/>
  <c r="F108" i="31"/>
  <c r="F124" i="31"/>
  <c r="G108" i="31"/>
  <c r="I108" i="31"/>
  <c r="B94" i="31"/>
  <c r="B109" i="31"/>
  <c r="D94" i="31"/>
  <c r="D109" i="31"/>
  <c r="D125" i="31"/>
  <c r="E94" i="31"/>
  <c r="E109" i="31"/>
  <c r="F94" i="31"/>
  <c r="F109" i="31"/>
  <c r="G109" i="31"/>
  <c r="G125" i="31"/>
  <c r="H109" i="31"/>
  <c r="I109" i="31"/>
  <c r="J109" i="31"/>
  <c r="D82" i="30"/>
  <c r="B95" i="31"/>
  <c r="B110" i="31"/>
  <c r="C95" i="31"/>
  <c r="C110" i="31"/>
  <c r="D95" i="31"/>
  <c r="D110" i="31"/>
  <c r="E95" i="31"/>
  <c r="E110" i="31"/>
  <c r="F95" i="31"/>
  <c r="F110" i="31"/>
  <c r="G95" i="31"/>
  <c r="G110" i="31"/>
  <c r="H95" i="31"/>
  <c r="H110" i="31"/>
  <c r="I95" i="31"/>
  <c r="I110" i="31"/>
  <c r="B97" i="31"/>
  <c r="B112" i="31"/>
  <c r="C97" i="31"/>
  <c r="C112" i="31"/>
  <c r="D97" i="31"/>
  <c r="D112" i="31"/>
  <c r="E97" i="31"/>
  <c r="E112" i="31"/>
  <c r="F97" i="31"/>
  <c r="F112" i="31"/>
  <c r="G97" i="31"/>
  <c r="G112" i="31"/>
  <c r="H97" i="31"/>
  <c r="H112" i="31"/>
  <c r="H118" i="31"/>
  <c r="I97" i="31"/>
  <c r="I112" i="31"/>
  <c r="B98" i="31"/>
  <c r="B113" i="31"/>
  <c r="C98" i="31"/>
  <c r="C113" i="31"/>
  <c r="D98" i="31"/>
  <c r="D113" i="31"/>
  <c r="E98" i="31"/>
  <c r="E113" i="31"/>
  <c r="E129" i="31"/>
  <c r="F98" i="31"/>
  <c r="F113" i="31"/>
  <c r="G98" i="31"/>
  <c r="G113" i="31"/>
  <c r="J113" i="31"/>
  <c r="D86" i="30"/>
  <c r="H98" i="31"/>
  <c r="H113" i="31"/>
  <c r="H129" i="31"/>
  <c r="I98" i="31"/>
  <c r="I113" i="31"/>
  <c r="I129" i="31"/>
  <c r="B99" i="31"/>
  <c r="B114" i="31"/>
  <c r="B130" i="31"/>
  <c r="C99" i="31"/>
  <c r="C114" i="31"/>
  <c r="C130" i="31"/>
  <c r="D99" i="31"/>
  <c r="D114" i="31"/>
  <c r="E99" i="31"/>
  <c r="E114" i="31"/>
  <c r="F99" i="31"/>
  <c r="F114" i="31"/>
  <c r="F130" i="31"/>
  <c r="G99" i="31"/>
  <c r="G114" i="31"/>
  <c r="G130" i="31"/>
  <c r="H99" i="31"/>
  <c r="H114" i="31"/>
  <c r="I99" i="31"/>
  <c r="I114" i="31"/>
  <c r="I130" i="31"/>
  <c r="B100" i="31"/>
  <c r="B115" i="31"/>
  <c r="C100" i="31"/>
  <c r="C115" i="31"/>
  <c r="D100" i="31"/>
  <c r="D115" i="31"/>
  <c r="D131" i="31"/>
  <c r="E100" i="31"/>
  <c r="E115" i="31"/>
  <c r="F100" i="31"/>
  <c r="F115" i="31"/>
  <c r="G100" i="31"/>
  <c r="G115" i="31"/>
  <c r="G131" i="31"/>
  <c r="H100" i="31"/>
  <c r="H115" i="31"/>
  <c r="H131" i="31"/>
  <c r="I100" i="31"/>
  <c r="I115" i="31"/>
  <c r="J115" i="31"/>
  <c r="D88" i="30"/>
  <c r="B101" i="31"/>
  <c r="B116" i="31"/>
  <c r="C101" i="31"/>
  <c r="C116" i="31"/>
  <c r="D101" i="31"/>
  <c r="D116" i="31"/>
  <c r="D118" i="31"/>
  <c r="E101" i="31"/>
  <c r="E116" i="31"/>
  <c r="F101" i="31"/>
  <c r="F116" i="31"/>
  <c r="G101" i="31"/>
  <c r="G116" i="31"/>
  <c r="J116" i="31"/>
  <c r="D89" i="30"/>
  <c r="H101" i="31"/>
  <c r="H116" i="31"/>
  <c r="I101" i="31"/>
  <c r="I116" i="31"/>
  <c r="B102" i="31"/>
  <c r="B117" i="31"/>
  <c r="C102" i="31"/>
  <c r="C117" i="31"/>
  <c r="D102" i="31"/>
  <c r="D117" i="31"/>
  <c r="E102" i="31"/>
  <c r="E117" i="31"/>
  <c r="F102" i="31"/>
  <c r="F117" i="31"/>
  <c r="G102" i="31"/>
  <c r="G117" i="31"/>
  <c r="G133" i="31"/>
  <c r="H102" i="31"/>
  <c r="H117" i="31"/>
  <c r="I102" i="31"/>
  <c r="I117" i="31"/>
  <c r="I133" i="31"/>
  <c r="A89" i="31"/>
  <c r="J72" i="31"/>
  <c r="J73" i="31"/>
  <c r="J74" i="31"/>
  <c r="J75" i="31"/>
  <c r="J76" i="31"/>
  <c r="J77" i="31"/>
  <c r="J78" i="31"/>
  <c r="J79" i="31"/>
  <c r="J80" i="31"/>
  <c r="J81" i="31"/>
  <c r="J82" i="31"/>
  <c r="J83" i="31"/>
  <c r="F84" i="31"/>
  <c r="E84" i="31"/>
  <c r="D84" i="31"/>
  <c r="C84" i="31"/>
  <c r="B84" i="31"/>
  <c r="F66" i="31"/>
  <c r="A31" i="31"/>
  <c r="A47" i="31"/>
  <c r="I23" i="31"/>
  <c r="J11" i="31"/>
  <c r="J12" i="31"/>
  <c r="J13" i="31"/>
  <c r="J14" i="31"/>
  <c r="J15" i="31"/>
  <c r="J16" i="31"/>
  <c r="J17" i="31"/>
  <c r="J18" i="31"/>
  <c r="J19" i="31"/>
  <c r="J20" i="31"/>
  <c r="J21" i="31"/>
  <c r="F23" i="31"/>
  <c r="E23" i="31"/>
  <c r="D23" i="31"/>
  <c r="C23" i="31"/>
  <c r="B23" i="31"/>
  <c r="F113" i="30"/>
  <c r="A70" i="30"/>
  <c r="C82" i="28"/>
  <c r="C83" i="28"/>
  <c r="C84" i="28"/>
  <c r="C85" i="28"/>
  <c r="G107" i="28"/>
  <c r="C86" i="28"/>
  <c r="C87" i="28"/>
  <c r="C89" i="28"/>
  <c r="C90" i="28"/>
  <c r="C91" i="28"/>
  <c r="C92" i="28"/>
  <c r="C93" i="28"/>
  <c r="C94" i="28"/>
  <c r="C95" i="28"/>
  <c r="C15" i="28"/>
  <c r="C16" i="28"/>
  <c r="C17" i="28"/>
  <c r="C18" i="28"/>
  <c r="C19" i="28"/>
  <c r="C20" i="28"/>
  <c r="C21" i="28"/>
  <c r="C22" i="28"/>
  <c r="C23" i="28"/>
  <c r="C24" i="28"/>
  <c r="C25" i="28"/>
  <c r="C26" i="28"/>
  <c r="C27" i="28"/>
  <c r="C28" i="28"/>
  <c r="C29" i="28"/>
  <c r="I117" i="29"/>
  <c r="I135" i="29"/>
  <c r="J135" i="29"/>
  <c r="H117" i="29"/>
  <c r="H135" i="29"/>
  <c r="G117" i="29"/>
  <c r="G135" i="29"/>
  <c r="G154" i="29"/>
  <c r="F117" i="29"/>
  <c r="F135" i="29"/>
  <c r="E117" i="29"/>
  <c r="E135" i="29"/>
  <c r="D117" i="29"/>
  <c r="D135" i="29"/>
  <c r="C117" i="29"/>
  <c r="C135" i="29"/>
  <c r="C154" i="29"/>
  <c r="B117" i="29"/>
  <c r="B135" i="29"/>
  <c r="J95" i="29"/>
  <c r="B66" i="29"/>
  <c r="B154" i="29"/>
  <c r="C66" i="29"/>
  <c r="D66" i="29"/>
  <c r="E66" i="29"/>
  <c r="E154" i="29"/>
  <c r="F66" i="29"/>
  <c r="F154" i="29"/>
  <c r="G66" i="29"/>
  <c r="H66" i="29"/>
  <c r="I66" i="29"/>
  <c r="J25" i="29"/>
  <c r="B52" i="29"/>
  <c r="C52" i="29"/>
  <c r="J52" i="29"/>
  <c r="D15" i="28"/>
  <c r="D52" i="29"/>
  <c r="E52" i="29"/>
  <c r="F52" i="29"/>
  <c r="G52" i="29"/>
  <c r="H52" i="29"/>
  <c r="I52" i="29"/>
  <c r="B53" i="29"/>
  <c r="C53" i="29"/>
  <c r="D53" i="29"/>
  <c r="E53" i="29"/>
  <c r="F53" i="29"/>
  <c r="G53" i="29"/>
  <c r="H53" i="29"/>
  <c r="I53" i="29"/>
  <c r="B54" i="29"/>
  <c r="J54" i="29"/>
  <c r="D17" i="28"/>
  <c r="C54" i="29"/>
  <c r="D54" i="29"/>
  <c r="D142" i="29"/>
  <c r="E54" i="29"/>
  <c r="F54" i="29"/>
  <c r="G54" i="29"/>
  <c r="H54" i="29"/>
  <c r="I54" i="29"/>
  <c r="I142" i="29"/>
  <c r="B55" i="29"/>
  <c r="C55" i="29"/>
  <c r="C143" i="29"/>
  <c r="D55" i="29"/>
  <c r="E55" i="29"/>
  <c r="F55" i="29"/>
  <c r="G55" i="29"/>
  <c r="H55" i="29"/>
  <c r="I55" i="29"/>
  <c r="B56" i="29"/>
  <c r="C56" i="29"/>
  <c r="D56" i="29"/>
  <c r="E56" i="29"/>
  <c r="F56" i="29"/>
  <c r="G56" i="29"/>
  <c r="H56" i="29"/>
  <c r="I56" i="29"/>
  <c r="B57" i="29"/>
  <c r="C57" i="29"/>
  <c r="D57" i="29"/>
  <c r="E57" i="29"/>
  <c r="F57" i="29"/>
  <c r="F145" i="29"/>
  <c r="G57" i="29"/>
  <c r="H57" i="29"/>
  <c r="H145" i="29"/>
  <c r="I57" i="29"/>
  <c r="B58" i="29"/>
  <c r="C58" i="29"/>
  <c r="D58" i="29"/>
  <c r="E58" i="29"/>
  <c r="F58" i="29"/>
  <c r="G58" i="29"/>
  <c r="G146" i="29"/>
  <c r="H58" i="29"/>
  <c r="I58" i="29"/>
  <c r="B59" i="29"/>
  <c r="C59" i="29"/>
  <c r="D59" i="29"/>
  <c r="E59" i="29"/>
  <c r="F59" i="29"/>
  <c r="F147" i="29"/>
  <c r="G59" i="29"/>
  <c r="H59" i="29"/>
  <c r="H147" i="29"/>
  <c r="I59" i="29"/>
  <c r="B60" i="29"/>
  <c r="C60" i="29"/>
  <c r="D60" i="29"/>
  <c r="D148" i="29"/>
  <c r="E60" i="29"/>
  <c r="F60" i="29"/>
  <c r="G60" i="29"/>
  <c r="H60" i="29"/>
  <c r="I60" i="29"/>
  <c r="B61" i="29"/>
  <c r="C61" i="29"/>
  <c r="D61" i="29"/>
  <c r="D149" i="29"/>
  <c r="E61" i="29"/>
  <c r="F61" i="29"/>
  <c r="G61" i="29"/>
  <c r="G149" i="29"/>
  <c r="H61" i="29"/>
  <c r="I61" i="29"/>
  <c r="B62" i="29"/>
  <c r="C62" i="29"/>
  <c r="C150" i="29"/>
  <c r="D62" i="29"/>
  <c r="E62" i="29"/>
  <c r="F62" i="29"/>
  <c r="F150" i="29"/>
  <c r="G62" i="29"/>
  <c r="G150" i="29"/>
  <c r="H62" i="29"/>
  <c r="I62" i="29"/>
  <c r="B63" i="29"/>
  <c r="J63" i="29"/>
  <c r="D26" i="28"/>
  <c r="C63" i="29"/>
  <c r="D63" i="29"/>
  <c r="E63" i="29"/>
  <c r="F63" i="29"/>
  <c r="G63" i="29"/>
  <c r="H63" i="29"/>
  <c r="I63" i="29"/>
  <c r="B64" i="29"/>
  <c r="C64" i="29"/>
  <c r="D64" i="29"/>
  <c r="J64" i="29"/>
  <c r="D27" i="28"/>
  <c r="E64" i="29"/>
  <c r="F64" i="29"/>
  <c r="G64" i="29"/>
  <c r="H64" i="29"/>
  <c r="I64" i="29"/>
  <c r="B65" i="29"/>
  <c r="D28" i="28"/>
  <c r="C65" i="29"/>
  <c r="D65" i="29"/>
  <c r="E65" i="29"/>
  <c r="F65" i="29"/>
  <c r="G65" i="29"/>
  <c r="H65" i="29"/>
  <c r="I65" i="29"/>
  <c r="J65" i="29"/>
  <c r="B103" i="29"/>
  <c r="B121" i="29"/>
  <c r="C103" i="29"/>
  <c r="C121" i="29"/>
  <c r="D103" i="29"/>
  <c r="D121" i="29"/>
  <c r="E103" i="29"/>
  <c r="E121" i="29"/>
  <c r="F103" i="29"/>
  <c r="F121" i="29"/>
  <c r="G103" i="29"/>
  <c r="G121" i="29"/>
  <c r="H103" i="29"/>
  <c r="H121" i="29"/>
  <c r="I103" i="29"/>
  <c r="I121" i="29"/>
  <c r="B104" i="29"/>
  <c r="B122" i="29"/>
  <c r="C104" i="29"/>
  <c r="C122" i="29"/>
  <c r="D104" i="29"/>
  <c r="D122" i="29"/>
  <c r="D141" i="29"/>
  <c r="E104" i="29"/>
  <c r="E122" i="29"/>
  <c r="J122" i="29"/>
  <c r="F104" i="29"/>
  <c r="F122" i="29"/>
  <c r="G104" i="29"/>
  <c r="G122" i="29"/>
  <c r="G141" i="29"/>
  <c r="H104" i="29"/>
  <c r="H122" i="29"/>
  <c r="I104" i="29"/>
  <c r="I122" i="29"/>
  <c r="B105" i="29"/>
  <c r="B123" i="29"/>
  <c r="C105" i="29"/>
  <c r="C123" i="29"/>
  <c r="D105" i="29"/>
  <c r="D123" i="29"/>
  <c r="E105" i="29"/>
  <c r="E123" i="29"/>
  <c r="F105" i="29"/>
  <c r="F123" i="29"/>
  <c r="F142" i="29"/>
  <c r="G105" i="29"/>
  <c r="G123" i="29"/>
  <c r="H105" i="29"/>
  <c r="H123" i="29"/>
  <c r="H142" i="29"/>
  <c r="I105" i="29"/>
  <c r="I123" i="29"/>
  <c r="B106" i="29"/>
  <c r="B124" i="29"/>
  <c r="C106" i="29"/>
  <c r="C124" i="29"/>
  <c r="D106" i="29"/>
  <c r="D124" i="29"/>
  <c r="E106" i="29"/>
  <c r="E124" i="29"/>
  <c r="E143" i="29"/>
  <c r="F106" i="29"/>
  <c r="F124" i="29"/>
  <c r="F143" i="29"/>
  <c r="G106" i="29"/>
  <c r="G124" i="29"/>
  <c r="H106" i="29"/>
  <c r="H124" i="29"/>
  <c r="I106" i="29"/>
  <c r="I124" i="29"/>
  <c r="I143" i="29"/>
  <c r="B107" i="29"/>
  <c r="B125" i="29"/>
  <c r="C107" i="29"/>
  <c r="C125" i="29"/>
  <c r="D107" i="29"/>
  <c r="D125" i="29"/>
  <c r="D144" i="29"/>
  <c r="E107" i="29"/>
  <c r="E125" i="29"/>
  <c r="E144" i="29"/>
  <c r="F107" i="29"/>
  <c r="F125" i="29"/>
  <c r="G107" i="29"/>
  <c r="G125" i="29"/>
  <c r="H107" i="29"/>
  <c r="H125" i="29"/>
  <c r="H144" i="29"/>
  <c r="I107" i="29"/>
  <c r="I125" i="29"/>
  <c r="B108" i="29"/>
  <c r="B126" i="29"/>
  <c r="C108" i="29"/>
  <c r="C126" i="29"/>
  <c r="D108" i="29"/>
  <c r="D126" i="29"/>
  <c r="D145" i="29"/>
  <c r="E108" i="29"/>
  <c r="E126" i="29"/>
  <c r="F108" i="29"/>
  <c r="F126" i="29"/>
  <c r="G108" i="29"/>
  <c r="G126" i="29"/>
  <c r="G145" i="29"/>
  <c r="H108" i="29"/>
  <c r="H126" i="29"/>
  <c r="I108" i="29"/>
  <c r="I126" i="29"/>
  <c r="B109" i="29"/>
  <c r="B127" i="29"/>
  <c r="C109" i="29"/>
  <c r="C127" i="29"/>
  <c r="D109" i="29"/>
  <c r="D127" i="29"/>
  <c r="D146" i="29"/>
  <c r="E109" i="29"/>
  <c r="E127" i="29"/>
  <c r="F109" i="29"/>
  <c r="F127" i="29"/>
  <c r="G109" i="29"/>
  <c r="G127" i="29"/>
  <c r="H109" i="29"/>
  <c r="H127" i="29"/>
  <c r="H146" i="29"/>
  <c r="I109" i="29"/>
  <c r="I127" i="29"/>
  <c r="I146" i="29"/>
  <c r="B110" i="29"/>
  <c r="B128" i="29"/>
  <c r="C110" i="29"/>
  <c r="C128" i="29"/>
  <c r="D110" i="29"/>
  <c r="D128" i="29"/>
  <c r="D147" i="29"/>
  <c r="E110" i="29"/>
  <c r="E128" i="29"/>
  <c r="F110" i="29"/>
  <c r="F128" i="29"/>
  <c r="G110" i="29"/>
  <c r="G128" i="29"/>
  <c r="H110" i="29"/>
  <c r="H128" i="29"/>
  <c r="I110" i="29"/>
  <c r="I128" i="29"/>
  <c r="B111" i="29"/>
  <c r="B129" i="29"/>
  <c r="C111" i="29"/>
  <c r="C129" i="29"/>
  <c r="D111" i="29"/>
  <c r="D129" i="29"/>
  <c r="E111" i="29"/>
  <c r="E129" i="29"/>
  <c r="F111" i="29"/>
  <c r="F129" i="29"/>
  <c r="G111" i="29"/>
  <c r="G129" i="29"/>
  <c r="G148" i="29"/>
  <c r="H111" i="29"/>
  <c r="H129" i="29"/>
  <c r="H148" i="29"/>
  <c r="I111" i="29"/>
  <c r="I129" i="29"/>
  <c r="B112" i="29"/>
  <c r="B130" i="29"/>
  <c r="C112" i="29"/>
  <c r="C130" i="29"/>
  <c r="D112" i="29"/>
  <c r="D130" i="29"/>
  <c r="E112" i="29"/>
  <c r="E130" i="29"/>
  <c r="E149" i="29"/>
  <c r="F112" i="29"/>
  <c r="F130" i="29"/>
  <c r="F149" i="29"/>
  <c r="G112" i="29"/>
  <c r="G130" i="29"/>
  <c r="H112" i="29"/>
  <c r="H130" i="29"/>
  <c r="H149" i="29"/>
  <c r="I112" i="29"/>
  <c r="I130" i="29"/>
  <c r="I149" i="29"/>
  <c r="B113" i="29"/>
  <c r="B131" i="29"/>
  <c r="C113" i="29"/>
  <c r="C131" i="29"/>
  <c r="D113" i="29"/>
  <c r="D131" i="29"/>
  <c r="D150" i="29"/>
  <c r="E113" i="29"/>
  <c r="E131" i="29"/>
  <c r="E150" i="29"/>
  <c r="F113" i="29"/>
  <c r="F131" i="29"/>
  <c r="G113" i="29"/>
  <c r="G131" i="29"/>
  <c r="H113" i="29"/>
  <c r="H131" i="29"/>
  <c r="I113" i="29"/>
  <c r="I131" i="29"/>
  <c r="B114" i="29"/>
  <c r="B132" i="29"/>
  <c r="C114" i="29"/>
  <c r="C132" i="29"/>
  <c r="C151" i="29"/>
  <c r="D114" i="29"/>
  <c r="D132" i="29"/>
  <c r="D151" i="29"/>
  <c r="E114" i="29"/>
  <c r="E132" i="29"/>
  <c r="F114" i="29"/>
  <c r="F132" i="29"/>
  <c r="G114" i="29"/>
  <c r="G132" i="29"/>
  <c r="G151" i="29"/>
  <c r="H114" i="29"/>
  <c r="H132" i="29"/>
  <c r="H151" i="29"/>
  <c r="I114" i="29"/>
  <c r="I132" i="29"/>
  <c r="B115" i="29"/>
  <c r="B133" i="29"/>
  <c r="B152" i="29"/>
  <c r="C115" i="29"/>
  <c r="C133" i="29"/>
  <c r="C152" i="29"/>
  <c r="D115" i="29"/>
  <c r="D133" i="29"/>
  <c r="E115" i="29"/>
  <c r="E133" i="29"/>
  <c r="E152" i="29"/>
  <c r="F115" i="29"/>
  <c r="F133" i="29"/>
  <c r="F152" i="29"/>
  <c r="G115" i="29"/>
  <c r="G133" i="29"/>
  <c r="G152" i="29"/>
  <c r="H115" i="29"/>
  <c r="H133" i="29"/>
  <c r="H152" i="29"/>
  <c r="I115" i="29"/>
  <c r="I133" i="29"/>
  <c r="B116" i="29"/>
  <c r="B134" i="29"/>
  <c r="C116" i="29"/>
  <c r="C134" i="29"/>
  <c r="D116" i="29"/>
  <c r="D134" i="29"/>
  <c r="E116" i="29"/>
  <c r="E134" i="29"/>
  <c r="F116" i="29"/>
  <c r="F134" i="29"/>
  <c r="G116" i="29"/>
  <c r="G134" i="29"/>
  <c r="H116" i="29"/>
  <c r="H134" i="29"/>
  <c r="I116" i="29"/>
  <c r="I134" i="29"/>
  <c r="J11" i="29"/>
  <c r="J12" i="29"/>
  <c r="J13" i="29"/>
  <c r="J14" i="29"/>
  <c r="J15" i="29"/>
  <c r="J16" i="29"/>
  <c r="J17" i="29"/>
  <c r="J18" i="29"/>
  <c r="J19" i="29"/>
  <c r="J20" i="29"/>
  <c r="J21" i="29"/>
  <c r="J22" i="29"/>
  <c r="J23" i="29"/>
  <c r="J24" i="29"/>
  <c r="J81" i="29"/>
  <c r="J82" i="29"/>
  <c r="J83" i="29"/>
  <c r="J84" i="29"/>
  <c r="J85" i="29"/>
  <c r="J86" i="29"/>
  <c r="J87" i="29"/>
  <c r="J88" i="29"/>
  <c r="J89" i="29"/>
  <c r="J90" i="29"/>
  <c r="J91" i="29"/>
  <c r="J92" i="29"/>
  <c r="J93" i="29"/>
  <c r="J94" i="29"/>
  <c r="A73" i="28"/>
  <c r="B70" i="18"/>
  <c r="F66" i="19"/>
  <c r="B70" i="21"/>
  <c r="F66" i="20"/>
  <c r="B70" i="23"/>
  <c r="F66" i="22"/>
  <c r="B70" i="25"/>
  <c r="B70" i="26"/>
  <c r="F66" i="27"/>
  <c r="F75" i="29"/>
  <c r="G125" i="28"/>
  <c r="G60" i="28"/>
  <c r="F148" i="29"/>
  <c r="I150" i="29"/>
  <c r="I96" i="29"/>
  <c r="H96" i="29"/>
  <c r="G96" i="29"/>
  <c r="F96" i="29"/>
  <c r="E96" i="29"/>
  <c r="D96" i="29"/>
  <c r="C96" i="29"/>
  <c r="B96" i="29"/>
  <c r="H67" i="29"/>
  <c r="I26" i="29"/>
  <c r="H26" i="29"/>
  <c r="G26" i="29"/>
  <c r="F26" i="29"/>
  <c r="E26" i="29"/>
  <c r="D26" i="29"/>
  <c r="C26" i="29"/>
  <c r="B26" i="29"/>
  <c r="A101" i="29"/>
  <c r="A37" i="29"/>
  <c r="A56" i="29"/>
  <c r="A33" i="29"/>
  <c r="A52" i="29"/>
  <c r="A89" i="27"/>
  <c r="D90" i="26"/>
  <c r="D26" i="26"/>
  <c r="D25" i="26"/>
  <c r="B46" i="27"/>
  <c r="C46" i="27"/>
  <c r="D46" i="27"/>
  <c r="E46" i="27"/>
  <c r="F46" i="27"/>
  <c r="G46" i="27"/>
  <c r="H46" i="27"/>
  <c r="B47" i="27"/>
  <c r="C47" i="27"/>
  <c r="D47" i="27"/>
  <c r="E47" i="27"/>
  <c r="F47" i="27"/>
  <c r="G47" i="27"/>
  <c r="H47" i="27"/>
  <c r="H58" i="27"/>
  <c r="G48" i="27"/>
  <c r="B48" i="27"/>
  <c r="C48" i="27"/>
  <c r="D48" i="27"/>
  <c r="E48" i="27"/>
  <c r="F48" i="27"/>
  <c r="H48" i="27"/>
  <c r="B49" i="27"/>
  <c r="C49" i="27"/>
  <c r="D49" i="27"/>
  <c r="E49" i="27"/>
  <c r="F49" i="27"/>
  <c r="F58" i="27"/>
  <c r="G49" i="27"/>
  <c r="H49" i="27"/>
  <c r="B50" i="27"/>
  <c r="C50" i="27"/>
  <c r="C58" i="27"/>
  <c r="D50" i="27"/>
  <c r="E50" i="27"/>
  <c r="F50" i="27"/>
  <c r="G50" i="27"/>
  <c r="H50" i="27"/>
  <c r="B51" i="27"/>
  <c r="C51" i="27"/>
  <c r="D51" i="27"/>
  <c r="E51" i="27"/>
  <c r="F51" i="27"/>
  <c r="G51" i="27"/>
  <c r="H51" i="27"/>
  <c r="B52" i="27"/>
  <c r="C52" i="27"/>
  <c r="D52" i="27"/>
  <c r="E52" i="27"/>
  <c r="F52" i="27"/>
  <c r="G52" i="27"/>
  <c r="H52" i="27"/>
  <c r="B53" i="27"/>
  <c r="C53" i="27"/>
  <c r="D53" i="27"/>
  <c r="E53" i="27"/>
  <c r="F53" i="27"/>
  <c r="G53" i="27"/>
  <c r="H53" i="27"/>
  <c r="B54" i="27"/>
  <c r="J54" i="27"/>
  <c r="E23" i="26"/>
  <c r="C54" i="27"/>
  <c r="D54" i="27"/>
  <c r="E54" i="27"/>
  <c r="F54" i="27"/>
  <c r="G54" i="27"/>
  <c r="H54" i="27"/>
  <c r="B55" i="27"/>
  <c r="J55" i="27"/>
  <c r="E24" i="26"/>
  <c r="C55" i="27"/>
  <c r="D55" i="27"/>
  <c r="E55" i="27"/>
  <c r="F55" i="27"/>
  <c r="G55" i="27"/>
  <c r="H55" i="27"/>
  <c r="B56" i="27"/>
  <c r="C56" i="27"/>
  <c r="D56" i="27"/>
  <c r="E56" i="27"/>
  <c r="F56" i="27"/>
  <c r="G56" i="27"/>
  <c r="H56" i="27"/>
  <c r="I56" i="27"/>
  <c r="E57" i="27"/>
  <c r="F57" i="27"/>
  <c r="G57" i="27"/>
  <c r="H57" i="27"/>
  <c r="B57" i="27"/>
  <c r="C57" i="27"/>
  <c r="D57" i="27"/>
  <c r="I57" i="27"/>
  <c r="H21" i="25"/>
  <c r="J21" i="27"/>
  <c r="J22" i="27"/>
  <c r="J23" i="27"/>
  <c r="I23" i="27"/>
  <c r="B23" i="27"/>
  <c r="C23" i="27"/>
  <c r="D23" i="27"/>
  <c r="B23" i="24"/>
  <c r="L22" i="24"/>
  <c r="L21" i="24"/>
  <c r="L20" i="24"/>
  <c r="L19" i="24"/>
  <c r="L18" i="24"/>
  <c r="L17" i="24"/>
  <c r="L16" i="24"/>
  <c r="L15" i="24"/>
  <c r="L14" i="24"/>
  <c r="L13" i="24"/>
  <c r="L12" i="24"/>
  <c r="L23" i="24"/>
  <c r="L11" i="24"/>
  <c r="L20" i="27"/>
  <c r="L14" i="27"/>
  <c r="K22" i="24"/>
  <c r="K21" i="24"/>
  <c r="K20" i="24"/>
  <c r="K19" i="24"/>
  <c r="K18" i="24"/>
  <c r="K17" i="24"/>
  <c r="K16" i="24"/>
  <c r="K15" i="24"/>
  <c r="K14" i="24"/>
  <c r="K13" i="24"/>
  <c r="K12" i="24"/>
  <c r="K11" i="24"/>
  <c r="K23" i="24"/>
  <c r="D24" i="26"/>
  <c r="B100" i="27"/>
  <c r="B116" i="27"/>
  <c r="C100" i="27"/>
  <c r="C116" i="27"/>
  <c r="D100" i="27"/>
  <c r="D116" i="27"/>
  <c r="E100" i="27"/>
  <c r="E116" i="27"/>
  <c r="F100" i="27"/>
  <c r="F116" i="27"/>
  <c r="F119" i="27"/>
  <c r="G100" i="27"/>
  <c r="G116" i="27"/>
  <c r="H100" i="27"/>
  <c r="H116" i="27"/>
  <c r="B99" i="27"/>
  <c r="B115" i="27"/>
  <c r="C99" i="27"/>
  <c r="C115" i="27"/>
  <c r="D99" i="27"/>
  <c r="D115" i="27"/>
  <c r="E99" i="27"/>
  <c r="E115" i="27"/>
  <c r="F99" i="27"/>
  <c r="F115" i="27"/>
  <c r="G99" i="27"/>
  <c r="G115" i="27"/>
  <c r="H99" i="27"/>
  <c r="H115" i="27"/>
  <c r="D23" i="26"/>
  <c r="I54" i="27"/>
  <c r="I55" i="27"/>
  <c r="B98" i="27"/>
  <c r="B114" i="27"/>
  <c r="C98" i="27"/>
  <c r="C114" i="27"/>
  <c r="D98" i="27"/>
  <c r="D114" i="27"/>
  <c r="E98" i="27"/>
  <c r="E114" i="27"/>
  <c r="F98" i="27"/>
  <c r="F114" i="27"/>
  <c r="G98" i="27"/>
  <c r="G114" i="27"/>
  <c r="H98" i="27"/>
  <c r="H114" i="27"/>
  <c r="J114" i="27"/>
  <c r="E86" i="26"/>
  <c r="D22" i="26"/>
  <c r="D85" i="26"/>
  <c r="D84" i="26"/>
  <c r="D83" i="26"/>
  <c r="B97" i="27"/>
  <c r="B113" i="27"/>
  <c r="C97" i="27"/>
  <c r="C113" i="27"/>
  <c r="D97" i="27"/>
  <c r="D113" i="27"/>
  <c r="E97" i="27"/>
  <c r="E113" i="27"/>
  <c r="F97" i="27"/>
  <c r="F113" i="27"/>
  <c r="G97" i="27"/>
  <c r="G113" i="27"/>
  <c r="H97" i="27"/>
  <c r="H113" i="27"/>
  <c r="D21" i="26"/>
  <c r="D20" i="26"/>
  <c r="D19" i="26"/>
  <c r="B96" i="27"/>
  <c r="B112" i="27"/>
  <c r="C96" i="27"/>
  <c r="C112" i="27"/>
  <c r="D96" i="27"/>
  <c r="D112" i="27"/>
  <c r="E96" i="27"/>
  <c r="E112" i="27"/>
  <c r="F96" i="27"/>
  <c r="F112" i="27"/>
  <c r="G96" i="27"/>
  <c r="G112" i="27"/>
  <c r="H96" i="27"/>
  <c r="H112" i="27"/>
  <c r="B95" i="27"/>
  <c r="B111" i="27"/>
  <c r="C95" i="27"/>
  <c r="C111" i="27"/>
  <c r="D95" i="27"/>
  <c r="D111" i="27"/>
  <c r="E95" i="27"/>
  <c r="E111" i="27"/>
  <c r="F95" i="27"/>
  <c r="F111" i="27"/>
  <c r="G95" i="27"/>
  <c r="G111" i="27"/>
  <c r="H95" i="27"/>
  <c r="H111" i="27"/>
  <c r="I49" i="27"/>
  <c r="D18" i="26"/>
  <c r="D27" i="26"/>
  <c r="B94" i="27"/>
  <c r="B110" i="27"/>
  <c r="C94" i="27"/>
  <c r="C110" i="27"/>
  <c r="D94" i="27"/>
  <c r="D110" i="27"/>
  <c r="E94" i="27"/>
  <c r="E110" i="27"/>
  <c r="F94" i="27"/>
  <c r="F110" i="27"/>
  <c r="G94" i="27"/>
  <c r="G110" i="27"/>
  <c r="H94" i="27"/>
  <c r="H110" i="27"/>
  <c r="D81" i="26"/>
  <c r="D17" i="26"/>
  <c r="G93" i="27"/>
  <c r="G109" i="27"/>
  <c r="B93" i="27"/>
  <c r="B109" i="27"/>
  <c r="C93" i="27"/>
  <c r="C109" i="27"/>
  <c r="D93" i="27"/>
  <c r="D109" i="27"/>
  <c r="E93" i="27"/>
  <c r="E109" i="27"/>
  <c r="F93" i="27"/>
  <c r="F109" i="27"/>
  <c r="H93" i="27"/>
  <c r="H109" i="27"/>
  <c r="D80" i="26"/>
  <c r="D91" i="26"/>
  <c r="H119" i="26"/>
  <c r="B92" i="27"/>
  <c r="B108" i="27"/>
  <c r="C92" i="27"/>
  <c r="C108" i="27"/>
  <c r="D92" i="27"/>
  <c r="D108" i="27"/>
  <c r="E92" i="27"/>
  <c r="E108" i="27"/>
  <c r="F92" i="27"/>
  <c r="F108" i="27"/>
  <c r="G92" i="27"/>
  <c r="G108" i="27"/>
  <c r="H92" i="27"/>
  <c r="H108" i="27"/>
  <c r="H119" i="27"/>
  <c r="D16" i="26"/>
  <c r="I47" i="27"/>
  <c r="B91" i="27"/>
  <c r="B107" i="27"/>
  <c r="C91" i="27"/>
  <c r="C107" i="27"/>
  <c r="D91" i="27"/>
  <c r="D107" i="27"/>
  <c r="E91" i="27"/>
  <c r="E107" i="27"/>
  <c r="F91" i="27"/>
  <c r="F107" i="27"/>
  <c r="G91" i="27"/>
  <c r="G107" i="27"/>
  <c r="H91" i="27"/>
  <c r="H107" i="27"/>
  <c r="D79" i="26"/>
  <c r="I48" i="27"/>
  <c r="J48" i="27"/>
  <c r="E17" i="26"/>
  <c r="I50" i="27"/>
  <c r="I51" i="27"/>
  <c r="J51" i="27"/>
  <c r="E20" i="26"/>
  <c r="I52" i="27"/>
  <c r="I53" i="27"/>
  <c r="D15" i="26"/>
  <c r="A46" i="27"/>
  <c r="A34" i="27"/>
  <c r="A50" i="27"/>
  <c r="A30" i="27"/>
  <c r="I107" i="27"/>
  <c r="I108" i="27"/>
  <c r="I109" i="27"/>
  <c r="I110" i="27"/>
  <c r="I111" i="27"/>
  <c r="I112" i="27"/>
  <c r="I97" i="27"/>
  <c r="I113" i="27"/>
  <c r="I98" i="27"/>
  <c r="I114" i="27"/>
  <c r="I99" i="27"/>
  <c r="I115" i="27"/>
  <c r="I100" i="27"/>
  <c r="I116" i="27"/>
  <c r="B101" i="27"/>
  <c r="B117" i="27"/>
  <c r="J117" i="27"/>
  <c r="E89" i="26"/>
  <c r="C101" i="27"/>
  <c r="C117" i="27"/>
  <c r="D101" i="27"/>
  <c r="D117" i="27"/>
  <c r="E101" i="27"/>
  <c r="E117" i="27"/>
  <c r="F101" i="27"/>
  <c r="F117" i="27"/>
  <c r="G101" i="27"/>
  <c r="G117" i="27"/>
  <c r="H101" i="27"/>
  <c r="H117" i="27"/>
  <c r="I101" i="27"/>
  <c r="I117" i="27"/>
  <c r="B102" i="27"/>
  <c r="B118" i="27"/>
  <c r="C102" i="27"/>
  <c r="C118" i="27"/>
  <c r="D102" i="27"/>
  <c r="D118" i="27"/>
  <c r="E102" i="27"/>
  <c r="E118" i="27"/>
  <c r="F102" i="27"/>
  <c r="F118" i="27"/>
  <c r="G102" i="27"/>
  <c r="G118" i="27"/>
  <c r="H102" i="27"/>
  <c r="H118" i="27"/>
  <c r="I102" i="27"/>
  <c r="I118" i="27"/>
  <c r="J72" i="27"/>
  <c r="J73" i="27"/>
  <c r="J74" i="27"/>
  <c r="J75" i="27"/>
  <c r="J76" i="27"/>
  <c r="J77" i="27"/>
  <c r="J78" i="27"/>
  <c r="J79" i="27"/>
  <c r="J80" i="27"/>
  <c r="J81" i="27"/>
  <c r="J82" i="27"/>
  <c r="J83" i="27"/>
  <c r="I84" i="27"/>
  <c r="H84" i="27"/>
  <c r="G84" i="27"/>
  <c r="F84" i="27"/>
  <c r="E84" i="27"/>
  <c r="D84" i="27"/>
  <c r="C84" i="27"/>
  <c r="B84" i="27"/>
  <c r="I46" i="27"/>
  <c r="J11" i="27"/>
  <c r="J12" i="27"/>
  <c r="J13" i="27"/>
  <c r="J14" i="27"/>
  <c r="J15" i="27"/>
  <c r="J16" i="27"/>
  <c r="J17" i="27"/>
  <c r="J18" i="27"/>
  <c r="J19" i="27"/>
  <c r="J20" i="27"/>
  <c r="H23" i="27"/>
  <c r="G23" i="27"/>
  <c r="F23" i="27"/>
  <c r="E23" i="27"/>
  <c r="I102" i="24"/>
  <c r="I118" i="24"/>
  <c r="H102" i="24"/>
  <c r="H118" i="24"/>
  <c r="G102" i="24"/>
  <c r="G118" i="24"/>
  <c r="F102" i="24"/>
  <c r="F118" i="24"/>
  <c r="E102" i="24"/>
  <c r="E118" i="24"/>
  <c r="D102" i="24"/>
  <c r="D118" i="24"/>
  <c r="C102" i="24"/>
  <c r="C118" i="24"/>
  <c r="D26" i="25"/>
  <c r="B41" i="24"/>
  <c r="B57" i="24"/>
  <c r="D81" i="25"/>
  <c r="D83" i="25"/>
  <c r="D84" i="25"/>
  <c r="D85" i="25"/>
  <c r="D86" i="25"/>
  <c r="D87" i="25"/>
  <c r="D88" i="25"/>
  <c r="D89" i="25"/>
  <c r="C57" i="24"/>
  <c r="D57" i="24"/>
  <c r="D58" i="24"/>
  <c r="E57" i="24"/>
  <c r="F57" i="24"/>
  <c r="G57" i="24"/>
  <c r="H57" i="24"/>
  <c r="I57" i="24"/>
  <c r="D15" i="25"/>
  <c r="D16" i="25"/>
  <c r="D17" i="25"/>
  <c r="D18" i="25"/>
  <c r="D19" i="25"/>
  <c r="D20" i="25"/>
  <c r="D21" i="25"/>
  <c r="D22" i="25"/>
  <c r="D23" i="25"/>
  <c r="D24" i="25"/>
  <c r="D25" i="25"/>
  <c r="I101" i="24"/>
  <c r="I117" i="24"/>
  <c r="H101" i="24"/>
  <c r="H117" i="24"/>
  <c r="G101" i="24"/>
  <c r="F101" i="24"/>
  <c r="F117" i="24"/>
  <c r="E101" i="24"/>
  <c r="E117" i="24"/>
  <c r="D101" i="24"/>
  <c r="D117" i="24"/>
  <c r="C101" i="24"/>
  <c r="C117" i="24"/>
  <c r="B40" i="24"/>
  <c r="B101" i="24"/>
  <c r="B117" i="24"/>
  <c r="C56" i="24"/>
  <c r="D56" i="24"/>
  <c r="E56" i="24"/>
  <c r="F56" i="24"/>
  <c r="G56" i="24"/>
  <c r="H56" i="24"/>
  <c r="I56" i="24"/>
  <c r="C55" i="24"/>
  <c r="D55" i="24"/>
  <c r="E55" i="24"/>
  <c r="F55" i="24"/>
  <c r="G55" i="24"/>
  <c r="H55" i="24"/>
  <c r="I55" i="24"/>
  <c r="I100" i="24"/>
  <c r="I116" i="24"/>
  <c r="H100" i="24"/>
  <c r="H116" i="24"/>
  <c r="G100" i="24"/>
  <c r="G116" i="24"/>
  <c r="F100" i="24"/>
  <c r="F116" i="24"/>
  <c r="E100" i="24"/>
  <c r="E116" i="24"/>
  <c r="D100" i="24"/>
  <c r="D116" i="24"/>
  <c r="C100" i="24"/>
  <c r="C116" i="24"/>
  <c r="B39" i="24"/>
  <c r="B55" i="24"/>
  <c r="J55" i="24"/>
  <c r="E24" i="25"/>
  <c r="G117" i="24"/>
  <c r="B38" i="24"/>
  <c r="B99" i="24"/>
  <c r="B115" i="24"/>
  <c r="I99" i="24"/>
  <c r="H99" i="24"/>
  <c r="H115" i="24"/>
  <c r="G99" i="24"/>
  <c r="G115" i="24"/>
  <c r="F99" i="24"/>
  <c r="F115" i="24"/>
  <c r="J115" i="24"/>
  <c r="E99" i="24"/>
  <c r="E115" i="24"/>
  <c r="D99" i="24"/>
  <c r="D115" i="24"/>
  <c r="C99" i="24"/>
  <c r="C115" i="24"/>
  <c r="I98" i="24"/>
  <c r="I114" i="24"/>
  <c r="H98" i="24"/>
  <c r="G98" i="24"/>
  <c r="G114" i="24"/>
  <c r="F98" i="24"/>
  <c r="E98" i="24"/>
  <c r="E114" i="24"/>
  <c r="D98" i="24"/>
  <c r="C98" i="24"/>
  <c r="B37" i="24"/>
  <c r="B53" i="24"/>
  <c r="I97" i="24"/>
  <c r="I113" i="24"/>
  <c r="H97" i="24"/>
  <c r="H113" i="24"/>
  <c r="G97" i="24"/>
  <c r="F97" i="24"/>
  <c r="F113" i="24"/>
  <c r="E97" i="24"/>
  <c r="E113" i="24"/>
  <c r="D97" i="24"/>
  <c r="C97" i="24"/>
  <c r="B36" i="24"/>
  <c r="B97" i="24"/>
  <c r="B113" i="24"/>
  <c r="J113" i="24"/>
  <c r="E85" i="25"/>
  <c r="H96" i="24"/>
  <c r="H112" i="24"/>
  <c r="G96" i="24"/>
  <c r="F96" i="24"/>
  <c r="E96" i="24"/>
  <c r="D96" i="24"/>
  <c r="D112" i="24"/>
  <c r="C96" i="24"/>
  <c r="C112" i="24"/>
  <c r="F77" i="24"/>
  <c r="E77" i="24"/>
  <c r="E112" i="24"/>
  <c r="B35" i="24"/>
  <c r="B96" i="24"/>
  <c r="B112" i="24"/>
  <c r="H95" i="24"/>
  <c r="G95" i="24"/>
  <c r="F95" i="24"/>
  <c r="E95" i="24"/>
  <c r="D95" i="24"/>
  <c r="D111" i="24"/>
  <c r="C95" i="24"/>
  <c r="C111" i="24"/>
  <c r="G76" i="24"/>
  <c r="F76" i="24"/>
  <c r="E76" i="24"/>
  <c r="B34" i="24"/>
  <c r="H94" i="24"/>
  <c r="H110" i="24"/>
  <c r="G94" i="24"/>
  <c r="G110" i="24"/>
  <c r="F94" i="24"/>
  <c r="E94" i="24"/>
  <c r="D94" i="24"/>
  <c r="C94" i="24"/>
  <c r="F75" i="24"/>
  <c r="F110" i="24"/>
  <c r="B33" i="24"/>
  <c r="B94" i="24"/>
  <c r="B110" i="24"/>
  <c r="J78" i="24"/>
  <c r="J79" i="24"/>
  <c r="J80" i="24"/>
  <c r="J81" i="24"/>
  <c r="J82" i="24"/>
  <c r="J83" i="24"/>
  <c r="I84" i="24"/>
  <c r="H84" i="24"/>
  <c r="D84" i="24"/>
  <c r="C84" i="24"/>
  <c r="B84" i="24"/>
  <c r="F74" i="24"/>
  <c r="H93" i="24"/>
  <c r="H109" i="24"/>
  <c r="G93" i="24"/>
  <c r="G109" i="24"/>
  <c r="F93" i="24"/>
  <c r="E93" i="24"/>
  <c r="D93" i="24"/>
  <c r="D109" i="24"/>
  <c r="C93" i="24"/>
  <c r="C109" i="24"/>
  <c r="B32" i="24"/>
  <c r="B48" i="24"/>
  <c r="H92" i="24"/>
  <c r="H108" i="24"/>
  <c r="G92" i="24"/>
  <c r="F92" i="24"/>
  <c r="E92" i="24"/>
  <c r="D92" i="24"/>
  <c r="D108" i="24"/>
  <c r="J108" i="24"/>
  <c r="C92" i="24"/>
  <c r="G73" i="24"/>
  <c r="G108" i="24"/>
  <c r="F73" i="24"/>
  <c r="E73" i="24"/>
  <c r="B31" i="24"/>
  <c r="B47" i="24"/>
  <c r="B92" i="24"/>
  <c r="B108" i="24"/>
  <c r="H91" i="24"/>
  <c r="H107" i="24"/>
  <c r="H119" i="24"/>
  <c r="G91" i="24"/>
  <c r="F91" i="24"/>
  <c r="E91" i="24"/>
  <c r="D91" i="24"/>
  <c r="D107" i="24"/>
  <c r="C91" i="24"/>
  <c r="C107" i="24"/>
  <c r="B30" i="24"/>
  <c r="B91" i="24"/>
  <c r="B107" i="24"/>
  <c r="G72" i="24"/>
  <c r="G107" i="24"/>
  <c r="F72" i="24"/>
  <c r="E72" i="24"/>
  <c r="J72" i="24"/>
  <c r="B46" i="24"/>
  <c r="C46" i="24"/>
  <c r="D46" i="24"/>
  <c r="E46" i="24"/>
  <c r="F46" i="24"/>
  <c r="G46" i="24"/>
  <c r="H46" i="24"/>
  <c r="I46" i="24"/>
  <c r="C47" i="24"/>
  <c r="D47" i="24"/>
  <c r="E47" i="24"/>
  <c r="F47" i="24"/>
  <c r="F58" i="24"/>
  <c r="G47" i="24"/>
  <c r="H47" i="24"/>
  <c r="I47" i="24"/>
  <c r="I48" i="24"/>
  <c r="C48" i="24"/>
  <c r="D48" i="24"/>
  <c r="E48" i="24"/>
  <c r="J48" i="24"/>
  <c r="F48" i="24"/>
  <c r="G48" i="24"/>
  <c r="H48" i="24"/>
  <c r="C49" i="24"/>
  <c r="D49" i="24"/>
  <c r="E49" i="24"/>
  <c r="F49" i="24"/>
  <c r="G49" i="24"/>
  <c r="H49" i="24"/>
  <c r="I49" i="24"/>
  <c r="C50" i="24"/>
  <c r="D50" i="24"/>
  <c r="E50" i="24"/>
  <c r="F50" i="24"/>
  <c r="G50" i="24"/>
  <c r="H50" i="24"/>
  <c r="H58" i="24"/>
  <c r="I50" i="24"/>
  <c r="B51" i="24"/>
  <c r="C51" i="24"/>
  <c r="D51" i="24"/>
  <c r="E51" i="24"/>
  <c r="F51" i="24"/>
  <c r="G51" i="24"/>
  <c r="H51" i="24"/>
  <c r="I51" i="24"/>
  <c r="D52" i="24"/>
  <c r="C52" i="24"/>
  <c r="E52" i="24"/>
  <c r="F52" i="24"/>
  <c r="G52" i="24"/>
  <c r="H52" i="24"/>
  <c r="I52" i="24"/>
  <c r="C53" i="24"/>
  <c r="D53" i="24"/>
  <c r="E53" i="24"/>
  <c r="F53" i="24"/>
  <c r="G53" i="24"/>
  <c r="H53" i="24"/>
  <c r="I53" i="24"/>
  <c r="C54" i="24"/>
  <c r="D54" i="24"/>
  <c r="E54" i="24"/>
  <c r="F54" i="24"/>
  <c r="G54" i="24"/>
  <c r="H54" i="24"/>
  <c r="I54" i="24"/>
  <c r="I107" i="24"/>
  <c r="C108" i="24"/>
  <c r="I108" i="24"/>
  <c r="I109" i="24"/>
  <c r="I112" i="24"/>
  <c r="G112" i="24"/>
  <c r="C110" i="24"/>
  <c r="D110" i="24"/>
  <c r="I110" i="24"/>
  <c r="H111" i="24"/>
  <c r="I111" i="24"/>
  <c r="C113" i="24"/>
  <c r="D113" i="24"/>
  <c r="G113" i="24"/>
  <c r="C114" i="24"/>
  <c r="D114" i="24"/>
  <c r="F114" i="24"/>
  <c r="H114" i="24"/>
  <c r="I115" i="24"/>
  <c r="I23" i="24"/>
  <c r="J11" i="24"/>
  <c r="J12" i="24"/>
  <c r="J13" i="24"/>
  <c r="J14" i="24"/>
  <c r="J15" i="24"/>
  <c r="J16" i="24"/>
  <c r="J17" i="24"/>
  <c r="J18" i="24"/>
  <c r="J19" i="24"/>
  <c r="J20" i="24"/>
  <c r="J21" i="24"/>
  <c r="J22" i="24"/>
  <c r="H23" i="24"/>
  <c r="G23" i="24"/>
  <c r="F23" i="24"/>
  <c r="E23" i="24"/>
  <c r="D23" i="24"/>
  <c r="C23" i="24"/>
  <c r="G17" i="25"/>
  <c r="H17" i="25"/>
  <c r="G83" i="22"/>
  <c r="G118" i="22"/>
  <c r="F83" i="22"/>
  <c r="E83" i="22"/>
  <c r="D26" i="23"/>
  <c r="B102" i="22"/>
  <c r="B118" i="22"/>
  <c r="B41" i="22"/>
  <c r="B57" i="22"/>
  <c r="J118" i="22"/>
  <c r="I118" i="22"/>
  <c r="H118" i="22"/>
  <c r="F118" i="22"/>
  <c r="D118" i="22"/>
  <c r="C118" i="22"/>
  <c r="J117" i="22"/>
  <c r="I117" i="22"/>
  <c r="H82" i="22"/>
  <c r="G82" i="22"/>
  <c r="G84" i="22"/>
  <c r="F82" i="22"/>
  <c r="E82" i="22"/>
  <c r="E117" i="22"/>
  <c r="D117" i="22"/>
  <c r="C117" i="22"/>
  <c r="B101" i="22"/>
  <c r="B117" i="22"/>
  <c r="K117" i="22"/>
  <c r="E89" i="23"/>
  <c r="J116" i="22"/>
  <c r="I116" i="22"/>
  <c r="H116" i="22"/>
  <c r="G116" i="22"/>
  <c r="F81" i="22"/>
  <c r="E81" i="22"/>
  <c r="D116" i="22"/>
  <c r="C116" i="22"/>
  <c r="B100" i="22"/>
  <c r="B116" i="22"/>
  <c r="J115" i="22"/>
  <c r="I115" i="22"/>
  <c r="H115" i="22"/>
  <c r="G115" i="22"/>
  <c r="F80" i="22"/>
  <c r="E80" i="22"/>
  <c r="D115" i="22"/>
  <c r="C115" i="22"/>
  <c r="B99" i="22"/>
  <c r="B115" i="22"/>
  <c r="J114" i="22"/>
  <c r="I114" i="22"/>
  <c r="H114" i="22"/>
  <c r="G114" i="22"/>
  <c r="E79" i="22"/>
  <c r="E114" i="22"/>
  <c r="F79" i="22"/>
  <c r="D114" i="22"/>
  <c r="C114" i="22"/>
  <c r="B98" i="22"/>
  <c r="B114" i="22"/>
  <c r="J113" i="22"/>
  <c r="I113" i="22"/>
  <c r="H78" i="22"/>
  <c r="H113" i="22"/>
  <c r="G78" i="22"/>
  <c r="G113" i="22"/>
  <c r="G119" i="22"/>
  <c r="E78" i="22"/>
  <c r="D113" i="22"/>
  <c r="C113" i="22"/>
  <c r="B97" i="22"/>
  <c r="B113" i="22"/>
  <c r="J112" i="22"/>
  <c r="I112" i="22"/>
  <c r="H112" i="22"/>
  <c r="G112" i="22"/>
  <c r="E77" i="22"/>
  <c r="D112" i="22"/>
  <c r="C112" i="22"/>
  <c r="B96" i="22"/>
  <c r="B112" i="22"/>
  <c r="J111" i="22"/>
  <c r="I111" i="22"/>
  <c r="H111" i="22"/>
  <c r="G111" i="22"/>
  <c r="F76" i="22"/>
  <c r="D111" i="22"/>
  <c r="C111" i="22"/>
  <c r="B111" i="22"/>
  <c r="J110" i="22"/>
  <c r="I110" i="22"/>
  <c r="H110" i="22"/>
  <c r="G75" i="22"/>
  <c r="G110" i="22"/>
  <c r="F75" i="22"/>
  <c r="D110" i="22"/>
  <c r="C110" i="22"/>
  <c r="B94" i="22"/>
  <c r="B110" i="22"/>
  <c r="J109" i="22"/>
  <c r="I109" i="22"/>
  <c r="H109" i="22"/>
  <c r="G74" i="22"/>
  <c r="G109" i="22"/>
  <c r="F74" i="22"/>
  <c r="E74" i="22"/>
  <c r="D109" i="22"/>
  <c r="C109" i="22"/>
  <c r="B93" i="22"/>
  <c r="B109" i="22"/>
  <c r="J108" i="22"/>
  <c r="I108" i="22"/>
  <c r="H73" i="22"/>
  <c r="H84" i="22"/>
  <c r="G108" i="22"/>
  <c r="F73" i="22"/>
  <c r="E73" i="22"/>
  <c r="E108" i="22"/>
  <c r="F108" i="22"/>
  <c r="D108" i="22"/>
  <c r="C108" i="22"/>
  <c r="B92" i="22"/>
  <c r="B108" i="22"/>
  <c r="K108" i="22"/>
  <c r="E80" i="23"/>
  <c r="J107" i="22"/>
  <c r="J119" i="22"/>
  <c r="D107" i="22"/>
  <c r="I107" i="22"/>
  <c r="H107" i="22"/>
  <c r="G107" i="22"/>
  <c r="F72" i="22"/>
  <c r="F107" i="22"/>
  <c r="C107" i="22"/>
  <c r="C119" i="22"/>
  <c r="B91" i="22"/>
  <c r="B107" i="22"/>
  <c r="B30" i="22"/>
  <c r="B46" i="22"/>
  <c r="J46" i="22"/>
  <c r="E15" i="23"/>
  <c r="C46" i="22"/>
  <c r="D46" i="22"/>
  <c r="E46" i="22"/>
  <c r="F46" i="22"/>
  <c r="G46" i="22"/>
  <c r="H46" i="22"/>
  <c r="I46" i="22"/>
  <c r="I58" i="22"/>
  <c r="B31" i="22"/>
  <c r="B47" i="22"/>
  <c r="C47" i="22"/>
  <c r="D47" i="22"/>
  <c r="E47" i="22"/>
  <c r="F47" i="22"/>
  <c r="G47" i="22"/>
  <c r="H47" i="22"/>
  <c r="I47" i="22"/>
  <c r="B32" i="22"/>
  <c r="B48" i="22"/>
  <c r="C48" i="22"/>
  <c r="D48" i="22"/>
  <c r="E48" i="22"/>
  <c r="F48" i="22"/>
  <c r="G48" i="22"/>
  <c r="H48" i="22"/>
  <c r="I48" i="22"/>
  <c r="B33" i="22"/>
  <c r="B49" i="22"/>
  <c r="C49" i="22"/>
  <c r="D49" i="22"/>
  <c r="E49" i="22"/>
  <c r="F49" i="22"/>
  <c r="G49" i="22"/>
  <c r="H49" i="22"/>
  <c r="I49" i="22"/>
  <c r="B50" i="22"/>
  <c r="C50" i="22"/>
  <c r="D50" i="22"/>
  <c r="E50" i="22"/>
  <c r="F50" i="22"/>
  <c r="G50" i="22"/>
  <c r="H50" i="22"/>
  <c r="I50" i="22"/>
  <c r="B35" i="22"/>
  <c r="B51" i="22"/>
  <c r="C51" i="22"/>
  <c r="D51" i="22"/>
  <c r="E51" i="22"/>
  <c r="F51" i="22"/>
  <c r="G51" i="22"/>
  <c r="G58" i="22"/>
  <c r="H51" i="22"/>
  <c r="I51" i="22"/>
  <c r="B36" i="22"/>
  <c r="B52" i="22"/>
  <c r="C52" i="22"/>
  <c r="D52" i="22"/>
  <c r="E52" i="22"/>
  <c r="F52" i="22"/>
  <c r="G52" i="22"/>
  <c r="H52" i="22"/>
  <c r="I52" i="22"/>
  <c r="B37" i="22"/>
  <c r="B53" i="22"/>
  <c r="C53" i="22"/>
  <c r="J53" i="22"/>
  <c r="E22" i="23"/>
  <c r="D53" i="22"/>
  <c r="E53" i="22"/>
  <c r="F53" i="22"/>
  <c r="G53" i="22"/>
  <c r="H53" i="22"/>
  <c r="I53" i="22"/>
  <c r="B38" i="22"/>
  <c r="B54" i="22"/>
  <c r="J54" i="22"/>
  <c r="E23" i="23"/>
  <c r="C54" i="22"/>
  <c r="D54" i="22"/>
  <c r="E54" i="22"/>
  <c r="F54" i="22"/>
  <c r="G54" i="22"/>
  <c r="H54" i="22"/>
  <c r="I54" i="22"/>
  <c r="B39" i="22"/>
  <c r="B55" i="22"/>
  <c r="J55" i="22"/>
  <c r="E24" i="23"/>
  <c r="C55" i="22"/>
  <c r="D55" i="22"/>
  <c r="E55" i="22"/>
  <c r="F55" i="22"/>
  <c r="G55" i="22"/>
  <c r="H55" i="22"/>
  <c r="I55" i="22"/>
  <c r="B40" i="22"/>
  <c r="B56" i="22"/>
  <c r="C56" i="22"/>
  <c r="D56" i="22"/>
  <c r="E56" i="22"/>
  <c r="F56" i="22"/>
  <c r="G56" i="22"/>
  <c r="H56" i="22"/>
  <c r="I56" i="22"/>
  <c r="C57" i="22"/>
  <c r="D57" i="22"/>
  <c r="E57" i="22"/>
  <c r="F57" i="22"/>
  <c r="G57" i="22"/>
  <c r="H57" i="22"/>
  <c r="I57" i="22"/>
  <c r="B84" i="22"/>
  <c r="C84" i="22"/>
  <c r="D84" i="22"/>
  <c r="I84" i="22"/>
  <c r="J84" i="22"/>
  <c r="I23" i="22"/>
  <c r="J11" i="22"/>
  <c r="J12" i="22"/>
  <c r="J13" i="22"/>
  <c r="J14" i="22"/>
  <c r="J15" i="22"/>
  <c r="J16" i="22"/>
  <c r="J17" i="22"/>
  <c r="J18" i="22"/>
  <c r="J19" i="22"/>
  <c r="J20" i="22"/>
  <c r="J21" i="22"/>
  <c r="J22" i="22"/>
  <c r="H23" i="22"/>
  <c r="G23" i="22"/>
  <c r="F23" i="22"/>
  <c r="E23" i="22"/>
  <c r="D23" i="22"/>
  <c r="C23" i="22"/>
  <c r="D83" i="23"/>
  <c r="D84" i="23"/>
  <c r="D25" i="23"/>
  <c r="D15" i="23"/>
  <c r="D16" i="23"/>
  <c r="D17" i="23"/>
  <c r="D18" i="23"/>
  <c r="F31" i="23"/>
  <c r="D19" i="23"/>
  <c r="D20" i="23"/>
  <c r="D21" i="23"/>
  <c r="D22" i="23"/>
  <c r="D23" i="23"/>
  <c r="D24" i="23"/>
  <c r="K9" i="3"/>
  <c r="K10" i="3"/>
  <c r="K11" i="3"/>
  <c r="K12" i="3"/>
  <c r="K13" i="3"/>
  <c r="K14" i="3"/>
  <c r="K15" i="3"/>
  <c r="K16" i="3"/>
  <c r="K17" i="3"/>
  <c r="K18" i="3"/>
  <c r="K19" i="3"/>
  <c r="K20" i="3"/>
  <c r="C21" i="3"/>
  <c r="D21" i="3"/>
  <c r="E21" i="3"/>
  <c r="F21" i="3"/>
  <c r="G21" i="3"/>
  <c r="H21" i="3"/>
  <c r="I21" i="3"/>
  <c r="J21" i="3"/>
  <c r="C40" i="3"/>
  <c r="I40" i="3"/>
  <c r="J40" i="3"/>
  <c r="C41" i="3"/>
  <c r="K41" i="3"/>
  <c r="I41" i="3"/>
  <c r="I52" i="3"/>
  <c r="J41" i="3"/>
  <c r="D42" i="3"/>
  <c r="I42" i="3"/>
  <c r="K42" i="3"/>
  <c r="J42" i="3"/>
  <c r="D43" i="3"/>
  <c r="I43" i="3"/>
  <c r="K43" i="3"/>
  <c r="J43" i="3"/>
  <c r="C44" i="3"/>
  <c r="D44" i="3"/>
  <c r="E44" i="3"/>
  <c r="I44" i="3"/>
  <c r="J44" i="3"/>
  <c r="D45" i="3"/>
  <c r="K45" i="3"/>
  <c r="I45" i="3"/>
  <c r="J45" i="3"/>
  <c r="D46" i="3"/>
  <c r="K46" i="3"/>
  <c r="I46" i="3"/>
  <c r="J46" i="3"/>
  <c r="D47" i="3"/>
  <c r="K47" i="3"/>
  <c r="I47" i="3"/>
  <c r="J47" i="3"/>
  <c r="C48" i="3"/>
  <c r="D48" i="3"/>
  <c r="I48" i="3"/>
  <c r="J48" i="3"/>
  <c r="K48" i="3"/>
  <c r="E23" i="2"/>
  <c r="C49" i="3"/>
  <c r="D49" i="3"/>
  <c r="E49" i="3"/>
  <c r="I49" i="3"/>
  <c r="J49" i="3"/>
  <c r="C50" i="3"/>
  <c r="D50" i="3"/>
  <c r="I50" i="3"/>
  <c r="J50" i="3"/>
  <c r="C51" i="3"/>
  <c r="D51" i="3"/>
  <c r="E51" i="3"/>
  <c r="I51" i="3"/>
  <c r="F52" i="3"/>
  <c r="G52" i="3"/>
  <c r="H52" i="3"/>
  <c r="G10" i="5"/>
  <c r="I10" i="5"/>
  <c r="G11" i="5"/>
  <c r="G48" i="5"/>
  <c r="I11" i="5"/>
  <c r="G12" i="5"/>
  <c r="I12" i="5"/>
  <c r="G13" i="5"/>
  <c r="I13" i="5"/>
  <c r="J13" i="5"/>
  <c r="G14" i="5"/>
  <c r="J14" i="5"/>
  <c r="I14" i="5"/>
  <c r="G15" i="5"/>
  <c r="J15" i="5"/>
  <c r="I15" i="5"/>
  <c r="G16" i="5"/>
  <c r="I16" i="5"/>
  <c r="J16" i="5"/>
  <c r="G17" i="5"/>
  <c r="J17" i="5"/>
  <c r="I17" i="5"/>
  <c r="I54" i="5"/>
  <c r="G18" i="5"/>
  <c r="J18" i="5"/>
  <c r="I18" i="5"/>
  <c r="I55" i="5"/>
  <c r="J55" i="5"/>
  <c r="G19" i="5"/>
  <c r="I19" i="5"/>
  <c r="I56" i="5"/>
  <c r="G20" i="5"/>
  <c r="I20" i="5"/>
  <c r="I57" i="5"/>
  <c r="J57" i="5"/>
  <c r="E27" i="4"/>
  <c r="G21" i="5"/>
  <c r="I21" i="5"/>
  <c r="G22" i="5"/>
  <c r="J22" i="5"/>
  <c r="I22" i="5"/>
  <c r="G23" i="5"/>
  <c r="I23" i="5"/>
  <c r="J23" i="5"/>
  <c r="B25" i="5"/>
  <c r="C25" i="5"/>
  <c r="D25" i="5"/>
  <c r="E25" i="5"/>
  <c r="F25" i="5"/>
  <c r="H25" i="5"/>
  <c r="F30" i="5"/>
  <c r="F47" i="5"/>
  <c r="I30" i="5"/>
  <c r="F31" i="5"/>
  <c r="F48" i="5"/>
  <c r="J48" i="5"/>
  <c r="I31" i="5"/>
  <c r="I48" i="5"/>
  <c r="F32" i="5"/>
  <c r="I32" i="5"/>
  <c r="F33" i="5"/>
  <c r="F50" i="5"/>
  <c r="F34" i="5"/>
  <c r="F35" i="5"/>
  <c r="F36" i="5"/>
  <c r="F37" i="5"/>
  <c r="F38" i="5"/>
  <c r="F39" i="5"/>
  <c r="F40" i="5"/>
  <c r="F41" i="5"/>
  <c r="F42" i="5"/>
  <c r="F43" i="5"/>
  <c r="B47" i="5"/>
  <c r="C47" i="5"/>
  <c r="D47" i="5"/>
  <c r="H47" i="5"/>
  <c r="B48" i="5"/>
  <c r="C48" i="5"/>
  <c r="D48" i="5"/>
  <c r="H48" i="5"/>
  <c r="B49" i="5"/>
  <c r="C49" i="5"/>
  <c r="D49" i="5"/>
  <c r="H49" i="5"/>
  <c r="C50" i="5"/>
  <c r="D50" i="5"/>
  <c r="H50" i="5"/>
  <c r="B51" i="5"/>
  <c r="J51" i="5"/>
  <c r="H51" i="5"/>
  <c r="F52" i="5"/>
  <c r="J52" i="5"/>
  <c r="E22" i="4"/>
  <c r="H52" i="5"/>
  <c r="F53" i="5"/>
  <c r="H53" i="5"/>
  <c r="B54" i="5"/>
  <c r="C54" i="5"/>
  <c r="D54" i="5"/>
  <c r="F54" i="5"/>
  <c r="H54" i="5"/>
  <c r="J54" i="5"/>
  <c r="E24" i="4"/>
  <c r="C55" i="5"/>
  <c r="F55" i="5"/>
  <c r="H55" i="5"/>
  <c r="C56" i="5"/>
  <c r="D56" i="5"/>
  <c r="F56" i="5"/>
  <c r="H56" i="5"/>
  <c r="F57" i="5"/>
  <c r="H57" i="5"/>
  <c r="H58" i="5"/>
  <c r="F59" i="5"/>
  <c r="J59" i="5"/>
  <c r="E29" i="4"/>
  <c r="H68" i="4"/>
  <c r="B60" i="5"/>
  <c r="C60" i="5"/>
  <c r="H60" i="5"/>
  <c r="E62" i="5"/>
  <c r="J10" i="7"/>
  <c r="J11" i="7"/>
  <c r="B12" i="7"/>
  <c r="B25" i="7"/>
  <c r="C12" i="7"/>
  <c r="D12" i="7"/>
  <c r="E12" i="7"/>
  <c r="F12" i="7"/>
  <c r="F25" i="7"/>
  <c r="G12" i="7"/>
  <c r="I12" i="7"/>
  <c r="B13" i="7"/>
  <c r="C13" i="7"/>
  <c r="D13" i="7"/>
  <c r="E13" i="7"/>
  <c r="F13" i="7"/>
  <c r="G13" i="7"/>
  <c r="I13" i="7"/>
  <c r="B14" i="7"/>
  <c r="C14" i="7"/>
  <c r="D14" i="7"/>
  <c r="D25" i="7"/>
  <c r="E14" i="7"/>
  <c r="F14" i="7"/>
  <c r="G14" i="7"/>
  <c r="I14" i="7"/>
  <c r="B15" i="7"/>
  <c r="C15" i="7"/>
  <c r="D15" i="7"/>
  <c r="E15" i="7"/>
  <c r="F15" i="7"/>
  <c r="G15" i="7"/>
  <c r="I15" i="7"/>
  <c r="B16" i="7"/>
  <c r="C16" i="7"/>
  <c r="J16" i="7"/>
  <c r="D16" i="7"/>
  <c r="E16" i="7"/>
  <c r="F16" i="7"/>
  <c r="G16" i="7"/>
  <c r="I16" i="7"/>
  <c r="B17" i="7"/>
  <c r="C17" i="7"/>
  <c r="D17" i="7"/>
  <c r="E17" i="7"/>
  <c r="F17" i="7"/>
  <c r="G17" i="7"/>
  <c r="I17" i="7"/>
  <c r="B18" i="7"/>
  <c r="C18" i="7"/>
  <c r="D18" i="7"/>
  <c r="E18" i="7"/>
  <c r="F18" i="7"/>
  <c r="G18" i="7"/>
  <c r="I18" i="7"/>
  <c r="B19" i="7"/>
  <c r="C19" i="7"/>
  <c r="D19" i="7"/>
  <c r="E19" i="7"/>
  <c r="F19" i="7"/>
  <c r="G19" i="7"/>
  <c r="I19" i="7"/>
  <c r="B20" i="7"/>
  <c r="C20" i="7"/>
  <c r="D20" i="7"/>
  <c r="E20" i="7"/>
  <c r="F20" i="7"/>
  <c r="G20" i="7"/>
  <c r="I20" i="7"/>
  <c r="B21" i="7"/>
  <c r="C21" i="7"/>
  <c r="D21" i="7"/>
  <c r="E21" i="7"/>
  <c r="F21" i="7"/>
  <c r="G21" i="7"/>
  <c r="H21" i="7"/>
  <c r="H25" i="7"/>
  <c r="I21" i="7"/>
  <c r="B22" i="7"/>
  <c r="C22" i="7"/>
  <c r="D22" i="7"/>
  <c r="E22" i="7"/>
  <c r="F22" i="7"/>
  <c r="G22" i="7"/>
  <c r="H22" i="7"/>
  <c r="I22" i="7"/>
  <c r="J23" i="7"/>
  <c r="A30" i="7"/>
  <c r="F30" i="7"/>
  <c r="A31" i="7"/>
  <c r="A32" i="7"/>
  <c r="A33" i="7"/>
  <c r="A34" i="7"/>
  <c r="A35" i="7"/>
  <c r="A36" i="7"/>
  <c r="A37" i="7"/>
  <c r="A38" i="7"/>
  <c r="A39" i="7"/>
  <c r="A40" i="7"/>
  <c r="A41" i="7"/>
  <c r="A42" i="7"/>
  <c r="A43" i="7"/>
  <c r="A47" i="7"/>
  <c r="J47" i="7"/>
  <c r="A48" i="7"/>
  <c r="J48" i="7"/>
  <c r="A49" i="7"/>
  <c r="B49" i="7"/>
  <c r="C49" i="7"/>
  <c r="D49" i="7"/>
  <c r="E49" i="7"/>
  <c r="F49" i="7"/>
  <c r="G49" i="7"/>
  <c r="I49" i="7"/>
  <c r="A50" i="7"/>
  <c r="B50" i="7"/>
  <c r="J50" i="7"/>
  <c r="C50" i="7"/>
  <c r="D50" i="7"/>
  <c r="E50" i="7"/>
  <c r="F50" i="7"/>
  <c r="G50" i="7"/>
  <c r="I50" i="7"/>
  <c r="A51" i="7"/>
  <c r="B51" i="7"/>
  <c r="C51" i="7"/>
  <c r="D51" i="7"/>
  <c r="E51" i="7"/>
  <c r="F51" i="7"/>
  <c r="G51" i="7"/>
  <c r="I51" i="7"/>
  <c r="A52" i="7"/>
  <c r="B52" i="7"/>
  <c r="C52" i="7"/>
  <c r="D52" i="7"/>
  <c r="E52" i="7"/>
  <c r="F52" i="7"/>
  <c r="F62" i="7"/>
  <c r="G52" i="7"/>
  <c r="I52" i="7"/>
  <c r="A53" i="7"/>
  <c r="B53" i="7"/>
  <c r="C53" i="7"/>
  <c r="D53" i="7"/>
  <c r="E53" i="7"/>
  <c r="J53" i="7"/>
  <c r="E23" i="6"/>
  <c r="F53" i="7"/>
  <c r="G53" i="7"/>
  <c r="I53" i="7"/>
  <c r="A54" i="7"/>
  <c r="B54" i="7"/>
  <c r="C54" i="7"/>
  <c r="D54" i="7"/>
  <c r="E54" i="7"/>
  <c r="J54" i="7"/>
  <c r="E24" i="6"/>
  <c r="F54" i="7"/>
  <c r="G54" i="7"/>
  <c r="I54" i="7"/>
  <c r="A55" i="7"/>
  <c r="B55" i="7"/>
  <c r="C55" i="7"/>
  <c r="D55" i="7"/>
  <c r="E55" i="7"/>
  <c r="J55" i="7"/>
  <c r="E25" i="6"/>
  <c r="F55" i="7"/>
  <c r="G55" i="7"/>
  <c r="I55" i="7"/>
  <c r="A56" i="7"/>
  <c r="B56" i="7"/>
  <c r="C56" i="7"/>
  <c r="D56" i="7"/>
  <c r="E56" i="7"/>
  <c r="J56" i="7"/>
  <c r="E26" i="6"/>
  <c r="F56" i="7"/>
  <c r="G56" i="7"/>
  <c r="I56" i="7"/>
  <c r="A57" i="7"/>
  <c r="B57" i="7"/>
  <c r="C57" i="7"/>
  <c r="D57" i="7"/>
  <c r="J57" i="7"/>
  <c r="E27" i="6"/>
  <c r="E57" i="7"/>
  <c r="F57" i="7"/>
  <c r="G57" i="7"/>
  <c r="I57" i="7"/>
  <c r="A58" i="7"/>
  <c r="B58" i="7"/>
  <c r="C58" i="7"/>
  <c r="D58" i="7"/>
  <c r="E58" i="7"/>
  <c r="F58" i="7"/>
  <c r="G58" i="7"/>
  <c r="I58" i="7"/>
  <c r="A59" i="7"/>
  <c r="B59" i="7"/>
  <c r="C59" i="7"/>
  <c r="D59" i="7"/>
  <c r="E59" i="7"/>
  <c r="F59" i="7"/>
  <c r="G59" i="7"/>
  <c r="I59" i="7"/>
  <c r="A60" i="7"/>
  <c r="H62" i="7"/>
  <c r="J11" i="10"/>
  <c r="J12" i="10"/>
  <c r="J13" i="10"/>
  <c r="J14" i="10"/>
  <c r="J15" i="10"/>
  <c r="J16" i="10"/>
  <c r="J17" i="10"/>
  <c r="J18" i="10"/>
  <c r="J19" i="10"/>
  <c r="J20" i="10"/>
  <c r="J21" i="10"/>
  <c r="J22" i="10"/>
  <c r="J23" i="10"/>
  <c r="J24" i="10"/>
  <c r="B26" i="10"/>
  <c r="C26" i="10"/>
  <c r="D26" i="10"/>
  <c r="E26" i="10"/>
  <c r="F26" i="10"/>
  <c r="G26" i="10"/>
  <c r="H26" i="10"/>
  <c r="I26" i="10"/>
  <c r="A31" i="10"/>
  <c r="F31" i="10"/>
  <c r="A32" i="10"/>
  <c r="A33" i="10"/>
  <c r="A34" i="10"/>
  <c r="A35" i="10"/>
  <c r="A36" i="10"/>
  <c r="A37" i="10"/>
  <c r="A38" i="10"/>
  <c r="A39" i="10"/>
  <c r="A40" i="10"/>
  <c r="A41" i="10"/>
  <c r="A42" i="10"/>
  <c r="A43" i="10"/>
  <c r="A44" i="10"/>
  <c r="A48" i="10"/>
  <c r="A49" i="10"/>
  <c r="A50" i="10"/>
  <c r="A51" i="10"/>
  <c r="A52" i="10"/>
  <c r="A53" i="10"/>
  <c r="A54" i="10"/>
  <c r="A55" i="10"/>
  <c r="A56" i="10"/>
  <c r="A57" i="10"/>
  <c r="A58" i="10"/>
  <c r="A59" i="10"/>
  <c r="A60" i="10"/>
  <c r="A61" i="10"/>
  <c r="B63" i="10"/>
  <c r="C63" i="10"/>
  <c r="D63" i="10"/>
  <c r="E63" i="10"/>
  <c r="F63" i="10"/>
  <c r="G63" i="10"/>
  <c r="H63" i="10"/>
  <c r="I63" i="10"/>
  <c r="J65" i="10"/>
  <c r="J11" i="12"/>
  <c r="J12" i="12"/>
  <c r="B13" i="12"/>
  <c r="C13" i="12"/>
  <c r="D13" i="12"/>
  <c r="E13" i="12"/>
  <c r="F13" i="12"/>
  <c r="G13" i="12"/>
  <c r="H13" i="12"/>
  <c r="I13" i="12"/>
  <c r="B14" i="12"/>
  <c r="C14" i="12"/>
  <c r="D14" i="12"/>
  <c r="E14" i="12"/>
  <c r="F14" i="12"/>
  <c r="G14" i="12"/>
  <c r="H14" i="12"/>
  <c r="I14" i="12"/>
  <c r="B15" i="12"/>
  <c r="C15" i="12"/>
  <c r="D15" i="12"/>
  <c r="E15" i="12"/>
  <c r="F15" i="12"/>
  <c r="G15" i="12"/>
  <c r="I15" i="12"/>
  <c r="B16" i="12"/>
  <c r="B26" i="12"/>
  <c r="C16" i="12"/>
  <c r="D16" i="12"/>
  <c r="E16" i="12"/>
  <c r="F16" i="12"/>
  <c r="G16" i="12"/>
  <c r="G26" i="12"/>
  <c r="I16" i="12"/>
  <c r="B17" i="12"/>
  <c r="C17" i="12"/>
  <c r="D17" i="12"/>
  <c r="F17" i="12"/>
  <c r="J17" i="12"/>
  <c r="G17" i="12"/>
  <c r="I17" i="12"/>
  <c r="B18" i="12"/>
  <c r="J18" i="12"/>
  <c r="C18" i="12"/>
  <c r="D18" i="12"/>
  <c r="F18" i="12"/>
  <c r="G18" i="12"/>
  <c r="I18" i="12"/>
  <c r="B19" i="12"/>
  <c r="C19" i="12"/>
  <c r="J19" i="12"/>
  <c r="D19" i="12"/>
  <c r="E19" i="12"/>
  <c r="F19" i="12"/>
  <c r="G19" i="12"/>
  <c r="I19" i="12"/>
  <c r="B20" i="12"/>
  <c r="C20" i="12"/>
  <c r="D20" i="12"/>
  <c r="E20" i="12"/>
  <c r="F20" i="12"/>
  <c r="G20" i="12"/>
  <c r="I20" i="12"/>
  <c r="B21" i="12"/>
  <c r="C21" i="12"/>
  <c r="D21" i="12"/>
  <c r="E21" i="12"/>
  <c r="J21" i="12"/>
  <c r="F21" i="12"/>
  <c r="G21" i="12"/>
  <c r="I21" i="12"/>
  <c r="B22" i="12"/>
  <c r="C22" i="12"/>
  <c r="D22" i="12"/>
  <c r="E22" i="12"/>
  <c r="F22" i="12"/>
  <c r="G22" i="12"/>
  <c r="I22" i="12"/>
  <c r="B23" i="12"/>
  <c r="B43" i="12"/>
  <c r="C23" i="12"/>
  <c r="D23" i="12"/>
  <c r="E23" i="12"/>
  <c r="F23" i="12"/>
  <c r="J23" i="12"/>
  <c r="G23" i="12"/>
  <c r="H23" i="12"/>
  <c r="I23" i="12"/>
  <c r="B24" i="12"/>
  <c r="B44" i="12"/>
  <c r="C24" i="12"/>
  <c r="D24" i="12"/>
  <c r="E24" i="12"/>
  <c r="F24" i="12"/>
  <c r="J24" i="12"/>
  <c r="G24" i="12"/>
  <c r="H24" i="12"/>
  <c r="I24" i="12"/>
  <c r="J25" i="12"/>
  <c r="A31" i="12"/>
  <c r="A32" i="12"/>
  <c r="A33" i="12"/>
  <c r="A34" i="12"/>
  <c r="A35" i="12"/>
  <c r="A36" i="12"/>
  <c r="A37" i="12"/>
  <c r="A38" i="12"/>
  <c r="A39" i="12"/>
  <c r="A40" i="12"/>
  <c r="A41" i="12"/>
  <c r="A42" i="12"/>
  <c r="A43" i="12"/>
  <c r="A44" i="12"/>
  <c r="A48" i="12"/>
  <c r="J48" i="12"/>
  <c r="J65" i="12"/>
  <c r="A49" i="12"/>
  <c r="J49" i="12"/>
  <c r="A50" i="12"/>
  <c r="A51" i="12"/>
  <c r="A52" i="12"/>
  <c r="A53" i="12"/>
  <c r="A54" i="12"/>
  <c r="A55" i="12"/>
  <c r="A56" i="12"/>
  <c r="A57" i="12"/>
  <c r="A58" i="12"/>
  <c r="A59" i="12"/>
  <c r="A60" i="12"/>
  <c r="A61" i="12"/>
  <c r="J62" i="12"/>
  <c r="B63" i="12"/>
  <c r="C63" i="12"/>
  <c r="D63" i="12"/>
  <c r="E63" i="12"/>
  <c r="F63" i="12"/>
  <c r="G63" i="12"/>
  <c r="H63" i="12"/>
  <c r="I63" i="12"/>
  <c r="B13" i="14"/>
  <c r="B54" i="14"/>
  <c r="B35" i="14"/>
  <c r="C13" i="14"/>
  <c r="C54" i="14"/>
  <c r="D13" i="14"/>
  <c r="F13" i="14"/>
  <c r="F54" i="14"/>
  <c r="I13" i="14"/>
  <c r="E13" i="14"/>
  <c r="E14" i="14"/>
  <c r="E15" i="14"/>
  <c r="E16" i="14"/>
  <c r="E17" i="14"/>
  <c r="E18" i="14"/>
  <c r="E19" i="14"/>
  <c r="E20" i="14"/>
  <c r="E21" i="14"/>
  <c r="E22" i="14"/>
  <c r="E23" i="14"/>
  <c r="E24" i="14"/>
  <c r="E25" i="14"/>
  <c r="H13" i="14"/>
  <c r="H54" i="14"/>
  <c r="H69" i="14"/>
  <c r="B14" i="14"/>
  <c r="B36" i="14"/>
  <c r="B55" i="14"/>
  <c r="C14" i="14"/>
  <c r="D14" i="14"/>
  <c r="D55" i="14"/>
  <c r="F14" i="14"/>
  <c r="F55" i="14"/>
  <c r="I14" i="14"/>
  <c r="I55" i="14"/>
  <c r="G14" i="14"/>
  <c r="G55" i="14"/>
  <c r="B15" i="14"/>
  <c r="B56" i="14"/>
  <c r="B37" i="14"/>
  <c r="C15" i="14"/>
  <c r="C56" i="14"/>
  <c r="D15" i="14"/>
  <c r="D56" i="14"/>
  <c r="F15" i="14"/>
  <c r="F56" i="14"/>
  <c r="I15" i="14"/>
  <c r="I56" i="14"/>
  <c r="G15" i="14"/>
  <c r="G56" i="14"/>
  <c r="B16" i="14"/>
  <c r="B38" i="14"/>
  <c r="B57" i="14"/>
  <c r="C16" i="14"/>
  <c r="C57" i="14"/>
  <c r="D16" i="14"/>
  <c r="D57" i="14"/>
  <c r="F16" i="14"/>
  <c r="F57" i="14"/>
  <c r="I16" i="14"/>
  <c r="I57" i="14"/>
  <c r="G16" i="14"/>
  <c r="G57" i="14"/>
  <c r="B17" i="14"/>
  <c r="B58" i="14"/>
  <c r="B39" i="14"/>
  <c r="C17" i="14"/>
  <c r="D17" i="14"/>
  <c r="D58" i="14"/>
  <c r="F17" i="14"/>
  <c r="I17" i="14"/>
  <c r="I58" i="14"/>
  <c r="G17" i="14"/>
  <c r="G58" i="14"/>
  <c r="B18" i="14"/>
  <c r="B40" i="14"/>
  <c r="C18" i="14"/>
  <c r="C59" i="14"/>
  <c r="D18" i="14"/>
  <c r="D59" i="14"/>
  <c r="F18" i="14"/>
  <c r="F59" i="14"/>
  <c r="I18" i="14"/>
  <c r="I59" i="14"/>
  <c r="G18" i="14"/>
  <c r="G59" i="14"/>
  <c r="B19" i="14"/>
  <c r="B41" i="14"/>
  <c r="B60" i="14"/>
  <c r="C19" i="14"/>
  <c r="C60" i="14"/>
  <c r="D19" i="14"/>
  <c r="D60" i="14"/>
  <c r="F19" i="14"/>
  <c r="I19" i="14"/>
  <c r="I60" i="14"/>
  <c r="G19" i="14"/>
  <c r="G60" i="14"/>
  <c r="B20" i="14"/>
  <c r="B61" i="14"/>
  <c r="B42" i="14"/>
  <c r="C20" i="14"/>
  <c r="C61" i="14"/>
  <c r="D20" i="14"/>
  <c r="D61" i="14"/>
  <c r="F20" i="14"/>
  <c r="F61" i="14"/>
  <c r="I20" i="14"/>
  <c r="I61" i="14"/>
  <c r="G20" i="14"/>
  <c r="G61" i="14"/>
  <c r="B21" i="14"/>
  <c r="B43" i="14"/>
  <c r="B62" i="14"/>
  <c r="C21" i="14"/>
  <c r="C62" i="14"/>
  <c r="D21" i="14"/>
  <c r="D62" i="14"/>
  <c r="F21" i="14"/>
  <c r="F62" i="14"/>
  <c r="I21" i="14"/>
  <c r="I62" i="14"/>
  <c r="G21" i="14"/>
  <c r="G62" i="14"/>
  <c r="B22" i="14"/>
  <c r="B44" i="14"/>
  <c r="B63" i="14"/>
  <c r="C22" i="14"/>
  <c r="C63" i="14"/>
  <c r="D22" i="14"/>
  <c r="D63" i="14"/>
  <c r="F22" i="14"/>
  <c r="I22" i="14"/>
  <c r="I63" i="14"/>
  <c r="G22" i="14"/>
  <c r="G63" i="14"/>
  <c r="B23" i="14"/>
  <c r="B45" i="14"/>
  <c r="C23" i="14"/>
  <c r="C64" i="14"/>
  <c r="D23" i="14"/>
  <c r="D64" i="14"/>
  <c r="F23" i="14"/>
  <c r="F64" i="14"/>
  <c r="I23" i="14"/>
  <c r="B24" i="14"/>
  <c r="B46" i="14"/>
  <c r="C24" i="14"/>
  <c r="D24" i="14"/>
  <c r="D65" i="14"/>
  <c r="F24" i="14"/>
  <c r="F65" i="14"/>
  <c r="I24" i="14"/>
  <c r="I65" i="14"/>
  <c r="G24" i="14"/>
  <c r="B25" i="14"/>
  <c r="B66" i="14"/>
  <c r="B47" i="14"/>
  <c r="C25" i="14"/>
  <c r="C66" i="14"/>
  <c r="D25" i="14"/>
  <c r="D66" i="14"/>
  <c r="F25" i="14"/>
  <c r="F66" i="14"/>
  <c r="I25" i="14"/>
  <c r="I66" i="14"/>
  <c r="G25" i="14"/>
  <c r="G66" i="14"/>
  <c r="B26" i="14"/>
  <c r="B48" i="14"/>
  <c r="B67" i="14"/>
  <c r="J67" i="14"/>
  <c r="E32" i="13"/>
  <c r="H74" i="13"/>
  <c r="C26" i="14"/>
  <c r="C67" i="14"/>
  <c r="D26" i="14"/>
  <c r="D67" i="14"/>
  <c r="F26" i="14"/>
  <c r="F67" i="14"/>
  <c r="I26" i="14"/>
  <c r="I67" i="14"/>
  <c r="B27" i="14"/>
  <c r="B49" i="14"/>
  <c r="C27" i="14"/>
  <c r="D27" i="14"/>
  <c r="D68" i="14"/>
  <c r="F27" i="14"/>
  <c r="F68" i="14"/>
  <c r="I27" i="14"/>
  <c r="I68" i="14"/>
  <c r="H14" i="14"/>
  <c r="J14" i="14"/>
  <c r="H16" i="14"/>
  <c r="G23" i="14"/>
  <c r="H23" i="14"/>
  <c r="G27" i="14"/>
  <c r="G26" i="14"/>
  <c r="G13" i="14"/>
  <c r="A65" i="14"/>
  <c r="A64" i="14"/>
  <c r="A63" i="14"/>
  <c r="A62" i="14"/>
  <c r="A61" i="14"/>
  <c r="A60" i="14"/>
  <c r="A59" i="14"/>
  <c r="A58" i="14"/>
  <c r="A57" i="14"/>
  <c r="A56" i="14"/>
  <c r="A55" i="14"/>
  <c r="A54" i="14"/>
  <c r="A46" i="14"/>
  <c r="A45" i="14"/>
  <c r="A44" i="14"/>
  <c r="A43" i="14"/>
  <c r="A42" i="14"/>
  <c r="A41" i="14"/>
  <c r="A40" i="14"/>
  <c r="A39" i="14"/>
  <c r="A38" i="14"/>
  <c r="A37" i="14"/>
  <c r="A36" i="14"/>
  <c r="A35" i="14"/>
  <c r="B30" i="16"/>
  <c r="B46" i="16"/>
  <c r="C11" i="16"/>
  <c r="D11" i="16"/>
  <c r="D46" i="16"/>
  <c r="E11" i="16"/>
  <c r="E46" i="16"/>
  <c r="F11" i="16"/>
  <c r="J11" i="16"/>
  <c r="G11" i="16"/>
  <c r="H11" i="16"/>
  <c r="I11" i="16"/>
  <c r="I46" i="16"/>
  <c r="B31" i="16"/>
  <c r="B47" i="16"/>
  <c r="C12" i="16"/>
  <c r="C47" i="16"/>
  <c r="J47" i="16"/>
  <c r="D12" i="16"/>
  <c r="D47" i="16"/>
  <c r="E12" i="16"/>
  <c r="E47" i="16"/>
  <c r="F12" i="16"/>
  <c r="F47" i="16"/>
  <c r="G12" i="16"/>
  <c r="G47" i="16"/>
  <c r="H12" i="16"/>
  <c r="H47" i="16"/>
  <c r="I12" i="16"/>
  <c r="I47" i="16"/>
  <c r="B32" i="16"/>
  <c r="B48" i="16"/>
  <c r="C13" i="16"/>
  <c r="D13" i="16"/>
  <c r="E13" i="16"/>
  <c r="E48" i="16"/>
  <c r="F13" i="16"/>
  <c r="F48" i="16"/>
  <c r="G13" i="16"/>
  <c r="H13" i="16"/>
  <c r="H48" i="16"/>
  <c r="I13" i="16"/>
  <c r="B33" i="16"/>
  <c r="B49" i="16"/>
  <c r="C14" i="16"/>
  <c r="C49" i="16"/>
  <c r="D14" i="16"/>
  <c r="D49" i="16"/>
  <c r="E14" i="16"/>
  <c r="E49" i="16"/>
  <c r="F14" i="16"/>
  <c r="F49" i="16"/>
  <c r="G14" i="16"/>
  <c r="G49" i="16"/>
  <c r="H14" i="16"/>
  <c r="H49" i="16"/>
  <c r="I14" i="16"/>
  <c r="I49" i="16"/>
  <c r="B34" i="16"/>
  <c r="B50" i="16"/>
  <c r="C15" i="16"/>
  <c r="C50" i="16"/>
  <c r="D15" i="16"/>
  <c r="E15" i="16"/>
  <c r="E50" i="16"/>
  <c r="F15" i="16"/>
  <c r="F50" i="16"/>
  <c r="G15" i="16"/>
  <c r="G50" i="16"/>
  <c r="H15" i="16"/>
  <c r="H50" i="16"/>
  <c r="I15" i="16"/>
  <c r="B35" i="16"/>
  <c r="B51" i="16"/>
  <c r="C16" i="16"/>
  <c r="D16" i="16"/>
  <c r="D51" i="16"/>
  <c r="E16" i="16"/>
  <c r="F16" i="16"/>
  <c r="F51" i="16"/>
  <c r="G16" i="16"/>
  <c r="G51" i="16"/>
  <c r="H16" i="16"/>
  <c r="H51" i="16"/>
  <c r="I16" i="16"/>
  <c r="I51" i="16"/>
  <c r="B36" i="16"/>
  <c r="B52" i="16"/>
  <c r="C17" i="16"/>
  <c r="C52" i="16"/>
  <c r="D17" i="16"/>
  <c r="D52" i="16"/>
  <c r="E17" i="16"/>
  <c r="F17" i="16"/>
  <c r="F52" i="16"/>
  <c r="G17" i="16"/>
  <c r="G52" i="16"/>
  <c r="H17" i="16"/>
  <c r="H52" i="16"/>
  <c r="I17" i="16"/>
  <c r="I52" i="16"/>
  <c r="B37" i="16"/>
  <c r="B53" i="16"/>
  <c r="C18" i="16"/>
  <c r="C53" i="16"/>
  <c r="D18" i="16"/>
  <c r="E18" i="16"/>
  <c r="E53" i="16"/>
  <c r="F18" i="16"/>
  <c r="F53" i="16"/>
  <c r="G18" i="16"/>
  <c r="G53" i="16"/>
  <c r="H18" i="16"/>
  <c r="H53" i="16"/>
  <c r="I18" i="16"/>
  <c r="I53" i="16"/>
  <c r="B19" i="16"/>
  <c r="B38" i="16"/>
  <c r="C19" i="16"/>
  <c r="C54" i="16"/>
  <c r="D19" i="16"/>
  <c r="D54" i="16"/>
  <c r="E19" i="16"/>
  <c r="E54" i="16"/>
  <c r="F19" i="16"/>
  <c r="G19" i="16"/>
  <c r="G54" i="16"/>
  <c r="H19" i="16"/>
  <c r="H54" i="16"/>
  <c r="I19" i="16"/>
  <c r="I54" i="16"/>
  <c r="B39" i="16"/>
  <c r="B55" i="16"/>
  <c r="C55" i="16"/>
  <c r="D55" i="16"/>
  <c r="E55" i="16"/>
  <c r="F55" i="16"/>
  <c r="G55" i="16"/>
  <c r="H55" i="16"/>
  <c r="I55" i="16"/>
  <c r="B40" i="16"/>
  <c r="B56" i="16"/>
  <c r="C56" i="16"/>
  <c r="D56" i="16"/>
  <c r="E56" i="16"/>
  <c r="F56" i="16"/>
  <c r="G56" i="16"/>
  <c r="H56" i="16"/>
  <c r="I56" i="16"/>
  <c r="B22" i="16"/>
  <c r="B41" i="16"/>
  <c r="C22" i="16"/>
  <c r="C57" i="16"/>
  <c r="D22" i="16"/>
  <c r="D57" i="16"/>
  <c r="E22" i="16"/>
  <c r="E57" i="16"/>
  <c r="J57" i="16"/>
  <c r="E26" i="17"/>
  <c r="F22" i="16"/>
  <c r="F57" i="16"/>
  <c r="G22" i="16"/>
  <c r="G57" i="16"/>
  <c r="H22" i="16"/>
  <c r="I22" i="16"/>
  <c r="I57" i="16"/>
  <c r="J20" i="16"/>
  <c r="J21" i="16"/>
  <c r="G103" i="17"/>
  <c r="H105" i="17"/>
  <c r="D79" i="17"/>
  <c r="D80" i="17"/>
  <c r="D81" i="17"/>
  <c r="D82" i="17"/>
  <c r="D83" i="17"/>
  <c r="F85" i="17"/>
  <c r="D84" i="17"/>
  <c r="D85" i="17"/>
  <c r="D86" i="17"/>
  <c r="D87" i="17"/>
  <c r="D88" i="17"/>
  <c r="F89" i="17"/>
  <c r="D89" i="17"/>
  <c r="G119" i="17"/>
  <c r="D90" i="17"/>
  <c r="H119" i="17"/>
  <c r="H118" i="17"/>
  <c r="G118" i="17"/>
  <c r="F118" i="17"/>
  <c r="I118" i="17"/>
  <c r="I121" i="17"/>
  <c r="I123" i="17"/>
  <c r="F57" i="17"/>
  <c r="G57" i="17"/>
  <c r="D26" i="17"/>
  <c r="E91" i="17"/>
  <c r="F79" i="17"/>
  <c r="B72" i="19"/>
  <c r="B30" i="19"/>
  <c r="H102" i="19"/>
  <c r="H118" i="19"/>
  <c r="G102" i="19"/>
  <c r="F102" i="19"/>
  <c r="E102" i="19"/>
  <c r="D102" i="19"/>
  <c r="D118" i="19"/>
  <c r="C102" i="19"/>
  <c r="C118" i="19"/>
  <c r="B41" i="19"/>
  <c r="H101" i="19"/>
  <c r="H117" i="19"/>
  <c r="G101" i="19"/>
  <c r="F101" i="19"/>
  <c r="E101" i="19"/>
  <c r="D101" i="19"/>
  <c r="D117" i="19"/>
  <c r="K117" i="19"/>
  <c r="E89" i="18"/>
  <c r="G118" i="18"/>
  <c r="C101" i="19"/>
  <c r="C117" i="19"/>
  <c r="B40" i="19"/>
  <c r="B101" i="19"/>
  <c r="B117" i="19"/>
  <c r="H100" i="19"/>
  <c r="H116" i="19"/>
  <c r="G100" i="19"/>
  <c r="F100" i="19"/>
  <c r="E100" i="19"/>
  <c r="D100" i="19"/>
  <c r="D116" i="19"/>
  <c r="C100" i="19"/>
  <c r="B39" i="19"/>
  <c r="B100" i="19"/>
  <c r="B116" i="19"/>
  <c r="H99" i="19"/>
  <c r="G99" i="19"/>
  <c r="F99" i="19"/>
  <c r="F115" i="19"/>
  <c r="E99" i="19"/>
  <c r="E115" i="19"/>
  <c r="D99" i="19"/>
  <c r="C99" i="19"/>
  <c r="C115" i="19"/>
  <c r="B38" i="19"/>
  <c r="H98" i="19"/>
  <c r="H114" i="19"/>
  <c r="G98" i="19"/>
  <c r="F98" i="19"/>
  <c r="F114" i="19"/>
  <c r="E98" i="19"/>
  <c r="D98" i="19"/>
  <c r="D114" i="19"/>
  <c r="C98" i="19"/>
  <c r="C114" i="19"/>
  <c r="B37" i="19"/>
  <c r="B98" i="19"/>
  <c r="B114" i="19"/>
  <c r="H97" i="19"/>
  <c r="H113" i="19"/>
  <c r="G97" i="19"/>
  <c r="F97" i="19"/>
  <c r="E97" i="19"/>
  <c r="D97" i="19"/>
  <c r="C97" i="19"/>
  <c r="C113" i="19"/>
  <c r="B36" i="19"/>
  <c r="B97" i="19"/>
  <c r="B113" i="19"/>
  <c r="H96" i="19"/>
  <c r="H112" i="19"/>
  <c r="H119" i="19"/>
  <c r="G96" i="19"/>
  <c r="F96" i="19"/>
  <c r="E96" i="19"/>
  <c r="D96" i="19"/>
  <c r="D112" i="19"/>
  <c r="C96" i="19"/>
  <c r="C112" i="19"/>
  <c r="B35" i="19"/>
  <c r="B96" i="19"/>
  <c r="B112" i="19"/>
  <c r="H95" i="19"/>
  <c r="G95" i="19"/>
  <c r="F95" i="19"/>
  <c r="E95" i="19"/>
  <c r="D95" i="19"/>
  <c r="C95" i="19"/>
  <c r="B34" i="19"/>
  <c r="B95" i="19"/>
  <c r="H94" i="19"/>
  <c r="H110" i="19"/>
  <c r="G94" i="19"/>
  <c r="F94" i="19"/>
  <c r="E94" i="19"/>
  <c r="D94" i="19"/>
  <c r="C94" i="19"/>
  <c r="B33" i="19"/>
  <c r="B94" i="19"/>
  <c r="H32" i="19"/>
  <c r="H93" i="19"/>
  <c r="H109" i="19"/>
  <c r="G32" i="19"/>
  <c r="G93" i="19"/>
  <c r="F32" i="19"/>
  <c r="F93" i="19"/>
  <c r="E32" i="19"/>
  <c r="E93" i="19"/>
  <c r="D32" i="19"/>
  <c r="C32" i="19"/>
  <c r="C93" i="19"/>
  <c r="B32" i="19"/>
  <c r="B93" i="19"/>
  <c r="H92" i="19"/>
  <c r="H108" i="19"/>
  <c r="G92" i="19"/>
  <c r="G108" i="19"/>
  <c r="F92" i="19"/>
  <c r="F108" i="19"/>
  <c r="E92" i="19"/>
  <c r="D92" i="19"/>
  <c r="C92" i="19"/>
  <c r="B31" i="19"/>
  <c r="B92" i="19"/>
  <c r="H91" i="19"/>
  <c r="H107" i="19"/>
  <c r="G91" i="19"/>
  <c r="F91" i="19"/>
  <c r="E91" i="19"/>
  <c r="D91" i="19"/>
  <c r="C91" i="19"/>
  <c r="F72" i="19"/>
  <c r="F73" i="19"/>
  <c r="F74" i="19"/>
  <c r="E74" i="19"/>
  <c r="E109" i="19"/>
  <c r="F75" i="19"/>
  <c r="G77" i="19"/>
  <c r="F83" i="19"/>
  <c r="E83" i="19"/>
  <c r="E118" i="19"/>
  <c r="G83" i="19"/>
  <c r="I118" i="19"/>
  <c r="J118" i="19"/>
  <c r="C57" i="19"/>
  <c r="D57" i="19"/>
  <c r="E57" i="19"/>
  <c r="F57" i="19"/>
  <c r="G57" i="19"/>
  <c r="H57" i="19"/>
  <c r="I57" i="19"/>
  <c r="F82" i="19"/>
  <c r="E82" i="19"/>
  <c r="F81" i="19"/>
  <c r="F116" i="19"/>
  <c r="F80" i="19"/>
  <c r="F79" i="19"/>
  <c r="E79" i="19"/>
  <c r="E114" i="19"/>
  <c r="F78" i="19"/>
  <c r="E78" i="19"/>
  <c r="F77" i="19"/>
  <c r="F76" i="19"/>
  <c r="F111" i="19"/>
  <c r="C21" i="19"/>
  <c r="C56" i="19"/>
  <c r="B21" i="19"/>
  <c r="J21" i="19"/>
  <c r="G82" i="19"/>
  <c r="G117" i="19"/>
  <c r="I117" i="19"/>
  <c r="I116" i="19"/>
  <c r="I115" i="19"/>
  <c r="C116" i="19"/>
  <c r="E81" i="19"/>
  <c r="E116" i="19"/>
  <c r="G81" i="19"/>
  <c r="G116" i="19"/>
  <c r="J116" i="19"/>
  <c r="G80" i="19"/>
  <c r="G115" i="19"/>
  <c r="G79" i="19"/>
  <c r="G114" i="19"/>
  <c r="G78" i="19"/>
  <c r="G113" i="19"/>
  <c r="I114" i="19"/>
  <c r="I113" i="19"/>
  <c r="I17" i="19"/>
  <c r="H17" i="19"/>
  <c r="H52" i="19"/>
  <c r="G17" i="19"/>
  <c r="G52" i="19"/>
  <c r="F17" i="19"/>
  <c r="E17" i="19"/>
  <c r="D17" i="19"/>
  <c r="C17" i="19"/>
  <c r="B17" i="19"/>
  <c r="G76" i="19"/>
  <c r="G111" i="19"/>
  <c r="G75" i="19"/>
  <c r="G110" i="19"/>
  <c r="G74" i="19"/>
  <c r="G72" i="19"/>
  <c r="I112" i="19"/>
  <c r="J112" i="19"/>
  <c r="B16" i="19"/>
  <c r="B51" i="19"/>
  <c r="C16" i="19"/>
  <c r="C51" i="19"/>
  <c r="D16" i="19"/>
  <c r="D23" i="19"/>
  <c r="E16" i="19"/>
  <c r="E51" i="19"/>
  <c r="F16" i="19"/>
  <c r="F51" i="19"/>
  <c r="G16" i="19"/>
  <c r="G51" i="19"/>
  <c r="H16" i="19"/>
  <c r="H51" i="19"/>
  <c r="I16" i="19"/>
  <c r="I51" i="19"/>
  <c r="J76" i="19"/>
  <c r="I76" i="19"/>
  <c r="I111" i="19"/>
  <c r="D76" i="19"/>
  <c r="D111" i="19"/>
  <c r="C76" i="19"/>
  <c r="B76" i="19"/>
  <c r="I15" i="19"/>
  <c r="H15" i="19"/>
  <c r="H50" i="19"/>
  <c r="G15" i="19"/>
  <c r="G50" i="19"/>
  <c r="F15" i="19"/>
  <c r="E15" i="19"/>
  <c r="E50" i="19"/>
  <c r="D15" i="19"/>
  <c r="D50" i="19"/>
  <c r="C15" i="19"/>
  <c r="B15" i="19"/>
  <c r="H111" i="19"/>
  <c r="I75" i="19"/>
  <c r="J75" i="19"/>
  <c r="J110" i="19"/>
  <c r="D75" i="19"/>
  <c r="C75" i="19"/>
  <c r="B75" i="19"/>
  <c r="B110" i="19"/>
  <c r="F14" i="19"/>
  <c r="D14" i="19"/>
  <c r="D49" i="19"/>
  <c r="C14" i="19"/>
  <c r="I14" i="19"/>
  <c r="I49" i="19"/>
  <c r="I58" i="19"/>
  <c r="H14" i="19"/>
  <c r="H49" i="19"/>
  <c r="G14" i="19"/>
  <c r="G49" i="19"/>
  <c r="E14" i="19"/>
  <c r="B14" i="19"/>
  <c r="I74" i="19"/>
  <c r="I109" i="19"/>
  <c r="J74" i="19"/>
  <c r="J109" i="19"/>
  <c r="D74" i="19"/>
  <c r="C74" i="19"/>
  <c r="B74" i="19"/>
  <c r="B109" i="19"/>
  <c r="I13" i="19"/>
  <c r="I48" i="19"/>
  <c r="H13" i="19"/>
  <c r="H48" i="19"/>
  <c r="G13" i="19"/>
  <c r="F13" i="19"/>
  <c r="E13" i="19"/>
  <c r="D13" i="19"/>
  <c r="C13" i="19"/>
  <c r="B13" i="19"/>
  <c r="I73" i="19"/>
  <c r="I108" i="19"/>
  <c r="J73" i="19"/>
  <c r="J108" i="19"/>
  <c r="D73" i="19"/>
  <c r="D108" i="19"/>
  <c r="C73" i="19"/>
  <c r="C108" i="19"/>
  <c r="B73" i="19"/>
  <c r="I12" i="19"/>
  <c r="I47" i="19"/>
  <c r="H12" i="19"/>
  <c r="G12" i="19"/>
  <c r="G47" i="19"/>
  <c r="F12" i="19"/>
  <c r="E12" i="19"/>
  <c r="E47" i="19"/>
  <c r="D12" i="19"/>
  <c r="C12" i="19"/>
  <c r="C47" i="19"/>
  <c r="B12" i="19"/>
  <c r="I72" i="19"/>
  <c r="I84" i="19"/>
  <c r="J72" i="19"/>
  <c r="J107" i="19"/>
  <c r="D72" i="19"/>
  <c r="D107" i="19"/>
  <c r="C72" i="19"/>
  <c r="H84" i="19"/>
  <c r="D113" i="19"/>
  <c r="J113" i="19"/>
  <c r="J114" i="19"/>
  <c r="K114" i="19"/>
  <c r="E86" i="18"/>
  <c r="D115" i="19"/>
  <c r="H115" i="19"/>
  <c r="J115" i="19"/>
  <c r="F117" i="19"/>
  <c r="J117" i="19"/>
  <c r="I11" i="19"/>
  <c r="H11" i="19"/>
  <c r="G11" i="19"/>
  <c r="F11" i="19"/>
  <c r="E11" i="19"/>
  <c r="D11" i="19"/>
  <c r="D46" i="19"/>
  <c r="C11" i="19"/>
  <c r="C46" i="19"/>
  <c r="B11" i="19"/>
  <c r="F47" i="19"/>
  <c r="C50" i="19"/>
  <c r="E52" i="19"/>
  <c r="F52" i="19"/>
  <c r="I52" i="19"/>
  <c r="C53" i="19"/>
  <c r="D53" i="19"/>
  <c r="E53" i="19"/>
  <c r="F53" i="19"/>
  <c r="G53" i="19"/>
  <c r="H53" i="19"/>
  <c r="I53" i="19"/>
  <c r="C54" i="19"/>
  <c r="D54" i="19"/>
  <c r="E54" i="19"/>
  <c r="F54" i="19"/>
  <c r="G54" i="19"/>
  <c r="H54" i="19"/>
  <c r="I54" i="19"/>
  <c r="C55" i="19"/>
  <c r="D55" i="19"/>
  <c r="E55" i="19"/>
  <c r="F55" i="19"/>
  <c r="G55" i="19"/>
  <c r="H55" i="19"/>
  <c r="I55" i="19"/>
  <c r="B56" i="19"/>
  <c r="J56" i="19"/>
  <c r="E25" i="18"/>
  <c r="G56" i="18"/>
  <c r="D56" i="19"/>
  <c r="E56" i="19"/>
  <c r="F56" i="19"/>
  <c r="G56" i="19"/>
  <c r="H56" i="19"/>
  <c r="I56" i="19"/>
  <c r="J18" i="19"/>
  <c r="J19" i="19"/>
  <c r="J20" i="19"/>
  <c r="J22" i="19"/>
  <c r="H101" i="18"/>
  <c r="G112" i="18"/>
  <c r="D15" i="18"/>
  <c r="D16" i="18"/>
  <c r="D17" i="18"/>
  <c r="D18" i="18"/>
  <c r="D19" i="18"/>
  <c r="D20" i="18"/>
  <c r="D21" i="18"/>
  <c r="D22" i="18"/>
  <c r="D23" i="18"/>
  <c r="D24" i="18"/>
  <c r="D25" i="18"/>
  <c r="G57" i="18"/>
  <c r="D26" i="18"/>
  <c r="G49" i="18"/>
  <c r="F119" i="18"/>
  <c r="I119" i="18"/>
  <c r="J119" i="18"/>
  <c r="G119" i="18"/>
  <c r="H119" i="18"/>
  <c r="F95" i="18"/>
  <c r="D91" i="18"/>
  <c r="H57" i="18"/>
  <c r="F83" i="20"/>
  <c r="F82" i="20"/>
  <c r="B40" i="20"/>
  <c r="B56" i="20"/>
  <c r="H81" i="20"/>
  <c r="F81" i="20"/>
  <c r="E81" i="20"/>
  <c r="H80" i="20"/>
  <c r="G80" i="20"/>
  <c r="G115" i="20"/>
  <c r="F80" i="20"/>
  <c r="E80" i="20"/>
  <c r="H79" i="20"/>
  <c r="H114" i="20"/>
  <c r="G79" i="20"/>
  <c r="G114" i="20"/>
  <c r="F79" i="20"/>
  <c r="E79" i="20"/>
  <c r="G78" i="20"/>
  <c r="F78" i="20"/>
  <c r="E78" i="20"/>
  <c r="H77" i="20"/>
  <c r="F77" i="20"/>
  <c r="H76" i="20"/>
  <c r="G76" i="20"/>
  <c r="G111" i="20"/>
  <c r="F76" i="20"/>
  <c r="E76" i="20"/>
  <c r="E111" i="20"/>
  <c r="K111" i="20"/>
  <c r="E83" i="21"/>
  <c r="H75" i="20"/>
  <c r="F75" i="20"/>
  <c r="H74" i="20"/>
  <c r="G74" i="20"/>
  <c r="F74" i="20"/>
  <c r="H73" i="20"/>
  <c r="F73" i="20"/>
  <c r="E73" i="20"/>
  <c r="G72" i="20"/>
  <c r="G107" i="20"/>
  <c r="F72" i="20"/>
  <c r="B39" i="20"/>
  <c r="B38" i="20"/>
  <c r="B37" i="20"/>
  <c r="B98" i="20"/>
  <c r="B114" i="20"/>
  <c r="B36" i="20"/>
  <c r="B97" i="20"/>
  <c r="B113" i="20"/>
  <c r="B35" i="20"/>
  <c r="B96" i="20"/>
  <c r="B112" i="20"/>
  <c r="B34" i="20"/>
  <c r="B95" i="20"/>
  <c r="B111" i="20"/>
  <c r="B33" i="20"/>
  <c r="B32" i="20"/>
  <c r="B31" i="20"/>
  <c r="B30" i="20"/>
  <c r="B46" i="20"/>
  <c r="J46" i="20"/>
  <c r="C56" i="20"/>
  <c r="D56" i="20"/>
  <c r="E56" i="20"/>
  <c r="F56" i="20"/>
  <c r="G56" i="20"/>
  <c r="H56" i="20"/>
  <c r="I56" i="20"/>
  <c r="B57" i="20"/>
  <c r="C57" i="20"/>
  <c r="D57" i="20"/>
  <c r="E57" i="20"/>
  <c r="F57" i="20"/>
  <c r="G57" i="20"/>
  <c r="H57" i="20"/>
  <c r="I57" i="20"/>
  <c r="C55" i="20"/>
  <c r="D55" i="20"/>
  <c r="E55" i="20"/>
  <c r="F55" i="20"/>
  <c r="G55" i="20"/>
  <c r="H55" i="20"/>
  <c r="I55" i="20"/>
  <c r="B54" i="20"/>
  <c r="C54" i="20"/>
  <c r="D54" i="20"/>
  <c r="E54" i="20"/>
  <c r="F54" i="20"/>
  <c r="G54" i="20"/>
  <c r="J54" i="20"/>
  <c r="H54" i="20"/>
  <c r="I54" i="20"/>
  <c r="C53" i="20"/>
  <c r="D53" i="20"/>
  <c r="E53" i="20"/>
  <c r="F53" i="20"/>
  <c r="G53" i="20"/>
  <c r="H53" i="20"/>
  <c r="I53" i="20"/>
  <c r="C99" i="20"/>
  <c r="C115" i="20"/>
  <c r="B99" i="20"/>
  <c r="B115" i="20"/>
  <c r="D99" i="20"/>
  <c r="D115" i="20"/>
  <c r="E99" i="20"/>
  <c r="E115" i="20"/>
  <c r="F99" i="20"/>
  <c r="G99" i="20"/>
  <c r="H99" i="20"/>
  <c r="H115" i="20"/>
  <c r="I115" i="20"/>
  <c r="J115" i="20"/>
  <c r="C98" i="20"/>
  <c r="C114" i="20"/>
  <c r="D98" i="20"/>
  <c r="D114" i="20"/>
  <c r="E98" i="20"/>
  <c r="F98" i="20"/>
  <c r="F114" i="20"/>
  <c r="G98" i="20"/>
  <c r="H98" i="20"/>
  <c r="I114" i="20"/>
  <c r="I119" i="20"/>
  <c r="J114" i="20"/>
  <c r="C100" i="20"/>
  <c r="C116" i="20"/>
  <c r="D100" i="20"/>
  <c r="D116" i="20"/>
  <c r="E100" i="20"/>
  <c r="F100" i="20"/>
  <c r="G100" i="20"/>
  <c r="G116" i="20"/>
  <c r="H100" i="20"/>
  <c r="H116" i="20"/>
  <c r="I116" i="20"/>
  <c r="J116" i="20"/>
  <c r="B101" i="20"/>
  <c r="B117" i="20"/>
  <c r="C101" i="20"/>
  <c r="C117" i="20"/>
  <c r="D101" i="20"/>
  <c r="D117" i="20"/>
  <c r="E101" i="20"/>
  <c r="F101" i="20"/>
  <c r="G101" i="20"/>
  <c r="G117" i="20"/>
  <c r="H101" i="20"/>
  <c r="H117" i="20"/>
  <c r="I117" i="20"/>
  <c r="J117" i="20"/>
  <c r="B102" i="20"/>
  <c r="B118" i="20"/>
  <c r="C102" i="20"/>
  <c r="C118" i="20"/>
  <c r="D102" i="20"/>
  <c r="D118" i="20"/>
  <c r="E102" i="20"/>
  <c r="F102" i="20"/>
  <c r="G102" i="20"/>
  <c r="G118" i="20"/>
  <c r="H102" i="20"/>
  <c r="H118" i="20"/>
  <c r="I118" i="20"/>
  <c r="J118" i="20"/>
  <c r="C91" i="20"/>
  <c r="C107" i="20"/>
  <c r="D91" i="20"/>
  <c r="D107" i="20"/>
  <c r="E91" i="20"/>
  <c r="E107" i="20"/>
  <c r="F91" i="20"/>
  <c r="F107" i="20"/>
  <c r="G91" i="20"/>
  <c r="H91" i="20"/>
  <c r="H107" i="20"/>
  <c r="I107" i="20"/>
  <c r="J107" i="20"/>
  <c r="C92" i="20"/>
  <c r="C108" i="20"/>
  <c r="D92" i="20"/>
  <c r="D108" i="20"/>
  <c r="E92" i="20"/>
  <c r="F92" i="20"/>
  <c r="F108" i="20"/>
  <c r="G92" i="20"/>
  <c r="H92" i="20"/>
  <c r="I108" i="20"/>
  <c r="J108" i="20"/>
  <c r="C93" i="20"/>
  <c r="C109" i="20"/>
  <c r="D93" i="20"/>
  <c r="D109" i="20"/>
  <c r="E93" i="20"/>
  <c r="F93" i="20"/>
  <c r="G93" i="20"/>
  <c r="H93" i="20"/>
  <c r="H109" i="20"/>
  <c r="I109" i="20"/>
  <c r="J109" i="20"/>
  <c r="C94" i="20"/>
  <c r="C110" i="20"/>
  <c r="D94" i="20"/>
  <c r="D110" i="20"/>
  <c r="E94" i="20"/>
  <c r="F94" i="20"/>
  <c r="F110" i="20"/>
  <c r="G94" i="20"/>
  <c r="H94" i="20"/>
  <c r="I110" i="20"/>
  <c r="J110" i="20"/>
  <c r="C95" i="20"/>
  <c r="C111" i="20"/>
  <c r="D95" i="20"/>
  <c r="D111" i="20"/>
  <c r="E95" i="20"/>
  <c r="F95" i="20"/>
  <c r="F111" i="20"/>
  <c r="G95" i="20"/>
  <c r="H95" i="20"/>
  <c r="I111" i="20"/>
  <c r="J111" i="20"/>
  <c r="C96" i="20"/>
  <c r="C112" i="20"/>
  <c r="D96" i="20"/>
  <c r="D112" i="20"/>
  <c r="E96" i="20"/>
  <c r="F96" i="20"/>
  <c r="G96" i="20"/>
  <c r="G112" i="20"/>
  <c r="H96" i="20"/>
  <c r="H112" i="20"/>
  <c r="I112" i="20"/>
  <c r="J112" i="20"/>
  <c r="C97" i="20"/>
  <c r="C113" i="20"/>
  <c r="D97" i="20"/>
  <c r="D113" i="20"/>
  <c r="E97" i="20"/>
  <c r="F97" i="20"/>
  <c r="F113" i="20"/>
  <c r="G97" i="20"/>
  <c r="G113" i="20"/>
  <c r="H97" i="20"/>
  <c r="H113" i="20"/>
  <c r="I113" i="20"/>
  <c r="J113" i="20"/>
  <c r="B84" i="20"/>
  <c r="C84" i="20"/>
  <c r="D84" i="20"/>
  <c r="I84" i="20"/>
  <c r="J84" i="20"/>
  <c r="C46" i="20"/>
  <c r="D46" i="20"/>
  <c r="E46" i="20"/>
  <c r="E58" i="20"/>
  <c r="F46" i="20"/>
  <c r="G46" i="20"/>
  <c r="H46" i="20"/>
  <c r="H58" i="20"/>
  <c r="I46" i="20"/>
  <c r="C47" i="20"/>
  <c r="D47" i="20"/>
  <c r="E47" i="20"/>
  <c r="F47" i="20"/>
  <c r="G47" i="20"/>
  <c r="H47" i="20"/>
  <c r="I47" i="20"/>
  <c r="I58" i="20"/>
  <c r="C48" i="20"/>
  <c r="D48" i="20"/>
  <c r="E48" i="20"/>
  <c r="F48" i="20"/>
  <c r="F58" i="20"/>
  <c r="G48" i="20"/>
  <c r="H48" i="20"/>
  <c r="I48" i="20"/>
  <c r="C49" i="20"/>
  <c r="D49" i="20"/>
  <c r="E49" i="20"/>
  <c r="F49" i="20"/>
  <c r="G49" i="20"/>
  <c r="H49" i="20"/>
  <c r="I49" i="20"/>
  <c r="B50" i="20"/>
  <c r="J50" i="20"/>
  <c r="E19" i="21"/>
  <c r="F21" i="21"/>
  <c r="C50" i="20"/>
  <c r="D50" i="20"/>
  <c r="E50" i="20"/>
  <c r="F50" i="20"/>
  <c r="G50" i="20"/>
  <c r="H50" i="20"/>
  <c r="I50" i="20"/>
  <c r="C51" i="20"/>
  <c r="D51" i="20"/>
  <c r="E51" i="20"/>
  <c r="F51" i="20"/>
  <c r="G51" i="20"/>
  <c r="J51" i="20"/>
  <c r="E20" i="21"/>
  <c r="H51" i="20"/>
  <c r="I51" i="20"/>
  <c r="B52" i="20"/>
  <c r="C52" i="20"/>
  <c r="D52" i="20"/>
  <c r="E52" i="20"/>
  <c r="F52" i="20"/>
  <c r="G52" i="20"/>
  <c r="J52" i="20"/>
  <c r="E21" i="21"/>
  <c r="H52" i="20"/>
  <c r="I52" i="20"/>
  <c r="I23" i="20"/>
  <c r="J11" i="20"/>
  <c r="J12" i="20"/>
  <c r="J13" i="20"/>
  <c r="J14" i="20"/>
  <c r="J15" i="20"/>
  <c r="J23" i="20"/>
  <c r="J16" i="20"/>
  <c r="J17" i="20"/>
  <c r="J18" i="20"/>
  <c r="J19" i="20"/>
  <c r="J20" i="20"/>
  <c r="J21" i="20"/>
  <c r="J22" i="20"/>
  <c r="H23" i="20"/>
  <c r="H25" i="20"/>
  <c r="G23" i="20"/>
  <c r="F23" i="20"/>
  <c r="E23" i="20"/>
  <c r="D23" i="20"/>
  <c r="C23" i="20"/>
  <c r="D20" i="21"/>
  <c r="N19" i="21"/>
  <c r="M19" i="21"/>
  <c r="D26" i="21"/>
  <c r="H57" i="21"/>
  <c r="D15" i="21"/>
  <c r="D16" i="21"/>
  <c r="D17" i="21"/>
  <c r="D18" i="21"/>
  <c r="D19" i="21"/>
  <c r="D21" i="21"/>
  <c r="D22" i="21"/>
  <c r="H38" i="21"/>
  <c r="D23" i="21"/>
  <c r="D24" i="21"/>
  <c r="D25" i="21"/>
  <c r="G57" i="21"/>
  <c r="D83" i="21"/>
  <c r="D91" i="21"/>
  <c r="F119" i="21"/>
  <c r="G119" i="21"/>
  <c r="I119" i="21"/>
  <c r="J119" i="21"/>
  <c r="H119" i="21"/>
  <c r="G112" i="21"/>
  <c r="E48" i="15"/>
  <c r="E49" i="15"/>
  <c r="E50" i="15"/>
  <c r="E51" i="15"/>
  <c r="E53" i="15"/>
  <c r="E47" i="15"/>
  <c r="B51" i="15"/>
  <c r="D51" i="15"/>
  <c r="B52" i="15"/>
  <c r="D52" i="15"/>
  <c r="D56" i="15"/>
  <c r="D57" i="15"/>
  <c r="B58" i="15"/>
  <c r="F34" i="15"/>
  <c r="F37" i="15"/>
  <c r="F39" i="15"/>
  <c r="F41" i="15"/>
  <c r="G41" i="15"/>
  <c r="G43" i="15"/>
  <c r="C32" i="15"/>
  <c r="F35" i="15"/>
  <c r="C9" i="15"/>
  <c r="C12" i="15"/>
  <c r="C16" i="15"/>
  <c r="C18" i="15"/>
  <c r="F36" i="15"/>
  <c r="C36" i="15"/>
  <c r="C39" i="15"/>
  <c r="F30" i="15"/>
  <c r="G30" i="15"/>
  <c r="F31" i="15"/>
  <c r="G31" i="15"/>
  <c r="G32" i="15"/>
  <c r="C22" i="15"/>
  <c r="C24" i="15"/>
  <c r="C5" i="15"/>
  <c r="E19" i="11"/>
  <c r="F19" i="11"/>
  <c r="E20" i="11"/>
  <c r="E21" i="11"/>
  <c r="E22" i="11"/>
  <c r="E23" i="11"/>
  <c r="F23" i="11"/>
  <c r="E24" i="11"/>
  <c r="E25" i="11"/>
  <c r="E26" i="11"/>
  <c r="E27" i="11"/>
  <c r="F28" i="11"/>
  <c r="E28" i="11"/>
  <c r="G68" i="11"/>
  <c r="E29" i="11"/>
  <c r="H68" i="11"/>
  <c r="E30" i="11"/>
  <c r="I68" i="11"/>
  <c r="D32" i="11"/>
  <c r="F38" i="11"/>
  <c r="F40" i="11"/>
  <c r="F45" i="11"/>
  <c r="G60" i="11"/>
  <c r="G69" i="11"/>
  <c r="J69" i="11"/>
  <c r="H69" i="11"/>
  <c r="I69" i="11"/>
  <c r="E28" i="9"/>
  <c r="G68" i="9"/>
  <c r="E29" i="9"/>
  <c r="E30" i="9"/>
  <c r="I68" i="9"/>
  <c r="G69" i="9"/>
  <c r="H69" i="9"/>
  <c r="I69" i="9"/>
  <c r="G69" i="6"/>
  <c r="H69" i="6"/>
  <c r="I69" i="6"/>
  <c r="E30" i="6"/>
  <c r="F37" i="6"/>
  <c r="F38" i="6"/>
  <c r="F40" i="6"/>
  <c r="G54" i="2"/>
  <c r="J54" i="2"/>
  <c r="H54" i="2"/>
  <c r="I54" i="2"/>
  <c r="E20" i="2"/>
  <c r="E22" i="2"/>
  <c r="D27" i="2"/>
  <c r="G32" i="2"/>
  <c r="D38" i="1"/>
  <c r="D39" i="1"/>
  <c r="D40" i="1"/>
  <c r="D42" i="1"/>
  <c r="D43" i="1"/>
  <c r="D44" i="1"/>
  <c r="D45" i="1"/>
  <c r="E38" i="1"/>
  <c r="E39" i="1"/>
  <c r="E40" i="1"/>
  <c r="E42" i="1"/>
  <c r="E43" i="1"/>
  <c r="E44" i="1"/>
  <c r="E45" i="1"/>
  <c r="F38" i="1"/>
  <c r="F39" i="1"/>
  <c r="F40" i="1"/>
  <c r="F42" i="1"/>
  <c r="F43" i="1"/>
  <c r="F44" i="1"/>
  <c r="F45" i="1"/>
  <c r="G50" i="1"/>
  <c r="G45" i="2"/>
  <c r="F45" i="6"/>
  <c r="G69" i="4"/>
  <c r="J69" i="4"/>
  <c r="H69" i="4"/>
  <c r="I69" i="4"/>
  <c r="E21" i="4"/>
  <c r="E25" i="4"/>
  <c r="F38" i="4"/>
  <c r="F40" i="4"/>
  <c r="F45" i="4"/>
  <c r="G60" i="4"/>
  <c r="G60" i="6"/>
  <c r="G144" i="2"/>
  <c r="G146" i="2"/>
  <c r="G147" i="2"/>
  <c r="J176" i="2"/>
  <c r="F150" i="2"/>
  <c r="I155" i="2"/>
  <c r="I168" i="2"/>
  <c r="I177" i="2"/>
  <c r="J177" i="2"/>
  <c r="L177" i="2"/>
  <c r="K177" i="2"/>
  <c r="E19" i="9"/>
  <c r="F19" i="9"/>
  <c r="E20" i="9"/>
  <c r="E21" i="9"/>
  <c r="E22" i="9"/>
  <c r="E23" i="9"/>
  <c r="F24" i="9"/>
  <c r="E24" i="9"/>
  <c r="E25" i="9"/>
  <c r="E26" i="9"/>
  <c r="F28" i="9"/>
  <c r="E27" i="9"/>
  <c r="D32" i="9"/>
  <c r="F38" i="9"/>
  <c r="F40" i="9"/>
  <c r="F45" i="9"/>
  <c r="G60" i="9"/>
  <c r="D22" i="1"/>
  <c r="E22" i="1"/>
  <c r="F22" i="1"/>
  <c r="D19" i="8"/>
  <c r="E19" i="8"/>
  <c r="F19" i="8"/>
  <c r="D31" i="8"/>
  <c r="D36" i="8"/>
  <c r="E31" i="8"/>
  <c r="F31" i="8"/>
  <c r="D32" i="8"/>
  <c r="E32" i="8"/>
  <c r="F32" i="8"/>
  <c r="D33" i="8"/>
  <c r="E33" i="8"/>
  <c r="F33" i="8"/>
  <c r="D34" i="8"/>
  <c r="E34" i="8"/>
  <c r="F34" i="8"/>
  <c r="G38" i="8"/>
  <c r="D32" i="4"/>
  <c r="K10" i="13"/>
  <c r="O105" i="13"/>
  <c r="O109" i="13"/>
  <c r="O111" i="13"/>
  <c r="O110" i="13"/>
  <c r="D34" i="13"/>
  <c r="O10" i="13"/>
  <c r="P95" i="13"/>
  <c r="M95" i="13"/>
  <c r="P88" i="13"/>
  <c r="J99" i="13"/>
  <c r="P96" i="13"/>
  <c r="G75" i="13"/>
  <c r="H75" i="13"/>
  <c r="I75" i="13"/>
  <c r="F40" i="13"/>
  <c r="F42" i="13"/>
  <c r="G45" i="13"/>
  <c r="F47" i="13"/>
  <c r="F48" i="13"/>
  <c r="F49" i="13"/>
  <c r="G66" i="13"/>
  <c r="H25" i="13"/>
  <c r="D32" i="6"/>
  <c r="E72" i="20"/>
  <c r="I50" i="16"/>
  <c r="C68" i="14"/>
  <c r="I54" i="14"/>
  <c r="F118" i="19"/>
  <c r="B53" i="15"/>
  <c r="K79" i="19"/>
  <c r="B91" i="19"/>
  <c r="B57" i="16"/>
  <c r="K44" i="3"/>
  <c r="E19" i="2"/>
  <c r="F21" i="2"/>
  <c r="E52" i="3"/>
  <c r="K40" i="3"/>
  <c r="J52" i="3"/>
  <c r="C110" i="19"/>
  <c r="F86" i="17"/>
  <c r="J22" i="12"/>
  <c r="J19" i="7"/>
  <c r="J15" i="7"/>
  <c r="I110" i="19"/>
  <c r="D52" i="19"/>
  <c r="K82" i="19"/>
  <c r="E117" i="19"/>
  <c r="F88" i="17"/>
  <c r="F87" i="17"/>
  <c r="D53" i="16"/>
  <c r="E52" i="16"/>
  <c r="H46" i="16"/>
  <c r="C65" i="14"/>
  <c r="J22" i="14"/>
  <c r="F63" i="14"/>
  <c r="J25" i="14"/>
  <c r="B49" i="20"/>
  <c r="B94" i="20"/>
  <c r="B110" i="20"/>
  <c r="H47" i="19"/>
  <c r="C48" i="19"/>
  <c r="F50" i="19"/>
  <c r="B111" i="19"/>
  <c r="E73" i="19"/>
  <c r="C46" i="16"/>
  <c r="C58" i="14"/>
  <c r="J13" i="12"/>
  <c r="J50" i="22"/>
  <c r="E19" i="23"/>
  <c r="F62" i="5"/>
  <c r="F77" i="22"/>
  <c r="K77" i="22"/>
  <c r="F112" i="22"/>
  <c r="E112" i="22"/>
  <c r="H141" i="29"/>
  <c r="F57" i="18"/>
  <c r="I57" i="18"/>
  <c r="J57" i="18"/>
  <c r="E46" i="19"/>
  <c r="I46" i="19"/>
  <c r="J17" i="16"/>
  <c r="J51" i="7"/>
  <c r="E21" i="6"/>
  <c r="J47" i="5"/>
  <c r="G49" i="5"/>
  <c r="G62" i="5"/>
  <c r="J12" i="5"/>
  <c r="K79" i="22"/>
  <c r="F114" i="22"/>
  <c r="G117" i="22"/>
  <c r="K82" i="22"/>
  <c r="J73" i="24"/>
  <c r="E108" i="24"/>
  <c r="B93" i="24"/>
  <c r="B109" i="24"/>
  <c r="J109" i="24"/>
  <c r="E81" i="25"/>
  <c r="B50" i="24"/>
  <c r="B95" i="24"/>
  <c r="B111" i="24"/>
  <c r="J16" i="12"/>
  <c r="J18" i="7"/>
  <c r="J14" i="7"/>
  <c r="K49" i="3"/>
  <c r="E24" i="2"/>
  <c r="F58" i="22"/>
  <c r="E80" i="19"/>
  <c r="C48" i="16"/>
  <c r="F110" i="22"/>
  <c r="K110" i="22"/>
  <c r="E82" i="23"/>
  <c r="E75" i="22"/>
  <c r="B55" i="19"/>
  <c r="J55" i="19"/>
  <c r="E24" i="18"/>
  <c r="B53" i="19"/>
  <c r="J53" i="19"/>
  <c r="E22" i="18"/>
  <c r="C84" i="19"/>
  <c r="F81" i="17"/>
  <c r="D91" i="17"/>
  <c r="J21" i="14"/>
  <c r="G62" i="7"/>
  <c r="C62" i="7"/>
  <c r="J17" i="7"/>
  <c r="J23" i="22"/>
  <c r="H25" i="22"/>
  <c r="J57" i="22"/>
  <c r="E26" i="23"/>
  <c r="F31" i="17"/>
  <c r="H38" i="17"/>
  <c r="G49" i="17"/>
  <c r="D62" i="7"/>
  <c r="J49" i="7"/>
  <c r="E19" i="6"/>
  <c r="J12" i="7"/>
  <c r="B59" i="14"/>
  <c r="J14" i="12"/>
  <c r="J59" i="7"/>
  <c r="E29" i="6"/>
  <c r="I68" i="6"/>
  <c r="J58" i="7"/>
  <c r="E28" i="6"/>
  <c r="H68" i="6"/>
  <c r="J20" i="7"/>
  <c r="J50" i="5"/>
  <c r="E20" i="4"/>
  <c r="D52" i="3"/>
  <c r="F109" i="24"/>
  <c r="E74" i="24"/>
  <c r="I140" i="29"/>
  <c r="J56" i="22"/>
  <c r="E25" i="23"/>
  <c r="J47" i="22"/>
  <c r="E16" i="23"/>
  <c r="J23" i="24"/>
  <c r="F153" i="29"/>
  <c r="B153" i="29"/>
  <c r="F111" i="22"/>
  <c r="E76" i="22"/>
  <c r="J46" i="24"/>
  <c r="B151" i="29"/>
  <c r="J131" i="29"/>
  <c r="D92" i="28"/>
  <c r="B150" i="29"/>
  <c r="B149" i="29"/>
  <c r="B147" i="29"/>
  <c r="B146" i="29"/>
  <c r="B145" i="29"/>
  <c r="J126" i="29"/>
  <c r="D87" i="28"/>
  <c r="B143" i="29"/>
  <c r="F141" i="29"/>
  <c r="B141" i="29"/>
  <c r="D83" i="28"/>
  <c r="G140" i="29"/>
  <c r="G136" i="29"/>
  <c r="H108" i="22"/>
  <c r="G58" i="24"/>
  <c r="G84" i="24"/>
  <c r="B56" i="24"/>
  <c r="J56" i="24"/>
  <c r="E25" i="25"/>
  <c r="I119" i="27"/>
  <c r="G153" i="29"/>
  <c r="C153" i="29"/>
  <c r="E72" i="22"/>
  <c r="E115" i="22"/>
  <c r="K80" i="22"/>
  <c r="E107" i="24"/>
  <c r="I119" i="26"/>
  <c r="G112" i="26"/>
  <c r="E140" i="29"/>
  <c r="J49" i="22"/>
  <c r="E18" i="23"/>
  <c r="D119" i="22"/>
  <c r="J53" i="24"/>
  <c r="E22" i="25"/>
  <c r="F84" i="24"/>
  <c r="J129" i="29"/>
  <c r="D90" i="28"/>
  <c r="H153" i="29"/>
  <c r="D153" i="29"/>
  <c r="H154" i="29"/>
  <c r="D154" i="29"/>
  <c r="D96" i="28"/>
  <c r="C30" i="28"/>
  <c r="J66" i="29"/>
  <c r="D29" i="28"/>
  <c r="B100" i="24"/>
  <c r="B116" i="24"/>
  <c r="J116" i="24"/>
  <c r="E88" i="25"/>
  <c r="E108" i="19"/>
  <c r="E15" i="2"/>
  <c r="G139" i="2"/>
  <c r="E15" i="25"/>
  <c r="K75" i="22"/>
  <c r="E110" i="22"/>
  <c r="E17" i="25"/>
  <c r="K73" i="19"/>
  <c r="K72" i="22"/>
  <c r="J74" i="24"/>
  <c r="E109" i="24"/>
  <c r="G143" i="2"/>
  <c r="F27" i="9"/>
  <c r="F27" i="11"/>
  <c r="F29" i="9"/>
  <c r="E17" i="2"/>
  <c r="G141" i="2"/>
  <c r="E118" i="22"/>
  <c r="K83" i="22"/>
  <c r="J110" i="27"/>
  <c r="E82" i="26"/>
  <c r="E109" i="22"/>
  <c r="K109" i="22"/>
  <c r="E81" i="23"/>
  <c r="K74" i="22"/>
  <c r="J76" i="24"/>
  <c r="E111" i="24"/>
  <c r="J111" i="27"/>
  <c r="E83" i="26"/>
  <c r="F28" i="6"/>
  <c r="F23" i="9"/>
  <c r="D53" i="15"/>
  <c r="F26" i="9"/>
  <c r="O112" i="13"/>
  <c r="Q112" i="13"/>
  <c r="Q113" i="13"/>
  <c r="Q115" i="13"/>
  <c r="D47" i="1"/>
  <c r="F32" i="15"/>
  <c r="D60" i="15"/>
  <c r="M96" i="13"/>
  <c r="P91" i="13"/>
  <c r="F21" i="9"/>
  <c r="F29" i="11"/>
  <c r="H101" i="21"/>
  <c r="F95" i="21"/>
  <c r="F57" i="21"/>
  <c r="I57" i="21"/>
  <c r="J57" i="21"/>
  <c r="G49" i="21"/>
  <c r="F24" i="2"/>
  <c r="E76" i="19"/>
  <c r="E111" i="19"/>
  <c r="B53" i="20"/>
  <c r="F116" i="20"/>
  <c r="D110" i="19"/>
  <c r="F109" i="19"/>
  <c r="F80" i="17"/>
  <c r="J14" i="16"/>
  <c r="C28" i="14"/>
  <c r="E25" i="7"/>
  <c r="J11" i="5"/>
  <c r="J10" i="5"/>
  <c r="K73" i="22"/>
  <c r="F109" i="22"/>
  <c r="F115" i="22"/>
  <c r="F117" i="22"/>
  <c r="F112" i="24"/>
  <c r="J112" i="24"/>
  <c r="E84" i="25"/>
  <c r="B98" i="24"/>
  <c r="B114" i="24"/>
  <c r="J114" i="24"/>
  <c r="E86" i="25"/>
  <c r="H101" i="26"/>
  <c r="J56" i="27"/>
  <c r="E25" i="26"/>
  <c r="E58" i="27"/>
  <c r="B148" i="29"/>
  <c r="J16" i="16"/>
  <c r="K50" i="3"/>
  <c r="G148" i="2"/>
  <c r="K176" i="2"/>
  <c r="J53" i="27"/>
  <c r="E22" i="26"/>
  <c r="J46" i="27"/>
  <c r="B58" i="27"/>
  <c r="C97" i="28"/>
  <c r="G147" i="29"/>
  <c r="J58" i="29"/>
  <c r="D21" i="28"/>
  <c r="F46" i="16"/>
  <c r="F23" i="16"/>
  <c r="B46" i="19"/>
  <c r="G112" i="19"/>
  <c r="F119" i="17"/>
  <c r="I119" i="17"/>
  <c r="J26" i="14"/>
  <c r="J53" i="5"/>
  <c r="E23" i="4"/>
  <c r="I119" i="22"/>
  <c r="H117" i="22"/>
  <c r="H119" i="22"/>
  <c r="H101" i="25"/>
  <c r="J52" i="27"/>
  <c r="E21" i="26"/>
  <c r="J49" i="27"/>
  <c r="E18" i="26"/>
  <c r="F146" i="29"/>
  <c r="C146" i="29"/>
  <c r="B144" i="29"/>
  <c r="I67" i="29"/>
  <c r="E67" i="29"/>
  <c r="F112" i="19"/>
  <c r="E77" i="19"/>
  <c r="E112" i="19"/>
  <c r="E116" i="22"/>
  <c r="K81" i="22"/>
  <c r="J18" i="14"/>
  <c r="J107" i="27"/>
  <c r="I153" i="29"/>
  <c r="I145" i="29"/>
  <c r="E145" i="29"/>
  <c r="G144" i="29"/>
  <c r="C142" i="29"/>
  <c r="E15" i="26"/>
  <c r="K76" i="19"/>
  <c r="G53" i="2"/>
  <c r="E79" i="26"/>
  <c r="I25" i="27"/>
  <c r="D25" i="20"/>
  <c r="F25" i="11"/>
  <c r="F30" i="11"/>
  <c r="E32" i="9"/>
  <c r="G52" i="9"/>
  <c r="F26" i="11"/>
  <c r="F20" i="9"/>
  <c r="F22" i="9"/>
  <c r="F25" i="9"/>
  <c r="F56" i="18"/>
  <c r="H25" i="24"/>
  <c r="I25" i="24"/>
  <c r="G25" i="24"/>
  <c r="B25" i="24"/>
  <c r="C25" i="24"/>
  <c r="C49" i="19"/>
  <c r="D23" i="16"/>
  <c r="D48" i="16"/>
  <c r="B65" i="14"/>
  <c r="G109" i="20"/>
  <c r="F46" i="19"/>
  <c r="B48" i="19"/>
  <c r="B23" i="19"/>
  <c r="I50" i="19"/>
  <c r="F95" i="17"/>
  <c r="H101" i="17"/>
  <c r="H107" i="17"/>
  <c r="G111" i="17"/>
  <c r="F84" i="17"/>
  <c r="F82" i="17"/>
  <c r="C23" i="16"/>
  <c r="C51" i="16"/>
  <c r="B68" i="14"/>
  <c r="J68" i="14"/>
  <c r="E33" i="13"/>
  <c r="I74" i="13"/>
  <c r="C55" i="14"/>
  <c r="E21" i="2"/>
  <c r="G145" i="2"/>
  <c r="I152" i="29"/>
  <c r="J132" i="29"/>
  <c r="D93" i="28"/>
  <c r="I147" i="29"/>
  <c r="J128" i="29"/>
  <c r="D89" i="28"/>
  <c r="E146" i="29"/>
  <c r="J127" i="29"/>
  <c r="D88" i="28"/>
  <c r="E136" i="29"/>
  <c r="C145" i="29"/>
  <c r="J145" i="29"/>
  <c r="C136" i="29"/>
  <c r="J125" i="29"/>
  <c r="D86" i="28"/>
  <c r="D143" i="29"/>
  <c r="H140" i="29"/>
  <c r="D140" i="29"/>
  <c r="D136" i="29"/>
  <c r="E23" i="21"/>
  <c r="F25" i="24"/>
  <c r="G19" i="25"/>
  <c r="H19" i="25"/>
  <c r="G28" i="14"/>
  <c r="J20" i="14"/>
  <c r="E16" i="17"/>
  <c r="F113" i="19"/>
  <c r="H111" i="20"/>
  <c r="J56" i="20"/>
  <c r="E25" i="21"/>
  <c r="G56" i="21"/>
  <c r="J53" i="16"/>
  <c r="E22" i="17"/>
  <c r="J115" i="27"/>
  <c r="E87" i="26"/>
  <c r="I136" i="29"/>
  <c r="C25" i="22"/>
  <c r="K72" i="20"/>
  <c r="E108" i="20"/>
  <c r="E75" i="20"/>
  <c r="K80" i="20"/>
  <c r="E116" i="20"/>
  <c r="K81" i="20"/>
  <c r="H46" i="19"/>
  <c r="J12" i="19"/>
  <c r="D47" i="19"/>
  <c r="B84" i="19"/>
  <c r="B107" i="19"/>
  <c r="H57" i="16"/>
  <c r="H23" i="16"/>
  <c r="E23" i="16"/>
  <c r="E51" i="16"/>
  <c r="E58" i="16"/>
  <c r="G46" i="16"/>
  <c r="F58" i="14"/>
  <c r="J17" i="14"/>
  <c r="E20" i="6"/>
  <c r="E25" i="24"/>
  <c r="C23" i="19"/>
  <c r="J16" i="14"/>
  <c r="D84" i="19"/>
  <c r="J68" i="11"/>
  <c r="J71" i="11"/>
  <c r="F22" i="11"/>
  <c r="B51" i="20"/>
  <c r="E48" i="19"/>
  <c r="K74" i="19"/>
  <c r="J55" i="16"/>
  <c r="E24" i="17"/>
  <c r="B99" i="19"/>
  <c r="B115" i="19"/>
  <c r="B54" i="19"/>
  <c r="E107" i="22"/>
  <c r="K107" i="22"/>
  <c r="E79" i="23"/>
  <c r="E84" i="22"/>
  <c r="F112" i="20"/>
  <c r="E77" i="20"/>
  <c r="E82" i="20"/>
  <c r="K82" i="20"/>
  <c r="F117" i="20"/>
  <c r="J111" i="19"/>
  <c r="J17" i="19"/>
  <c r="C52" i="19"/>
  <c r="D27" i="17"/>
  <c r="H57" i="17"/>
  <c r="I57" i="17"/>
  <c r="J57" i="17"/>
  <c r="F90" i="17"/>
  <c r="G112" i="17"/>
  <c r="B23" i="16"/>
  <c r="J22" i="16"/>
  <c r="I23" i="16"/>
  <c r="I48" i="16"/>
  <c r="I58" i="16"/>
  <c r="E25" i="27"/>
  <c r="K77" i="19"/>
  <c r="J18" i="16"/>
  <c r="E32" i="11"/>
  <c r="E25" i="22"/>
  <c r="D25" i="24"/>
  <c r="F22" i="4"/>
  <c r="K112" i="22"/>
  <c r="E84" i="23"/>
  <c r="H56" i="17"/>
  <c r="E47" i="1"/>
  <c r="F48" i="19"/>
  <c r="F83" i="17"/>
  <c r="J52" i="16"/>
  <c r="E21" i="17"/>
  <c r="K81" i="19"/>
  <c r="I119" i="24"/>
  <c r="D119" i="24"/>
  <c r="J118" i="27"/>
  <c r="E90" i="26"/>
  <c r="G143" i="29"/>
  <c r="E87" i="25"/>
  <c r="G119" i="27"/>
  <c r="I141" i="29"/>
  <c r="C52" i="3"/>
  <c r="E113" i="22"/>
  <c r="F108" i="24"/>
  <c r="E80" i="25"/>
  <c r="F107" i="24"/>
  <c r="B54" i="24"/>
  <c r="B102" i="24"/>
  <c r="B118" i="24"/>
  <c r="J118" i="24"/>
  <c r="E90" i="25"/>
  <c r="F78" i="22"/>
  <c r="C140" i="29"/>
  <c r="F21" i="6"/>
  <c r="J54" i="24"/>
  <c r="E23" i="25"/>
  <c r="G113" i="17"/>
  <c r="G115" i="17"/>
  <c r="I122" i="17"/>
  <c r="F56" i="17"/>
  <c r="K115" i="19"/>
  <c r="E87" i="18"/>
  <c r="F23" i="2"/>
  <c r="F22" i="2"/>
  <c r="E110" i="20"/>
  <c r="G36" i="8"/>
  <c r="G41" i="8"/>
  <c r="F25" i="4"/>
  <c r="F24" i="4"/>
  <c r="E15" i="21"/>
  <c r="H147" i="2"/>
  <c r="H146" i="2"/>
  <c r="F24" i="18"/>
  <c r="J62" i="29"/>
  <c r="D25" i="28"/>
  <c r="K110" i="20"/>
  <c r="E82" i="21"/>
  <c r="B136" i="29"/>
  <c r="J121" i="29"/>
  <c r="B140" i="29"/>
  <c r="F89" i="18"/>
  <c r="F25" i="21"/>
  <c r="J53" i="20"/>
  <c r="E22" i="21"/>
  <c r="F24" i="21"/>
  <c r="J57" i="20"/>
  <c r="E26" i="21"/>
  <c r="H56" i="21"/>
  <c r="B91" i="20"/>
  <c r="B107" i="20"/>
  <c r="G75" i="20"/>
  <c r="G110" i="20"/>
  <c r="H110" i="20"/>
  <c r="J106" i="13"/>
  <c r="J102" i="13"/>
  <c r="J49" i="20"/>
  <c r="E18" i="21"/>
  <c r="F20" i="21"/>
  <c r="C58" i="20"/>
  <c r="I124" i="31"/>
  <c r="B119" i="24"/>
  <c r="E117" i="20"/>
  <c r="K117" i="20"/>
  <c r="E89" i="21"/>
  <c r="G118" i="21"/>
  <c r="K76" i="20"/>
  <c r="J27" i="14"/>
  <c r="F30" i="6"/>
  <c r="I176" i="2"/>
  <c r="L176" i="2"/>
  <c r="L179" i="2"/>
  <c r="H148" i="2"/>
  <c r="G73" i="20"/>
  <c r="H84" i="20"/>
  <c r="H108" i="20"/>
  <c r="K115" i="22"/>
  <c r="E87" i="23"/>
  <c r="J109" i="27"/>
  <c r="E81" i="26"/>
  <c r="C119" i="27"/>
  <c r="H57" i="26"/>
  <c r="I57" i="26"/>
  <c r="G49" i="26"/>
  <c r="E119" i="27"/>
  <c r="J112" i="27"/>
  <c r="E84" i="26"/>
  <c r="F25" i="27"/>
  <c r="B25" i="27"/>
  <c r="D25" i="27"/>
  <c r="C25" i="27"/>
  <c r="G25" i="27"/>
  <c r="H25" i="27"/>
  <c r="G58" i="27"/>
  <c r="J57" i="27"/>
  <c r="E26" i="26"/>
  <c r="F31" i="18"/>
  <c r="H38" i="18"/>
  <c r="D27" i="18"/>
  <c r="G46" i="19"/>
  <c r="G58" i="19"/>
  <c r="G23" i="19"/>
  <c r="J11" i="19"/>
  <c r="J68" i="9"/>
  <c r="J71" i="9"/>
  <c r="J74" i="9"/>
  <c r="F46" i="11"/>
  <c r="G48" i="11"/>
  <c r="B58" i="20"/>
  <c r="D119" i="20"/>
  <c r="K112" i="19"/>
  <c r="E84" i="18"/>
  <c r="H58" i="16"/>
  <c r="J56" i="16"/>
  <c r="E25" i="17"/>
  <c r="F27" i="6"/>
  <c r="F26" i="6"/>
  <c r="F25" i="6"/>
  <c r="D58" i="22"/>
  <c r="J52" i="22"/>
  <c r="E21" i="23"/>
  <c r="J46" i="16"/>
  <c r="C58" i="16"/>
  <c r="K78" i="22"/>
  <c r="K84" i="22"/>
  <c r="F84" i="22"/>
  <c r="F113" i="22"/>
  <c r="H145" i="2"/>
  <c r="J153" i="29"/>
  <c r="F23" i="21"/>
  <c r="D54" i="14"/>
  <c r="D69" i="14"/>
  <c r="J13" i="14"/>
  <c r="D28" i="14"/>
  <c r="J20" i="12"/>
  <c r="D26" i="12"/>
  <c r="E26" i="12"/>
  <c r="J26" i="10"/>
  <c r="G68" i="6"/>
  <c r="J68" i="6"/>
  <c r="F29" i="6"/>
  <c r="J119" i="19"/>
  <c r="E75" i="19"/>
  <c r="F110" i="19"/>
  <c r="G23" i="16"/>
  <c r="G48" i="16"/>
  <c r="G58" i="16"/>
  <c r="J23" i="16"/>
  <c r="D119" i="27"/>
  <c r="J113" i="27"/>
  <c r="E85" i="26"/>
  <c r="F151" i="29"/>
  <c r="F136" i="29"/>
  <c r="J130" i="29"/>
  <c r="D91" i="28"/>
  <c r="C149" i="29"/>
  <c r="J149" i="29"/>
  <c r="J123" i="29"/>
  <c r="D84" i="28"/>
  <c r="B142" i="29"/>
  <c r="J142" i="29"/>
  <c r="G150" i="2"/>
  <c r="K77" i="20"/>
  <c r="E112" i="20"/>
  <c r="K112" i="20"/>
  <c r="E84" i="21"/>
  <c r="I107" i="19"/>
  <c r="I119" i="19"/>
  <c r="H136" i="29"/>
  <c r="J69" i="6"/>
  <c r="K79" i="20"/>
  <c r="E114" i="20"/>
  <c r="G107" i="19"/>
  <c r="G84" i="19"/>
  <c r="J13" i="7"/>
  <c r="J25" i="7"/>
  <c r="C25" i="7"/>
  <c r="K118" i="22"/>
  <c r="E90" i="23"/>
  <c r="K114" i="20"/>
  <c r="E86" i="21"/>
  <c r="B49" i="19"/>
  <c r="J49" i="19"/>
  <c r="E18" i="18"/>
  <c r="J14" i="19"/>
  <c r="B50" i="19"/>
  <c r="J50" i="19"/>
  <c r="E19" i="18"/>
  <c r="J15" i="19"/>
  <c r="K78" i="19"/>
  <c r="E113" i="19"/>
  <c r="E72" i="19"/>
  <c r="F84" i="19"/>
  <c r="F107" i="19"/>
  <c r="F119" i="19"/>
  <c r="F31" i="25"/>
  <c r="D27" i="25"/>
  <c r="I19" i="25"/>
  <c r="H38" i="25"/>
  <c r="B52" i="24"/>
  <c r="J52" i="24"/>
  <c r="E21" i="25"/>
  <c r="G52" i="11"/>
  <c r="F20" i="11"/>
  <c r="F21" i="11"/>
  <c r="F31" i="21"/>
  <c r="D27" i="21"/>
  <c r="H119" i="20"/>
  <c r="E49" i="19"/>
  <c r="E58" i="19"/>
  <c r="E23" i="19"/>
  <c r="K83" i="19"/>
  <c r="G118" i="19"/>
  <c r="F23" i="4"/>
  <c r="I58" i="5"/>
  <c r="J21" i="5"/>
  <c r="K21" i="3"/>
  <c r="D25" i="22"/>
  <c r="H58" i="22"/>
  <c r="E58" i="24"/>
  <c r="C119" i="24"/>
  <c r="J107" i="24"/>
  <c r="I25" i="20"/>
  <c r="G25" i="20"/>
  <c r="F25" i="20"/>
  <c r="E25" i="20"/>
  <c r="G58" i="20"/>
  <c r="F109" i="20"/>
  <c r="E74" i="20"/>
  <c r="H58" i="19"/>
  <c r="F49" i="19"/>
  <c r="F58" i="19"/>
  <c r="F23" i="19"/>
  <c r="J16" i="19"/>
  <c r="D51" i="19"/>
  <c r="J51" i="19"/>
  <c r="E20" i="18"/>
  <c r="F22" i="18"/>
  <c r="F60" i="14"/>
  <c r="F28" i="14"/>
  <c r="C69" i="14"/>
  <c r="J57" i="24"/>
  <c r="E26" i="25"/>
  <c r="C58" i="24"/>
  <c r="K75" i="20"/>
  <c r="J124" i="29"/>
  <c r="D85" i="28"/>
  <c r="D58" i="16"/>
  <c r="B25" i="20"/>
  <c r="J84" i="19"/>
  <c r="D25" i="16"/>
  <c r="C25" i="20"/>
  <c r="E111" i="22"/>
  <c r="K76" i="22"/>
  <c r="D27" i="23"/>
  <c r="B108" i="19"/>
  <c r="F54" i="16"/>
  <c r="F58" i="16"/>
  <c r="J19" i="16"/>
  <c r="J51" i="16"/>
  <c r="E20" i="17"/>
  <c r="F22" i="17"/>
  <c r="D50" i="16"/>
  <c r="J15" i="16"/>
  <c r="B64" i="14"/>
  <c r="J23" i="14"/>
  <c r="B28" i="14"/>
  <c r="B62" i="7"/>
  <c r="I25" i="22"/>
  <c r="B25" i="22"/>
  <c r="G25" i="22"/>
  <c r="F25" i="22"/>
  <c r="K115" i="20"/>
  <c r="E87" i="21"/>
  <c r="D91" i="25"/>
  <c r="H23" i="19"/>
  <c r="J133" i="29"/>
  <c r="D94" i="28"/>
  <c r="J19" i="14"/>
  <c r="J54" i="19"/>
  <c r="E23" i="18"/>
  <c r="F25" i="18"/>
  <c r="F69" i="14"/>
  <c r="F84" i="20"/>
  <c r="J116" i="27"/>
  <c r="E88" i="26"/>
  <c r="I23" i="19"/>
  <c r="J13" i="16"/>
  <c r="J146" i="29"/>
  <c r="E25" i="2"/>
  <c r="K54" i="3"/>
  <c r="F19" i="6"/>
  <c r="F20" i="6"/>
  <c r="J77" i="24"/>
  <c r="J50" i="24"/>
  <c r="E19" i="25"/>
  <c r="C58" i="19"/>
  <c r="H38" i="23"/>
  <c r="F119" i="20"/>
  <c r="K78" i="20"/>
  <c r="E113" i="20"/>
  <c r="K113" i="20"/>
  <c r="E85" i="21"/>
  <c r="F115" i="20"/>
  <c r="F118" i="20"/>
  <c r="E83" i="20"/>
  <c r="J13" i="19"/>
  <c r="K113" i="19"/>
  <c r="E85" i="18"/>
  <c r="F87" i="18"/>
  <c r="B57" i="19"/>
  <c r="J57" i="19"/>
  <c r="E26" i="18"/>
  <c r="H56" i="18"/>
  <c r="I56" i="18"/>
  <c r="B102" i="19"/>
  <c r="B118" i="19"/>
  <c r="K118" i="19"/>
  <c r="E90" i="18"/>
  <c r="H118" i="18"/>
  <c r="G65" i="14"/>
  <c r="G69" i="14"/>
  <c r="J24" i="14"/>
  <c r="I64" i="14"/>
  <c r="I69" i="14"/>
  <c r="I28" i="14"/>
  <c r="B69" i="14"/>
  <c r="K80" i="19"/>
  <c r="F30" i="9"/>
  <c r="H68" i="9"/>
  <c r="C119" i="20"/>
  <c r="B47" i="20"/>
  <c r="J47" i="20"/>
  <c r="E16" i="21"/>
  <c r="B92" i="20"/>
  <c r="B108" i="20"/>
  <c r="B47" i="19"/>
  <c r="J47" i="19"/>
  <c r="E16" i="18"/>
  <c r="H62" i="5"/>
  <c r="J108" i="27"/>
  <c r="E80" i="26"/>
  <c r="E91" i="26"/>
  <c r="H118" i="26"/>
  <c r="J26" i="29"/>
  <c r="E148" i="29"/>
  <c r="J60" i="29"/>
  <c r="D23" i="28"/>
  <c r="C107" i="19"/>
  <c r="J12" i="16"/>
  <c r="I26" i="12"/>
  <c r="J15" i="12"/>
  <c r="J26" i="12"/>
  <c r="H26" i="12"/>
  <c r="B62" i="5"/>
  <c r="J49" i="5"/>
  <c r="E19" i="4"/>
  <c r="G142" i="2"/>
  <c r="E18" i="2"/>
  <c r="C144" i="29"/>
  <c r="J144" i="29"/>
  <c r="J56" i="29"/>
  <c r="D19" i="28"/>
  <c r="J75" i="13"/>
  <c r="F47" i="1"/>
  <c r="G47" i="1"/>
  <c r="G54" i="1"/>
  <c r="F24" i="11"/>
  <c r="B55" i="20"/>
  <c r="J55" i="20"/>
  <c r="E24" i="21"/>
  <c r="B100" i="20"/>
  <c r="B116" i="20"/>
  <c r="K116" i="20"/>
  <c r="E88" i="21"/>
  <c r="C109" i="19"/>
  <c r="C111" i="19"/>
  <c r="K111" i="19"/>
  <c r="E83" i="18"/>
  <c r="D93" i="19"/>
  <c r="D109" i="19"/>
  <c r="D119" i="19"/>
  <c r="D48" i="19"/>
  <c r="J48" i="19"/>
  <c r="E17" i="18"/>
  <c r="F19" i="18"/>
  <c r="J15" i="14"/>
  <c r="K28" i="14"/>
  <c r="O6" i="13"/>
  <c r="O8" i="13"/>
  <c r="O12" i="13"/>
  <c r="O13" i="13"/>
  <c r="O14" i="13"/>
  <c r="J56" i="5"/>
  <c r="E26" i="4"/>
  <c r="F26" i="4"/>
  <c r="D62" i="5"/>
  <c r="E75" i="24"/>
  <c r="J117" i="24"/>
  <c r="E89" i="25"/>
  <c r="H38" i="26"/>
  <c r="J57" i="29"/>
  <c r="D20" i="28"/>
  <c r="B67" i="29"/>
  <c r="J55" i="29"/>
  <c r="D18" i="28"/>
  <c r="C141" i="29"/>
  <c r="J141" i="29"/>
  <c r="C67" i="29"/>
  <c r="F36" i="8"/>
  <c r="K116" i="19"/>
  <c r="E88" i="18"/>
  <c r="E36" i="8"/>
  <c r="J119" i="20"/>
  <c r="G109" i="19"/>
  <c r="B54" i="16"/>
  <c r="C26" i="12"/>
  <c r="I62" i="7"/>
  <c r="J21" i="7"/>
  <c r="C62" i="5"/>
  <c r="I25" i="5"/>
  <c r="D91" i="23"/>
  <c r="H101" i="23"/>
  <c r="E58" i="22"/>
  <c r="K114" i="22"/>
  <c r="E86" i="23"/>
  <c r="I58" i="27"/>
  <c r="D58" i="20"/>
  <c r="B48" i="20"/>
  <c r="J48" i="20"/>
  <c r="E17" i="21"/>
  <c r="F19" i="21"/>
  <c r="B93" i="20"/>
  <c r="B109" i="20"/>
  <c r="B52" i="19"/>
  <c r="J52" i="19"/>
  <c r="E21" i="18"/>
  <c r="F23" i="18"/>
  <c r="J50" i="16"/>
  <c r="E19" i="17"/>
  <c r="F21" i="17"/>
  <c r="E62" i="7"/>
  <c r="J22" i="7"/>
  <c r="G140" i="2"/>
  <c r="H142" i="2"/>
  <c r="E16" i="2"/>
  <c r="J51" i="22"/>
  <c r="E20" i="23"/>
  <c r="J48" i="22"/>
  <c r="C58" i="22"/>
  <c r="B119" i="27"/>
  <c r="E151" i="29"/>
  <c r="J52" i="7"/>
  <c r="I25" i="7"/>
  <c r="J19" i="5"/>
  <c r="J25" i="5"/>
  <c r="G119" i="24"/>
  <c r="H143" i="29"/>
  <c r="H155" i="29"/>
  <c r="F52" i="28"/>
  <c r="H52" i="28"/>
  <c r="J69" i="9"/>
  <c r="G48" i="19"/>
  <c r="E28" i="14"/>
  <c r="G25" i="7"/>
  <c r="G25" i="5"/>
  <c r="J84" i="27"/>
  <c r="E86" i="27"/>
  <c r="G67" i="29"/>
  <c r="F26" i="12"/>
  <c r="J53" i="29"/>
  <c r="J49" i="16"/>
  <c r="E18" i="17"/>
  <c r="F20" i="17"/>
  <c r="B58" i="22"/>
  <c r="I58" i="24"/>
  <c r="F111" i="24"/>
  <c r="J111" i="24"/>
  <c r="E83" i="25"/>
  <c r="E147" i="29"/>
  <c r="F118" i="28"/>
  <c r="H118" i="28"/>
  <c r="J20" i="5"/>
  <c r="F116" i="22"/>
  <c r="K116" i="22"/>
  <c r="E88" i="23"/>
  <c r="B49" i="24"/>
  <c r="G111" i="24"/>
  <c r="J50" i="27"/>
  <c r="E19" i="26"/>
  <c r="E142" i="29"/>
  <c r="F67" i="29"/>
  <c r="H28" i="14"/>
  <c r="J60" i="5"/>
  <c r="E30" i="4"/>
  <c r="I68" i="4"/>
  <c r="K51" i="3"/>
  <c r="E26" i="2"/>
  <c r="I53" i="2"/>
  <c r="B119" i="22"/>
  <c r="J51" i="24"/>
  <c r="E20" i="25"/>
  <c r="J47" i="24"/>
  <c r="D58" i="27"/>
  <c r="J59" i="29"/>
  <c r="D22" i="28"/>
  <c r="C147" i="29"/>
  <c r="J147" i="29"/>
  <c r="E141" i="29"/>
  <c r="J96" i="29"/>
  <c r="D152" i="29"/>
  <c r="J152" i="29"/>
  <c r="I144" i="29"/>
  <c r="I155" i="29"/>
  <c r="D67" i="29"/>
  <c r="E153" i="29"/>
  <c r="I151" i="29"/>
  <c r="F144" i="29"/>
  <c r="J61" i="29"/>
  <c r="D24" i="28"/>
  <c r="C148" i="29"/>
  <c r="G142" i="29"/>
  <c r="G155" i="29"/>
  <c r="G120" i="30"/>
  <c r="J47" i="27"/>
  <c r="J134" i="29"/>
  <c r="D95" i="28"/>
  <c r="H150" i="29"/>
  <c r="J150" i="29"/>
  <c r="I148" i="29"/>
  <c r="I154" i="29"/>
  <c r="J154" i="29"/>
  <c r="G41" i="28"/>
  <c r="F140" i="29"/>
  <c r="F155" i="29"/>
  <c r="I59" i="18"/>
  <c r="J56" i="18"/>
  <c r="J59" i="18"/>
  <c r="F41" i="4"/>
  <c r="G43" i="4"/>
  <c r="I157" i="2"/>
  <c r="I159" i="2"/>
  <c r="I163" i="2"/>
  <c r="I167" i="2"/>
  <c r="I169" i="2"/>
  <c r="I171" i="2"/>
  <c r="L180" i="2"/>
  <c r="L182" i="2"/>
  <c r="G34" i="2"/>
  <c r="G36" i="2"/>
  <c r="H121" i="26"/>
  <c r="I118" i="26"/>
  <c r="I121" i="26"/>
  <c r="G86" i="22"/>
  <c r="B86" i="22"/>
  <c r="D86" i="22"/>
  <c r="H86" i="22"/>
  <c r="J86" i="22"/>
  <c r="C86" i="22"/>
  <c r="I86" i="22"/>
  <c r="E86" i="22"/>
  <c r="J54" i="16"/>
  <c r="E23" i="17"/>
  <c r="B58" i="16"/>
  <c r="F119" i="24"/>
  <c r="K108" i="19"/>
  <c r="E80" i="18"/>
  <c r="B119" i="19"/>
  <c r="F20" i="18"/>
  <c r="H57" i="23"/>
  <c r="I57" i="23"/>
  <c r="G49" i="23"/>
  <c r="F18" i="2"/>
  <c r="F17" i="2"/>
  <c r="E27" i="2"/>
  <c r="G124" i="28"/>
  <c r="G127" i="28"/>
  <c r="J48" i="16"/>
  <c r="E17" i="17"/>
  <c r="J148" i="29"/>
  <c r="E22" i="6"/>
  <c r="J64" i="7"/>
  <c r="F90" i="18"/>
  <c r="F118" i="18"/>
  <c r="I118" i="18"/>
  <c r="K109" i="19"/>
  <c r="E81" i="18"/>
  <c r="F19" i="2"/>
  <c r="F20" i="2"/>
  <c r="C119" i="19"/>
  <c r="K107" i="19"/>
  <c r="F18" i="21"/>
  <c r="E109" i="20"/>
  <c r="E84" i="20"/>
  <c r="K74" i="20"/>
  <c r="I62" i="5"/>
  <c r="J58" i="5"/>
  <c r="E28" i="4"/>
  <c r="F28" i="4"/>
  <c r="J28" i="14"/>
  <c r="K6" i="13"/>
  <c r="K8" i="13"/>
  <c r="F27" i="4"/>
  <c r="F26" i="18"/>
  <c r="B25" i="16"/>
  <c r="C25" i="16"/>
  <c r="E25" i="16"/>
  <c r="F86" i="22"/>
  <c r="F25" i="2"/>
  <c r="F26" i="2"/>
  <c r="H53" i="2"/>
  <c r="J53" i="2"/>
  <c r="J56" i="2"/>
  <c r="E16" i="25"/>
  <c r="K109" i="20"/>
  <c r="E81" i="21"/>
  <c r="F83" i="21"/>
  <c r="D58" i="19"/>
  <c r="J64" i="14"/>
  <c r="E29" i="13"/>
  <c r="G119" i="19"/>
  <c r="I161" i="2"/>
  <c r="G103" i="26"/>
  <c r="K72" i="19"/>
  <c r="K84" i="19"/>
  <c r="E84" i="19"/>
  <c r="E86" i="19"/>
  <c r="E107" i="19"/>
  <c r="G40" i="21"/>
  <c r="F15" i="21"/>
  <c r="F16" i="21"/>
  <c r="F17" i="21"/>
  <c r="E27" i="21"/>
  <c r="K108" i="20"/>
  <c r="E80" i="21"/>
  <c r="F82" i="21"/>
  <c r="F25" i="16"/>
  <c r="E155" i="29"/>
  <c r="D16" i="28"/>
  <c r="D30" i="28"/>
  <c r="F43" i="28"/>
  <c r="G45" i="28"/>
  <c r="G47" i="28"/>
  <c r="F51" i="28"/>
  <c r="J67" i="29"/>
  <c r="J151" i="29"/>
  <c r="J75" i="24"/>
  <c r="J84" i="24"/>
  <c r="E110" i="24"/>
  <c r="E84" i="24"/>
  <c r="E86" i="24"/>
  <c r="F118" i="21"/>
  <c r="H143" i="2"/>
  <c r="H144" i="2"/>
  <c r="F87" i="21"/>
  <c r="E79" i="25"/>
  <c r="H25" i="16"/>
  <c r="G84" i="20"/>
  <c r="K73" i="20"/>
  <c r="G108" i="20"/>
  <c r="G119" i="20"/>
  <c r="D155" i="29"/>
  <c r="F88" i="18"/>
  <c r="K26" i="29"/>
  <c r="D28" i="29"/>
  <c r="C28" i="29"/>
  <c r="B28" i="29"/>
  <c r="F28" i="29"/>
  <c r="I28" i="29"/>
  <c r="E28" i="29"/>
  <c r="G28" i="29"/>
  <c r="H28" i="29"/>
  <c r="F86" i="21"/>
  <c r="F85" i="21"/>
  <c r="I25" i="16"/>
  <c r="D82" i="28"/>
  <c r="J136" i="29"/>
  <c r="H86" i="27"/>
  <c r="G86" i="27"/>
  <c r="J86" i="27"/>
  <c r="B86" i="27"/>
  <c r="F86" i="27"/>
  <c r="C86" i="27"/>
  <c r="D86" i="27"/>
  <c r="I86" i="27"/>
  <c r="E17" i="23"/>
  <c r="E27" i="23"/>
  <c r="J58" i="22"/>
  <c r="G59" i="28"/>
  <c r="G62" i="28"/>
  <c r="G112" i="25"/>
  <c r="F95" i="25"/>
  <c r="H119" i="25"/>
  <c r="I119" i="25"/>
  <c r="G86" i="19"/>
  <c r="F86" i="18"/>
  <c r="C155" i="29"/>
  <c r="H119" i="23"/>
  <c r="I119" i="23"/>
  <c r="G112" i="23"/>
  <c r="F95" i="23"/>
  <c r="F89" i="21"/>
  <c r="E25" i="19"/>
  <c r="G25" i="16"/>
  <c r="F84" i="21"/>
  <c r="J58" i="20"/>
  <c r="C98" i="29"/>
  <c r="H98" i="29"/>
  <c r="F98" i="29"/>
  <c r="J98" i="29"/>
  <c r="B98" i="29"/>
  <c r="G98" i="29"/>
  <c r="E98" i="29"/>
  <c r="I98" i="29"/>
  <c r="D98" i="29"/>
  <c r="F18" i="18"/>
  <c r="K83" i="20"/>
  <c r="E118" i="20"/>
  <c r="K118" i="20"/>
  <c r="E90" i="21"/>
  <c r="H118" i="21"/>
  <c r="F88" i="21"/>
  <c r="B58" i="19"/>
  <c r="J119" i="27"/>
  <c r="E64" i="14"/>
  <c r="E57" i="14"/>
  <c r="J57" i="14"/>
  <c r="E22" i="13"/>
  <c r="F24" i="13"/>
  <c r="E56" i="14"/>
  <c r="J56" i="14"/>
  <c r="E21" i="13"/>
  <c r="F23" i="13"/>
  <c r="E55" i="14"/>
  <c r="J55" i="14"/>
  <c r="E20" i="13"/>
  <c r="E62" i="14"/>
  <c r="J62" i="14"/>
  <c r="E27" i="13"/>
  <c r="E66" i="14"/>
  <c r="J66" i="14"/>
  <c r="E31" i="13"/>
  <c r="E59" i="14"/>
  <c r="J59" i="14"/>
  <c r="E24" i="13"/>
  <c r="E63" i="14"/>
  <c r="J63" i="14"/>
  <c r="E28" i="13"/>
  <c r="E60" i="14"/>
  <c r="J60" i="14"/>
  <c r="E25" i="13"/>
  <c r="F27" i="13"/>
  <c r="E54" i="14"/>
  <c r="J54" i="14"/>
  <c r="E65" i="14"/>
  <c r="J65" i="14"/>
  <c r="E30" i="13"/>
  <c r="F32" i="13"/>
  <c r="E58" i="14"/>
  <c r="J58" i="14"/>
  <c r="E23" i="13"/>
  <c r="E61" i="14"/>
  <c r="J61" i="14"/>
  <c r="E26" i="13"/>
  <c r="F85" i="18"/>
  <c r="K111" i="22"/>
  <c r="E119" i="22"/>
  <c r="J46" i="19"/>
  <c r="E110" i="19"/>
  <c r="K110" i="19"/>
  <c r="E82" i="18"/>
  <c r="F84" i="18"/>
  <c r="K75" i="19"/>
  <c r="H141" i="2"/>
  <c r="E16" i="26"/>
  <c r="E27" i="26"/>
  <c r="J58" i="27"/>
  <c r="J49" i="24"/>
  <c r="E18" i="25"/>
  <c r="B58" i="24"/>
  <c r="F26" i="21"/>
  <c r="F56" i="21"/>
  <c r="I56" i="21"/>
  <c r="F21" i="4"/>
  <c r="F19" i="4"/>
  <c r="F20" i="4"/>
  <c r="J143" i="29"/>
  <c r="I17" i="25"/>
  <c r="I21" i="25"/>
  <c r="H57" i="25"/>
  <c r="I57" i="25"/>
  <c r="G49" i="25"/>
  <c r="F21" i="18"/>
  <c r="J71" i="6"/>
  <c r="F22" i="21"/>
  <c r="F119" i="22"/>
  <c r="K113" i="22"/>
  <c r="E85" i="23"/>
  <c r="E15" i="17"/>
  <c r="G56" i="17"/>
  <c r="I56" i="17"/>
  <c r="F26" i="17"/>
  <c r="J23" i="19"/>
  <c r="G25" i="19"/>
  <c r="K107" i="20"/>
  <c r="B119" i="20"/>
  <c r="B155" i="29"/>
  <c r="J140" i="29"/>
  <c r="I118" i="21"/>
  <c r="F31" i="13"/>
  <c r="F25" i="17"/>
  <c r="F23" i="17"/>
  <c r="F24" i="17"/>
  <c r="E79" i="21"/>
  <c r="K119" i="20"/>
  <c r="J71" i="14"/>
  <c r="E19" i="13"/>
  <c r="C86" i="19"/>
  <c r="B86" i="19"/>
  <c r="H86" i="19"/>
  <c r="D86" i="19"/>
  <c r="I86" i="19"/>
  <c r="G40" i="2"/>
  <c r="G44" i="2"/>
  <c r="G46" i="2"/>
  <c r="G48" i="2"/>
  <c r="J57" i="2"/>
  <c r="G38" i="2"/>
  <c r="E32" i="4"/>
  <c r="G52" i="4"/>
  <c r="D97" i="28"/>
  <c r="F109" i="28"/>
  <c r="G111" i="28"/>
  <c r="G113" i="28"/>
  <c r="F117" i="28"/>
  <c r="B86" i="24"/>
  <c r="H86" i="24"/>
  <c r="J86" i="24"/>
  <c r="C86" i="24"/>
  <c r="G86" i="24"/>
  <c r="I86" i="24"/>
  <c r="D86" i="24"/>
  <c r="F86" i="24"/>
  <c r="E86" i="20"/>
  <c r="J58" i="24"/>
  <c r="J58" i="16"/>
  <c r="H56" i="26"/>
  <c r="G40" i="26"/>
  <c r="F25" i="19"/>
  <c r="C25" i="19"/>
  <c r="D25" i="19"/>
  <c r="B25" i="19"/>
  <c r="G104" i="26"/>
  <c r="H105" i="26"/>
  <c r="H107" i="26"/>
  <c r="G111" i="26"/>
  <c r="G113" i="26"/>
  <c r="J64" i="5"/>
  <c r="J86" i="19"/>
  <c r="F19" i="17"/>
  <c r="F18" i="17"/>
  <c r="E83" i="23"/>
  <c r="K119" i="22"/>
  <c r="F30" i="4"/>
  <c r="F29" i="4"/>
  <c r="G68" i="4"/>
  <c r="J68" i="4"/>
  <c r="J71" i="4"/>
  <c r="E15" i="18"/>
  <c r="J58" i="19"/>
  <c r="H56" i="23"/>
  <c r="G40" i="23"/>
  <c r="J110" i="24"/>
  <c r="E119" i="24"/>
  <c r="F83" i="18"/>
  <c r="F30" i="13"/>
  <c r="H25" i="19"/>
  <c r="E27" i="25"/>
  <c r="I121" i="18"/>
  <c r="J118" i="18"/>
  <c r="J121" i="18"/>
  <c r="F82" i="18"/>
  <c r="J56" i="17"/>
  <c r="J59" i="17"/>
  <c r="I59" i="17"/>
  <c r="F26" i="13"/>
  <c r="E119" i="20"/>
  <c r="F33" i="13"/>
  <c r="G74" i="13"/>
  <c r="J74" i="13"/>
  <c r="J77" i="13"/>
  <c r="J13" i="13"/>
  <c r="J14" i="13"/>
  <c r="K12" i="13"/>
  <c r="K13" i="13"/>
  <c r="K14" i="13"/>
  <c r="K77" i="13"/>
  <c r="I25" i="19"/>
  <c r="J155" i="29"/>
  <c r="F17" i="17"/>
  <c r="G40" i="17"/>
  <c r="E27" i="17"/>
  <c r="F16" i="17"/>
  <c r="F15" i="17"/>
  <c r="F28" i="13"/>
  <c r="F29" i="13"/>
  <c r="K84" i="20"/>
  <c r="F53" i="28"/>
  <c r="H51" i="28"/>
  <c r="H53" i="28"/>
  <c r="G41" i="21"/>
  <c r="H42" i="21"/>
  <c r="H44" i="21"/>
  <c r="G48" i="21"/>
  <c r="G50" i="21"/>
  <c r="G52" i="21"/>
  <c r="I60" i="21"/>
  <c r="J60" i="21"/>
  <c r="J59" i="2"/>
  <c r="K119" i="19"/>
  <c r="E79" i="18"/>
  <c r="F23" i="6"/>
  <c r="F24" i="6"/>
  <c r="F22" i="6"/>
  <c r="E32" i="6"/>
  <c r="G52" i="6"/>
  <c r="J56" i="21"/>
  <c r="J59" i="21"/>
  <c r="I59" i="21"/>
  <c r="F25" i="13"/>
  <c r="F22" i="13"/>
  <c r="F86" i="19"/>
  <c r="G86" i="20"/>
  <c r="F90" i="21"/>
  <c r="E119" i="19"/>
  <c r="K86" i="22"/>
  <c r="I122" i="26"/>
  <c r="I123" i="26"/>
  <c r="H122" i="26"/>
  <c r="H123" i="26"/>
  <c r="G41" i="23"/>
  <c r="H42" i="23"/>
  <c r="H44" i="23"/>
  <c r="G48" i="23"/>
  <c r="G50" i="23"/>
  <c r="F79" i="21"/>
  <c r="F80" i="21"/>
  <c r="F81" i="21"/>
  <c r="E91" i="21"/>
  <c r="G103" i="21"/>
  <c r="E82" i="25"/>
  <c r="J119" i="24"/>
  <c r="G54" i="4"/>
  <c r="G59" i="4"/>
  <c r="G61" i="4"/>
  <c r="G63" i="4"/>
  <c r="J72" i="4"/>
  <c r="J74" i="4"/>
  <c r="G41" i="17"/>
  <c r="H42" i="17"/>
  <c r="H44" i="17"/>
  <c r="G48" i="17"/>
  <c r="G50" i="17"/>
  <c r="G52" i="17"/>
  <c r="I60" i="17"/>
  <c r="J60" i="17"/>
  <c r="J61" i="17"/>
  <c r="H59" i="26"/>
  <c r="I56" i="26"/>
  <c r="I59" i="26"/>
  <c r="I61" i="21"/>
  <c r="E91" i="23"/>
  <c r="H118" i="23"/>
  <c r="G103" i="23"/>
  <c r="J61" i="21"/>
  <c r="K86" i="19"/>
  <c r="G41" i="26"/>
  <c r="H42" i="26"/>
  <c r="H44" i="26"/>
  <c r="G48" i="26"/>
  <c r="G50" i="26"/>
  <c r="G63" i="28"/>
  <c r="G64" i="28"/>
  <c r="H54" i="28"/>
  <c r="E36" i="30"/>
  <c r="F41" i="6"/>
  <c r="G43" i="6"/>
  <c r="F46" i="4"/>
  <c r="G48" i="4"/>
  <c r="G50" i="4"/>
  <c r="I56" i="23"/>
  <c r="I59" i="23"/>
  <c r="H59" i="23"/>
  <c r="H117" i="28"/>
  <c r="H119" i="28"/>
  <c r="F119" i="28"/>
  <c r="F17" i="18"/>
  <c r="G40" i="18"/>
  <c r="E27" i="18"/>
  <c r="F16" i="18"/>
  <c r="F15" i="18"/>
  <c r="F80" i="18"/>
  <c r="F81" i="18"/>
  <c r="G103" i="18"/>
  <c r="E91" i="18"/>
  <c r="F79" i="18"/>
  <c r="D86" i="20"/>
  <c r="B86" i="20"/>
  <c r="J86" i="20"/>
  <c r="C86" i="20"/>
  <c r="I86" i="20"/>
  <c r="F86" i="20"/>
  <c r="H86" i="20"/>
  <c r="G40" i="25"/>
  <c r="H56" i="25"/>
  <c r="G58" i="13"/>
  <c r="F19" i="13"/>
  <c r="F20" i="13"/>
  <c r="E34" i="13"/>
  <c r="F21" i="13"/>
  <c r="I121" i="21"/>
  <c r="J118" i="21"/>
  <c r="J121" i="21"/>
  <c r="F41" i="9"/>
  <c r="G43" i="9"/>
  <c r="F46" i="6"/>
  <c r="G48" i="6"/>
  <c r="H59" i="25"/>
  <c r="I56" i="25"/>
  <c r="I59" i="25"/>
  <c r="K86" i="20"/>
  <c r="G41" i="25"/>
  <c r="H42" i="25"/>
  <c r="H44" i="25"/>
  <c r="G48" i="25"/>
  <c r="G50" i="25"/>
  <c r="G104" i="23"/>
  <c r="H105" i="23"/>
  <c r="H107" i="23"/>
  <c r="G111" i="23"/>
  <c r="G113" i="23"/>
  <c r="I61" i="17"/>
  <c r="H60" i="26"/>
  <c r="I60" i="26"/>
  <c r="I61" i="26"/>
  <c r="I60" i="23"/>
  <c r="I61" i="23"/>
  <c r="H60" i="23"/>
  <c r="G41" i="18"/>
  <c r="H42" i="18"/>
  <c r="H44" i="18"/>
  <c r="G48" i="18"/>
  <c r="G50" i="18"/>
  <c r="G52" i="18"/>
  <c r="I60" i="18"/>
  <c r="G50" i="6"/>
  <c r="G54" i="6"/>
  <c r="G59" i="6"/>
  <c r="G61" i="6"/>
  <c r="G63" i="6"/>
  <c r="J72" i="6"/>
  <c r="J74" i="6"/>
  <c r="H61" i="26"/>
  <c r="G104" i="21"/>
  <c r="H105" i="21"/>
  <c r="H107" i="21"/>
  <c r="G111" i="21"/>
  <c r="G113" i="21"/>
  <c r="G115" i="21"/>
  <c r="I122" i="21"/>
  <c r="J122" i="21"/>
  <c r="J123" i="21"/>
  <c r="H120" i="28"/>
  <c r="E100" i="30"/>
  <c r="G128" i="28"/>
  <c r="G129" i="28"/>
  <c r="H61" i="23"/>
  <c r="I118" i="23"/>
  <c r="I121" i="23"/>
  <c r="H121" i="23"/>
  <c r="G103" i="25"/>
  <c r="E91" i="25"/>
  <c r="H118" i="25"/>
  <c r="G104" i="18"/>
  <c r="H105" i="18"/>
  <c r="H107" i="18"/>
  <c r="G111" i="18"/>
  <c r="G113" i="18"/>
  <c r="G115" i="18"/>
  <c r="I122" i="18"/>
  <c r="J122" i="18"/>
  <c r="J123" i="18"/>
  <c r="I123" i="18"/>
  <c r="J60" i="18"/>
  <c r="J61" i="18"/>
  <c r="I61" i="18"/>
  <c r="H123" i="23"/>
  <c r="I60" i="25"/>
  <c r="H60" i="25"/>
  <c r="I123" i="23"/>
  <c r="I123" i="21"/>
  <c r="F46" i="9"/>
  <c r="G48" i="9"/>
  <c r="G50" i="9"/>
  <c r="G54" i="9"/>
  <c r="G59" i="9"/>
  <c r="G61" i="9"/>
  <c r="G63" i="9"/>
  <c r="F41" i="11"/>
  <c r="G43" i="11"/>
  <c r="G50" i="11"/>
  <c r="G54" i="11"/>
  <c r="G59" i="11"/>
  <c r="G61" i="11"/>
  <c r="G63" i="11"/>
  <c r="J72" i="11"/>
  <c r="J74" i="11"/>
  <c r="F51" i="13"/>
  <c r="G54" i="13"/>
  <c r="G56" i="13"/>
  <c r="G60" i="13"/>
  <c r="G65" i="13"/>
  <c r="G67" i="13"/>
  <c r="G69" i="13"/>
  <c r="K76" i="13"/>
  <c r="K78" i="13"/>
  <c r="J78" i="13"/>
  <c r="I122" i="23"/>
  <c r="H122" i="23"/>
  <c r="I61" i="25"/>
  <c r="H61" i="25"/>
  <c r="H121" i="25"/>
  <c r="I118" i="25"/>
  <c r="I121" i="25"/>
  <c r="G104" i="25"/>
  <c r="H105" i="25"/>
  <c r="H107" i="25"/>
  <c r="G111" i="25"/>
  <c r="G113" i="25"/>
  <c r="G102" i="30"/>
  <c r="I123" i="25"/>
  <c r="P97" i="13"/>
  <c r="P98" i="13"/>
  <c r="J107" i="13"/>
  <c r="J108" i="13"/>
  <c r="M97" i="13"/>
  <c r="M98" i="13"/>
  <c r="J103" i="13"/>
  <c r="J104" i="13"/>
  <c r="J81" i="13"/>
  <c r="H122" i="25"/>
  <c r="H123" i="25"/>
  <c r="I122" i="25"/>
  <c r="G124" i="31"/>
  <c r="F131" i="31"/>
  <c r="E131" i="31"/>
  <c r="G38" i="30"/>
  <c r="F49" i="30"/>
  <c r="G57" i="30"/>
  <c r="C27" i="30"/>
  <c r="H123" i="31"/>
  <c r="I123" i="31"/>
  <c r="D123" i="31"/>
  <c r="E124" i="31"/>
  <c r="E125" i="31"/>
  <c r="D128" i="31"/>
  <c r="D129" i="31"/>
  <c r="B122" i="31"/>
  <c r="D124" i="31"/>
  <c r="C128" i="31"/>
  <c r="C129" i="31"/>
  <c r="C124" i="31"/>
  <c r="G127" i="31"/>
  <c r="G123" i="31"/>
  <c r="J123" i="31"/>
  <c r="C127" i="31"/>
  <c r="B125" i="31"/>
  <c r="B124" i="31"/>
  <c r="F126" i="31"/>
  <c r="D127" i="31"/>
  <c r="F128" i="31"/>
  <c r="E126" i="31"/>
  <c r="E127" i="31"/>
  <c r="C126" i="31"/>
  <c r="G122" i="31"/>
  <c r="J122" i="31"/>
  <c r="F129" i="31"/>
  <c r="B123" i="31"/>
  <c r="F118" i="31"/>
  <c r="F122" i="31"/>
  <c r="J49" i="31"/>
  <c r="D18" i="30"/>
  <c r="J110" i="31"/>
  <c r="D83" i="30"/>
  <c r="I127" i="31"/>
  <c r="E122" i="31"/>
  <c r="B127" i="31"/>
  <c r="B128" i="31"/>
  <c r="H124" i="31"/>
  <c r="B129" i="31"/>
  <c r="E123" i="31"/>
  <c r="F125" i="31"/>
  <c r="E128" i="31"/>
  <c r="E130" i="31"/>
  <c r="J53" i="31"/>
  <c r="D22" i="30"/>
  <c r="G126" i="31"/>
  <c r="J46" i="31"/>
  <c r="C131" i="31"/>
  <c r="C94" i="31"/>
  <c r="C109" i="31"/>
  <c r="J50" i="31"/>
  <c r="D19" i="30"/>
  <c r="J108" i="31"/>
  <c r="D81" i="30"/>
  <c r="J47" i="31"/>
  <c r="D16" i="30"/>
  <c r="J48" i="31"/>
  <c r="D17" i="30"/>
  <c r="C125" i="31"/>
  <c r="D15" i="30"/>
  <c r="E118" i="31"/>
  <c r="F133" i="31"/>
  <c r="I132" i="31"/>
  <c r="E132" i="31"/>
  <c r="F58" i="31"/>
  <c r="E58" i="31"/>
  <c r="F132" i="31"/>
  <c r="F134" i="31"/>
  <c r="D132" i="31"/>
  <c r="D134" i="31"/>
  <c r="C132" i="31"/>
  <c r="I122" i="31"/>
  <c r="H132" i="31"/>
  <c r="J132" i="31"/>
  <c r="J107" i="31"/>
  <c r="D80" i="30"/>
  <c r="G129" i="31"/>
  <c r="G132" i="31"/>
  <c r="H125" i="31"/>
  <c r="G128" i="31"/>
  <c r="I125" i="31"/>
  <c r="J125" i="31"/>
  <c r="G118" i="31"/>
  <c r="J124" i="31"/>
  <c r="I131" i="31"/>
  <c r="J114" i="31"/>
  <c r="D87" i="30"/>
  <c r="I118" i="31"/>
  <c r="I134" i="31"/>
  <c r="J84" i="31"/>
  <c r="D86" i="31"/>
  <c r="C86" i="31"/>
  <c r="J86" i="31"/>
  <c r="J112" i="31"/>
  <c r="D85" i="30"/>
  <c r="J129" i="31"/>
  <c r="H130" i="31"/>
  <c r="J130" i="31"/>
  <c r="H128" i="31"/>
  <c r="J128" i="31"/>
  <c r="H58" i="31"/>
  <c r="H127" i="31"/>
  <c r="J127" i="31"/>
  <c r="J52" i="31"/>
  <c r="D21" i="30"/>
  <c r="J23" i="31"/>
  <c r="I25" i="31"/>
  <c r="J131" i="31"/>
  <c r="J55" i="31"/>
  <c r="D24" i="30"/>
  <c r="J54" i="31"/>
  <c r="D23" i="30"/>
  <c r="J126" i="31"/>
  <c r="H134" i="31"/>
  <c r="G58" i="31"/>
  <c r="G134" i="31"/>
  <c r="C118" i="31"/>
  <c r="C133" i="31"/>
  <c r="C134" i="31"/>
  <c r="J117" i="31"/>
  <c r="B133" i="31"/>
  <c r="J57" i="31"/>
  <c r="B118" i="31"/>
  <c r="E86" i="31"/>
  <c r="F86" i="31"/>
  <c r="B86" i="31"/>
  <c r="J58" i="31"/>
  <c r="D26" i="30"/>
  <c r="B134" i="31"/>
  <c r="J133" i="31"/>
  <c r="J134" i="31"/>
  <c r="D90" i="30"/>
  <c r="J118" i="31"/>
  <c r="D91" i="30"/>
  <c r="F104" i="30"/>
  <c r="G106" i="30"/>
  <c r="G108" i="30"/>
  <c r="F112" i="30"/>
  <c r="F114" i="30"/>
  <c r="G123" i="30"/>
  <c r="G119" i="30"/>
  <c r="G122" i="30"/>
  <c r="D27" i="30"/>
  <c r="F40" i="30"/>
  <c r="G42" i="30"/>
  <c r="G44" i="30"/>
  <c r="F48" i="30"/>
  <c r="F50" i="30"/>
  <c r="G60" i="30"/>
  <c r="G56" i="30"/>
  <c r="G59" i="30"/>
  <c r="G124" i="30"/>
  <c r="G61" i="30"/>
  <c r="E123" i="32"/>
  <c r="I133" i="32"/>
  <c r="I134" i="32"/>
  <c r="G124" i="32"/>
  <c r="G122" i="32"/>
  <c r="I122" i="32"/>
  <c r="J46" i="32"/>
  <c r="G120" i="33"/>
  <c r="F123" i="32"/>
  <c r="C123" i="32"/>
  <c r="C27" i="33"/>
  <c r="F124" i="32"/>
  <c r="G125" i="32"/>
  <c r="F126" i="32"/>
  <c r="H126" i="32"/>
  <c r="G126" i="32"/>
  <c r="C126" i="32"/>
  <c r="E126" i="32"/>
  <c r="B127" i="32"/>
  <c r="E127" i="32"/>
  <c r="J111" i="32"/>
  <c r="D127" i="32"/>
  <c r="D129" i="32"/>
  <c r="J107" i="32"/>
  <c r="D80" i="33"/>
  <c r="J113" i="32"/>
  <c r="D86" i="33"/>
  <c r="I129" i="32"/>
  <c r="G128" i="32"/>
  <c r="E128" i="32"/>
  <c r="J112" i="32"/>
  <c r="D128" i="32"/>
  <c r="B128" i="32"/>
  <c r="D124" i="32"/>
  <c r="H123" i="32"/>
  <c r="D85" i="33"/>
  <c r="B129" i="32"/>
  <c r="D130" i="32"/>
  <c r="H130" i="32"/>
  <c r="G130" i="32"/>
  <c r="J114" i="32"/>
  <c r="F130" i="32"/>
  <c r="D87" i="33"/>
  <c r="F131" i="32"/>
  <c r="D131" i="32"/>
  <c r="B118" i="32"/>
  <c r="J115" i="32"/>
  <c r="I131" i="32"/>
  <c r="D88" i="33"/>
  <c r="J116" i="32"/>
  <c r="I118" i="32"/>
  <c r="H132" i="32"/>
  <c r="C132" i="32"/>
  <c r="D132" i="32"/>
  <c r="B132" i="32"/>
  <c r="D89" i="33"/>
  <c r="C25" i="31"/>
  <c r="K23" i="31"/>
  <c r="F25" i="31"/>
  <c r="B25" i="31"/>
  <c r="H25" i="31"/>
  <c r="E25" i="31"/>
  <c r="G25" i="31"/>
  <c r="D25" i="31"/>
  <c r="J56" i="32"/>
  <c r="D25" i="33"/>
  <c r="J132" i="32"/>
  <c r="J131" i="32"/>
  <c r="J55" i="32"/>
  <c r="D24" i="33"/>
  <c r="J130" i="32"/>
  <c r="J54" i="32"/>
  <c r="D23" i="33"/>
  <c r="J53" i="32"/>
  <c r="D22" i="33"/>
  <c r="J129" i="32"/>
  <c r="J52" i="32"/>
  <c r="D21" i="33"/>
  <c r="F58" i="32"/>
  <c r="J128" i="32"/>
  <c r="J51" i="32"/>
  <c r="D20" i="33"/>
  <c r="J127" i="32"/>
  <c r="C58" i="32"/>
  <c r="J49" i="32"/>
  <c r="D18" i="33"/>
  <c r="J48" i="32"/>
  <c r="D17" i="33"/>
  <c r="D58" i="32"/>
  <c r="J123" i="32"/>
  <c r="J47" i="32"/>
  <c r="B58" i="32"/>
  <c r="D16" i="33"/>
  <c r="D126" i="32"/>
  <c r="J126" i="32"/>
  <c r="J109" i="32"/>
  <c r="D82" i="33"/>
  <c r="J125" i="32"/>
  <c r="J108" i="32"/>
  <c r="D81" i="33"/>
  <c r="J124" i="32"/>
  <c r="F122" i="32"/>
  <c r="J106" i="32"/>
  <c r="D79" i="33"/>
  <c r="B122" i="32"/>
  <c r="J122" i="32"/>
  <c r="G57" i="33"/>
  <c r="J117" i="32"/>
  <c r="C118" i="32"/>
  <c r="E86" i="32"/>
  <c r="F86" i="32"/>
  <c r="H86" i="32"/>
  <c r="I86" i="32"/>
  <c r="C86" i="32"/>
  <c r="D86" i="32"/>
  <c r="B86" i="32"/>
  <c r="H133" i="32"/>
  <c r="H134" i="32"/>
  <c r="J118" i="32"/>
  <c r="D90" i="33"/>
  <c r="G133" i="32"/>
  <c r="G134" i="32"/>
  <c r="G118" i="32"/>
  <c r="F133" i="32"/>
  <c r="F134" i="32"/>
  <c r="D133" i="32"/>
  <c r="D134" i="32"/>
  <c r="H58" i="32"/>
  <c r="C133" i="32"/>
  <c r="C134" i="32"/>
  <c r="E133" i="32"/>
  <c r="E134" i="32"/>
  <c r="J57" i="32"/>
  <c r="J58" i="32"/>
  <c r="K58" i="32"/>
  <c r="I25" i="32"/>
  <c r="B25" i="32"/>
  <c r="H25" i="32"/>
  <c r="G25" i="32"/>
  <c r="F25" i="32"/>
  <c r="K23" i="32"/>
  <c r="E25" i="32"/>
  <c r="C25" i="32"/>
  <c r="D26" i="33"/>
  <c r="D25" i="32"/>
  <c r="J86" i="32"/>
  <c r="J133" i="32"/>
  <c r="J134" i="32"/>
  <c r="G119" i="33"/>
  <c r="G122" i="33"/>
  <c r="D91" i="33"/>
  <c r="F104" i="33"/>
  <c r="G106" i="33"/>
  <c r="G108" i="33"/>
  <c r="F112" i="33"/>
  <c r="F114" i="33"/>
  <c r="G123" i="33"/>
  <c r="G56" i="33"/>
  <c r="G59" i="33"/>
  <c r="D27" i="33"/>
  <c r="F40" i="33"/>
  <c r="G42" i="33"/>
  <c r="G44" i="33"/>
  <c r="F48" i="33"/>
  <c r="F50" i="33"/>
  <c r="G60" i="33"/>
  <c r="G124" i="33"/>
  <c r="G61" i="33"/>
  <c r="C84" i="34"/>
  <c r="G110" i="34"/>
  <c r="G94" i="34"/>
  <c r="F46" i="34"/>
  <c r="G118" i="35"/>
  <c r="L47" i="35"/>
  <c r="D15" i="34"/>
  <c r="L51" i="35"/>
  <c r="D19" i="34"/>
  <c r="H118" i="35"/>
  <c r="L53" i="35"/>
  <c r="D21" i="34"/>
  <c r="G85" i="35"/>
  <c r="D85" i="35"/>
  <c r="C85" i="35"/>
  <c r="F85" i="35"/>
  <c r="B85" i="35"/>
  <c r="E85" i="35"/>
  <c r="H85" i="35"/>
  <c r="I106" i="35"/>
  <c r="C58" i="35"/>
  <c r="I85" i="35"/>
  <c r="D72" i="34"/>
  <c r="C26" i="34"/>
  <c r="B118" i="35"/>
  <c r="F118" i="35"/>
  <c r="K25" i="35"/>
  <c r="J25" i="35"/>
  <c r="B25" i="35"/>
  <c r="M23" i="35"/>
  <c r="E25" i="35"/>
  <c r="G25" i="35"/>
  <c r="C25" i="35"/>
  <c r="H25" i="35"/>
  <c r="F25" i="35"/>
  <c r="D25" i="35"/>
  <c r="I25" i="35"/>
  <c r="I112" i="35"/>
  <c r="D78" i="34"/>
  <c r="I111" i="35"/>
  <c r="D77" i="34"/>
  <c r="I114" i="35"/>
  <c r="D80" i="34"/>
  <c r="I115" i="35"/>
  <c r="D81" i="34"/>
  <c r="D118" i="35"/>
  <c r="D14" i="34"/>
  <c r="I116" i="35"/>
  <c r="D82" i="34"/>
  <c r="L49" i="35"/>
  <c r="D17" i="34"/>
  <c r="I108" i="35"/>
  <c r="I118" i="35"/>
  <c r="D74" i="34"/>
  <c r="L58" i="35"/>
  <c r="M58" i="35"/>
  <c r="D26" i="34"/>
  <c r="F37" i="34"/>
  <c r="G39" i="34"/>
  <c r="G41" i="34"/>
  <c r="F45" i="34"/>
  <c r="F47" i="34"/>
  <c r="G54" i="34"/>
  <c r="G50" i="34"/>
  <c r="G53" i="34"/>
  <c r="G55" i="34"/>
  <c r="G109" i="34"/>
  <c r="G112" i="34"/>
  <c r="D84" i="34"/>
  <c r="F96" i="34"/>
  <c r="G98" i="34"/>
  <c r="G100" i="34"/>
  <c r="F104" i="34"/>
  <c r="F106" i="34"/>
  <c r="G113" i="34"/>
  <c r="G114" i="34"/>
  <c r="I117" i="37"/>
  <c r="D76" i="36"/>
  <c r="L57" i="37"/>
  <c r="D23" i="36"/>
  <c r="I112" i="37"/>
  <c r="L54" i="37"/>
  <c r="D20" i="36"/>
  <c r="L56" i="37"/>
  <c r="L52" i="37"/>
  <c r="D18" i="36"/>
  <c r="L53" i="37"/>
  <c r="D19" i="36"/>
  <c r="I110" i="37"/>
  <c r="I116" i="37"/>
  <c r="I118" i="37"/>
  <c r="G118" i="37"/>
  <c r="I108" i="37"/>
  <c r="I107" i="37"/>
  <c r="B118" i="37"/>
  <c r="I106" i="37"/>
  <c r="L46" i="37"/>
  <c r="D12" i="36"/>
  <c r="L48" i="37"/>
  <c r="L47" i="37"/>
  <c r="I109" i="37"/>
  <c r="L49" i="37"/>
  <c r="B58" i="37"/>
  <c r="I111" i="37"/>
  <c r="I83" i="37"/>
  <c r="C85" i="37"/>
  <c r="L51" i="37"/>
  <c r="D17" i="36"/>
  <c r="G58" i="37"/>
  <c r="F58" i="37"/>
  <c r="L23" i="37"/>
  <c r="H25" i="37"/>
  <c r="L50" i="37"/>
  <c r="D16" i="36"/>
  <c r="I58" i="37"/>
  <c r="C118" i="37"/>
  <c r="I113" i="37"/>
  <c r="D72" i="36"/>
  <c r="D77" i="36"/>
  <c r="F87" i="36"/>
  <c r="G89" i="36"/>
  <c r="G91" i="36"/>
  <c r="F93" i="36"/>
  <c r="F95" i="36"/>
  <c r="G102" i="36"/>
  <c r="I114" i="37"/>
  <c r="I115" i="37"/>
  <c r="L55" i="37"/>
  <c r="D21" i="36"/>
  <c r="E58" i="37"/>
  <c r="K58" i="37"/>
  <c r="D58" i="37"/>
  <c r="H58" i="37"/>
  <c r="J58" i="37"/>
  <c r="C58" i="37"/>
  <c r="B85" i="37"/>
  <c r="F85" i="37"/>
  <c r="H85" i="37"/>
  <c r="D85" i="37"/>
  <c r="G85" i="37"/>
  <c r="E85" i="37"/>
  <c r="J25" i="37"/>
  <c r="E25" i="37"/>
  <c r="G25" i="37"/>
  <c r="K25" i="37"/>
  <c r="I25" i="37"/>
  <c r="M23" i="37"/>
  <c r="B25" i="37"/>
  <c r="F25" i="37"/>
  <c r="C25" i="37"/>
  <c r="D25" i="37"/>
  <c r="I85" i="37"/>
  <c r="G85" i="36"/>
  <c r="G99" i="36"/>
  <c r="C24" i="36"/>
  <c r="F94" i="36"/>
  <c r="G32" i="36"/>
  <c r="G98" i="36"/>
  <c r="G101" i="36"/>
  <c r="C77" i="36"/>
  <c r="G46" i="36"/>
  <c r="F41" i="36"/>
  <c r="D24" i="36"/>
  <c r="F34" i="36"/>
  <c r="G36" i="36"/>
  <c r="G38" i="36"/>
  <c r="F40" i="36"/>
  <c r="F42" i="36"/>
  <c r="G49" i="36"/>
  <c r="L58" i="37"/>
  <c r="G45" i="36"/>
  <c r="G48" i="36"/>
  <c r="G50" i="36"/>
  <c r="G103" i="36"/>
  <c r="N85" i="39"/>
  <c r="O88" i="39"/>
  <c r="L88" i="39"/>
  <c r="B90" i="39"/>
  <c r="H90" i="39"/>
  <c r="M88" i="39"/>
  <c r="C94" i="38"/>
  <c r="D71" i="39"/>
  <c r="H71" i="39"/>
  <c r="M71" i="39"/>
  <c r="C72" i="39"/>
  <c r="C97" i="39" s="1"/>
  <c r="G72" i="39"/>
  <c r="K72" i="39"/>
  <c r="P72" i="39"/>
  <c r="E73" i="39"/>
  <c r="E98" i="39" s="1"/>
  <c r="I73" i="39"/>
  <c r="I98" i="39" s="1"/>
  <c r="N73" i="39"/>
  <c r="N98" i="39" s="1"/>
  <c r="C74" i="39"/>
  <c r="G74" i="39"/>
  <c r="L74" i="39"/>
  <c r="P74" i="39"/>
  <c r="E75" i="39"/>
  <c r="E100" i="39" s="1"/>
  <c r="I75" i="39"/>
  <c r="I100" i="39" s="1"/>
  <c r="N75" i="39"/>
  <c r="N100" i="39" s="1"/>
  <c r="C76" i="39"/>
  <c r="G76" i="39"/>
  <c r="L76" i="39"/>
  <c r="L101" i="39" s="1"/>
  <c r="P76" i="39"/>
  <c r="E71" i="39"/>
  <c r="I71" i="39"/>
  <c r="N71" i="39"/>
  <c r="D72" i="39"/>
  <c r="H72" i="39"/>
  <c r="M72" i="39"/>
  <c r="B73" i="39"/>
  <c r="B98" i="39" s="1"/>
  <c r="F73" i="39"/>
  <c r="J73" i="39"/>
  <c r="O73" i="39"/>
  <c r="D74" i="39"/>
  <c r="D99" i="39" s="1"/>
  <c r="H74" i="39"/>
  <c r="H99" i="39" s="1"/>
  <c r="M74" i="39"/>
  <c r="B75" i="39"/>
  <c r="B100" i="39" s="1"/>
  <c r="F75" i="39"/>
  <c r="F100" i="39" s="1"/>
  <c r="J75" i="39"/>
  <c r="J100" i="39" s="1"/>
  <c r="O75" i="39"/>
  <c r="O100" i="39" s="1"/>
  <c r="D76" i="39"/>
  <c r="D101" i="39" s="1"/>
  <c r="H76" i="39"/>
  <c r="H101" i="39" s="1"/>
  <c r="M76" i="39"/>
  <c r="M101" i="39" s="1"/>
  <c r="B71" i="39"/>
  <c r="B96" i="39" s="1"/>
  <c r="F71" i="39"/>
  <c r="J71" i="39"/>
  <c r="Q71" i="39"/>
  <c r="Q96" i="39" s="1"/>
  <c r="E72" i="39"/>
  <c r="I72" i="39"/>
  <c r="N72" i="39"/>
  <c r="C73" i="39"/>
  <c r="C98" i="39" s="1"/>
  <c r="G73" i="39"/>
  <c r="K73" i="39"/>
  <c r="K98" i="39" s="1"/>
  <c r="P73" i="39"/>
  <c r="P98" i="39" s="1"/>
  <c r="E74" i="39"/>
  <c r="E99" i="39" s="1"/>
  <c r="I74" i="39"/>
  <c r="I99" i="39" s="1"/>
  <c r="N74" i="39"/>
  <c r="N99" i="39" s="1"/>
  <c r="C75" i="39"/>
  <c r="C100" i="39" s="1"/>
  <c r="G75" i="39"/>
  <c r="L75" i="39"/>
  <c r="P75" i="39"/>
  <c r="P100" i="39" s="1"/>
  <c r="E76" i="39"/>
  <c r="E101" i="39" s="1"/>
  <c r="I76" i="39"/>
  <c r="I101" i="39" s="1"/>
  <c r="N76" i="39"/>
  <c r="N101" i="39" s="1"/>
  <c r="C71" i="39"/>
  <c r="G71" i="39"/>
  <c r="B72" i="39"/>
  <c r="F72" i="39"/>
  <c r="J72" i="39"/>
  <c r="D73" i="39"/>
  <c r="D98" i="39" s="1"/>
  <c r="H73" i="39"/>
  <c r="B74" i="39"/>
  <c r="B99" i="39" s="1"/>
  <c r="F74" i="39"/>
  <c r="F99" i="39" s="1"/>
  <c r="J74" i="39"/>
  <c r="J99" i="39" s="1"/>
  <c r="D75" i="39"/>
  <c r="D100" i="39" s="1"/>
  <c r="H75" i="39"/>
  <c r="H100" i="39" s="1"/>
  <c r="B76" i="39"/>
  <c r="F76" i="39"/>
  <c r="J76" i="39"/>
  <c r="J101" i="39" s="1"/>
  <c r="A96" i="39"/>
  <c r="A108" i="39"/>
  <c r="L100" i="39" l="1"/>
  <c r="G98" i="39"/>
  <c r="J98" i="39"/>
  <c r="C101" i="39"/>
  <c r="P99" i="39"/>
  <c r="G100" i="39"/>
  <c r="F98" i="39"/>
  <c r="P101" i="39"/>
  <c r="G99" i="39"/>
  <c r="I7" i="42"/>
  <c r="I8" i="42" s="1"/>
  <c r="O98" i="39"/>
  <c r="G101" i="39"/>
  <c r="C99" i="39"/>
  <c r="F24" i="38"/>
  <c r="B8" i="42"/>
  <c r="C69" i="38"/>
  <c r="F76" i="38"/>
  <c r="M98" i="39"/>
  <c r="H98" i="39"/>
  <c r="F101" i="39"/>
  <c r="B101" i="39"/>
  <c r="O101" i="39"/>
  <c r="M100" i="39"/>
  <c r="M99" i="39"/>
  <c r="O99" i="39"/>
  <c r="E108" i="39"/>
  <c r="E97" i="39"/>
  <c r="H108" i="39"/>
  <c r="H97" i="39"/>
  <c r="E107" i="39"/>
  <c r="E96" i="39"/>
  <c r="K108" i="39"/>
  <c r="K97" i="39"/>
  <c r="H107" i="39"/>
  <c r="H96" i="39"/>
  <c r="B108" i="39"/>
  <c r="B97" i="39"/>
  <c r="D108" i="39"/>
  <c r="D97" i="39"/>
  <c r="L99" i="39"/>
  <c r="L77" i="39"/>
  <c r="G108" i="39"/>
  <c r="G97" i="39"/>
  <c r="D107" i="39"/>
  <c r="D96" i="39"/>
  <c r="F108" i="39"/>
  <c r="G107" i="39"/>
  <c r="G96" i="39"/>
  <c r="N108" i="39"/>
  <c r="N97" i="39"/>
  <c r="J107" i="39"/>
  <c r="J96" i="39"/>
  <c r="N107" i="39"/>
  <c r="N96" i="39"/>
  <c r="N77" i="39"/>
  <c r="K107" i="39"/>
  <c r="K96" i="39"/>
  <c r="K77" i="39"/>
  <c r="J108" i="39"/>
  <c r="J97" i="39"/>
  <c r="C107" i="39"/>
  <c r="C96" i="39"/>
  <c r="I108" i="39"/>
  <c r="I97" i="39"/>
  <c r="F107" i="39"/>
  <c r="F96" i="39"/>
  <c r="M108" i="39"/>
  <c r="M97" i="39"/>
  <c r="I107" i="39"/>
  <c r="I96" i="39"/>
  <c r="P108" i="39"/>
  <c r="P97" i="39"/>
  <c r="P77" i="39"/>
  <c r="M107" i="39"/>
  <c r="M96" i="39"/>
  <c r="M77" i="39"/>
  <c r="O108" i="39"/>
  <c r="O97" i="39"/>
  <c r="O77" i="39"/>
  <c r="M13" i="39"/>
  <c r="M38" i="39" s="1"/>
  <c r="H13" i="39"/>
  <c r="D13" i="39"/>
  <c r="D38" i="39" s="1"/>
  <c r="P13" i="39"/>
  <c r="G13" i="39"/>
  <c r="O13" i="39"/>
  <c r="O38" i="39" s="1"/>
  <c r="J13" i="39"/>
  <c r="N13" i="39"/>
  <c r="N38" i="39" s="1"/>
  <c r="K13" i="39"/>
  <c r="K38" i="39" s="1"/>
  <c r="C13" i="39"/>
  <c r="F13" i="39"/>
  <c r="I13" i="39"/>
  <c r="I38" i="39" s="1"/>
  <c r="B13" i="39"/>
  <c r="B38" i="39" s="1"/>
  <c r="E13" i="39"/>
  <c r="E38" i="39" s="1"/>
  <c r="O16" i="39"/>
  <c r="O41" i="39" s="1"/>
  <c r="J16" i="39"/>
  <c r="J41" i="39" s="1"/>
  <c r="F16" i="39"/>
  <c r="F41" i="39" s="1"/>
  <c r="B16" i="39"/>
  <c r="B41" i="39" s="1"/>
  <c r="M16" i="39"/>
  <c r="M41" i="39" s="1"/>
  <c r="D16" i="39"/>
  <c r="D41" i="39" s="1"/>
  <c r="C16" i="39"/>
  <c r="C41" i="39" s="1"/>
  <c r="N16" i="39"/>
  <c r="N41" i="39" s="1"/>
  <c r="I16" i="39"/>
  <c r="I41" i="39" s="1"/>
  <c r="E16" i="39"/>
  <c r="E41" i="39" s="1"/>
  <c r="P16" i="39"/>
  <c r="P41" i="39" s="1"/>
  <c r="H16" i="39"/>
  <c r="H41" i="39" s="1"/>
  <c r="G16" i="39"/>
  <c r="G41" i="39" s="1"/>
  <c r="L16" i="39"/>
  <c r="L41" i="39" s="1"/>
  <c r="M17" i="39"/>
  <c r="M42" i="39" s="1"/>
  <c r="H17" i="39"/>
  <c r="H42" i="39" s="1"/>
  <c r="D17" i="39"/>
  <c r="D42" i="39" s="1"/>
  <c r="J17" i="39"/>
  <c r="J42" i="39" s="1"/>
  <c r="I17" i="39"/>
  <c r="I42" i="39" s="1"/>
  <c r="P17" i="39"/>
  <c r="P42" i="39" s="1"/>
  <c r="L17" i="39"/>
  <c r="L42" i="39" s="1"/>
  <c r="G17" i="39"/>
  <c r="G42" i="39" s="1"/>
  <c r="C17" i="39"/>
  <c r="C42" i="39" s="1"/>
  <c r="B17" i="39"/>
  <c r="B42" i="39" s="1"/>
  <c r="N17" i="39"/>
  <c r="N42" i="39" s="1"/>
  <c r="O17" i="39"/>
  <c r="O42" i="39" s="1"/>
  <c r="F17" i="39"/>
  <c r="F42" i="39" s="1"/>
  <c r="E17" i="39"/>
  <c r="E42" i="39" s="1"/>
  <c r="O14" i="39"/>
  <c r="O39" i="39" s="1"/>
  <c r="J14" i="39"/>
  <c r="J39" i="39" s="1"/>
  <c r="F14" i="39"/>
  <c r="F39" i="39" s="1"/>
  <c r="B14" i="39"/>
  <c r="B39" i="39" s="1"/>
  <c r="E14" i="39"/>
  <c r="E39" i="39" s="1"/>
  <c r="H14" i="39"/>
  <c r="H39" i="39" s="1"/>
  <c r="K14" i="39"/>
  <c r="K39" i="39" s="1"/>
  <c r="N14" i="39"/>
  <c r="N39" i="39" s="1"/>
  <c r="I14" i="39"/>
  <c r="I39" i="39" s="1"/>
  <c r="M14" i="39"/>
  <c r="M39" i="39" s="1"/>
  <c r="G14" i="39"/>
  <c r="G39" i="39" s="1"/>
  <c r="D14" i="39"/>
  <c r="D39" i="39" s="1"/>
  <c r="P14" i="39"/>
  <c r="P39" i="39" s="1"/>
  <c r="C14" i="39"/>
  <c r="C39" i="39" s="1"/>
  <c r="J11" i="39"/>
  <c r="J36" i="39" s="1"/>
  <c r="F11" i="39"/>
  <c r="F36" i="39" s="1"/>
  <c r="B11" i="39"/>
  <c r="I11" i="39"/>
  <c r="I36" i="39" s="1"/>
  <c r="D11" i="39"/>
  <c r="D36" i="39" s="1"/>
  <c r="Q11" i="39"/>
  <c r="Q36" i="39" s="1"/>
  <c r="E11" i="39"/>
  <c r="E36" i="39" s="1"/>
  <c r="H11" i="39"/>
  <c r="H36" i="39" s="1"/>
  <c r="G11" i="39"/>
  <c r="G36" i="39" s="1"/>
  <c r="C11" i="39"/>
  <c r="M15" i="39"/>
  <c r="M40" i="39" s="1"/>
  <c r="H15" i="39"/>
  <c r="H40" i="39" s="1"/>
  <c r="D15" i="39"/>
  <c r="D40" i="39" s="1"/>
  <c r="L15" i="39"/>
  <c r="L40" i="39" s="1"/>
  <c r="C15" i="39"/>
  <c r="C40" i="39" s="1"/>
  <c r="F15" i="39"/>
  <c r="F40" i="39" s="1"/>
  <c r="E15" i="39"/>
  <c r="E40" i="39" s="1"/>
  <c r="P15" i="39"/>
  <c r="P40" i="39" s="1"/>
  <c r="G15" i="39"/>
  <c r="G40" i="39" s="1"/>
  <c r="O15" i="39"/>
  <c r="O40" i="39" s="1"/>
  <c r="I15" i="39"/>
  <c r="I40" i="39" s="1"/>
  <c r="J15" i="39"/>
  <c r="J40" i="39" s="1"/>
  <c r="B15" i="39"/>
  <c r="B40" i="39" s="1"/>
  <c r="R40" i="39" s="1"/>
  <c r="N15" i="39"/>
  <c r="N40" i="39" s="1"/>
  <c r="R71" i="39"/>
  <c r="N12" i="39"/>
  <c r="N37" i="39" s="1"/>
  <c r="I12" i="39"/>
  <c r="I37" i="39" s="1"/>
  <c r="E12" i="39"/>
  <c r="E37" i="39" s="1"/>
  <c r="H12" i="39"/>
  <c r="H37" i="39" s="1"/>
  <c r="D12" i="39"/>
  <c r="D37" i="39" s="1"/>
  <c r="G12" i="39"/>
  <c r="G37" i="39" s="1"/>
  <c r="J12" i="39"/>
  <c r="J37" i="39" s="1"/>
  <c r="M12" i="39"/>
  <c r="M37" i="39" s="1"/>
  <c r="C12" i="39"/>
  <c r="C37" i="39" s="1"/>
  <c r="Q12" i="39"/>
  <c r="Q37" i="39" s="1"/>
  <c r="K12" i="39"/>
  <c r="K37" i="39" s="1"/>
  <c r="B12" i="39"/>
  <c r="B37" i="39" s="1"/>
  <c r="F12" i="39"/>
  <c r="F37" i="39" s="1"/>
  <c r="C108" i="39"/>
  <c r="E55" i="39"/>
  <c r="C17" i="38"/>
  <c r="H70" i="39"/>
  <c r="D70" i="39"/>
  <c r="G70" i="39"/>
  <c r="C70" i="39"/>
  <c r="J70" i="39"/>
  <c r="F70" i="39"/>
  <c r="B70" i="39"/>
  <c r="B77" i="39" s="1"/>
  <c r="E70" i="39"/>
  <c r="Q70" i="39"/>
  <c r="I70" i="39"/>
  <c r="B107" i="39"/>
  <c r="Q107" i="39"/>
  <c r="O102" i="39"/>
  <c r="K102" i="39"/>
  <c r="A37" i="39"/>
  <c r="A49" i="39" s="1"/>
  <c r="A54" i="39"/>
  <c r="A55" i="39"/>
  <c r="A38" i="39"/>
  <c r="A50" i="39" s="1"/>
  <c r="C41" i="38"/>
  <c r="L102" i="39"/>
  <c r="R73" i="39"/>
  <c r="R13" i="39"/>
  <c r="R76" i="39"/>
  <c r="R75" i="39"/>
  <c r="R72" i="39"/>
  <c r="R74" i="39"/>
  <c r="I55" i="39" l="1"/>
  <c r="K55" i="39"/>
  <c r="F24" i="39"/>
  <c r="C36" i="39"/>
  <c r="R39" i="39"/>
  <c r="R42" i="39"/>
  <c r="D40" i="38" s="1"/>
  <c r="R41" i="39"/>
  <c r="D16" i="38" s="1"/>
  <c r="D39" i="38" s="1"/>
  <c r="C38" i="39"/>
  <c r="F86" i="39"/>
  <c r="F97" i="39" s="1"/>
  <c r="R97" i="39" s="1"/>
  <c r="D65" i="38" s="1"/>
  <c r="R37" i="39"/>
  <c r="H55" i="39"/>
  <c r="H38" i="39"/>
  <c r="J55" i="39"/>
  <c r="J38" i="39"/>
  <c r="D55" i="39"/>
  <c r="G55" i="39"/>
  <c r="G38" i="39"/>
  <c r="P55" i="39"/>
  <c r="P38" i="39"/>
  <c r="M102" i="39"/>
  <c r="R17" i="39"/>
  <c r="R16" i="39"/>
  <c r="D95" i="39"/>
  <c r="D77" i="39"/>
  <c r="H95" i="39"/>
  <c r="H77" i="39"/>
  <c r="G95" i="39"/>
  <c r="G77" i="39"/>
  <c r="I95" i="39"/>
  <c r="I102" i="39" s="1"/>
  <c r="I77" i="39"/>
  <c r="F95" i="39"/>
  <c r="F77" i="39"/>
  <c r="Q95" i="39"/>
  <c r="Q102" i="39" s="1"/>
  <c r="Q77" i="39"/>
  <c r="J95" i="39"/>
  <c r="J77" i="39"/>
  <c r="E95" i="39"/>
  <c r="E77" i="39"/>
  <c r="C95" i="39"/>
  <c r="C77" i="39"/>
  <c r="N55" i="39"/>
  <c r="F55" i="39"/>
  <c r="C55" i="39"/>
  <c r="O55" i="39"/>
  <c r="O43" i="39"/>
  <c r="B55" i="39"/>
  <c r="M55" i="39"/>
  <c r="J102" i="39"/>
  <c r="P102" i="39"/>
  <c r="N18" i="39"/>
  <c r="H102" i="39"/>
  <c r="B95" i="39"/>
  <c r="R70" i="39"/>
  <c r="R77" i="39" s="1"/>
  <c r="F18" i="39"/>
  <c r="D102" i="39"/>
  <c r="R100" i="39"/>
  <c r="D68" i="38" s="1"/>
  <c r="D92" i="38" s="1"/>
  <c r="N102" i="39"/>
  <c r="E102" i="39"/>
  <c r="O18" i="39"/>
  <c r="C102" i="39"/>
  <c r="I18" i="39"/>
  <c r="G102" i="39"/>
  <c r="D18" i="39"/>
  <c r="R107" i="39"/>
  <c r="D88" i="38" s="1"/>
  <c r="R108" i="39"/>
  <c r="R101" i="39"/>
  <c r="D93" i="38" s="1"/>
  <c r="R98" i="39"/>
  <c r="D66" i="38" s="1"/>
  <c r="D90" i="38" s="1"/>
  <c r="R15" i="39"/>
  <c r="R99" i="39"/>
  <c r="D67" i="38" s="1"/>
  <c r="D91" i="38" s="1"/>
  <c r="R96" i="39"/>
  <c r="F102" i="39" l="1"/>
  <c r="R55" i="39"/>
  <c r="D36" i="38" s="1"/>
  <c r="F38" i="39"/>
  <c r="R38" i="39" s="1"/>
  <c r="D13" i="38" s="1"/>
  <c r="R95" i="39"/>
  <c r="D63" i="38" s="1"/>
  <c r="B54" i="39"/>
  <c r="R12" i="39"/>
  <c r="J54" i="39"/>
  <c r="M43" i="39"/>
  <c r="M54" i="39"/>
  <c r="M18" i="39"/>
  <c r="R14" i="39"/>
  <c r="G54" i="39"/>
  <c r="G43" i="39"/>
  <c r="D54" i="39"/>
  <c r="D43" i="39"/>
  <c r="C54" i="39"/>
  <c r="K54" i="39"/>
  <c r="K18" i="39"/>
  <c r="K43" i="39"/>
  <c r="I54" i="39"/>
  <c r="I43" i="39"/>
  <c r="F54" i="39"/>
  <c r="P43" i="39"/>
  <c r="P18" i="39"/>
  <c r="E18" i="39"/>
  <c r="Q54" i="39"/>
  <c r="H54" i="39"/>
  <c r="H43" i="39"/>
  <c r="E54" i="39"/>
  <c r="E43" i="39"/>
  <c r="N54" i="39"/>
  <c r="N43" i="39"/>
  <c r="L43" i="39"/>
  <c r="L18" i="39"/>
  <c r="S41" i="39"/>
  <c r="H18" i="39"/>
  <c r="J43" i="39"/>
  <c r="J18" i="39"/>
  <c r="C18" i="39"/>
  <c r="B102" i="39"/>
  <c r="G18" i="39"/>
  <c r="B36" i="39"/>
  <c r="R11" i="39"/>
  <c r="B18" i="39"/>
  <c r="Q43" i="39"/>
  <c r="Q18" i="39"/>
  <c r="D89" i="38"/>
  <c r="R102" i="39"/>
  <c r="S42" i="39"/>
  <c r="D64" i="38"/>
  <c r="D69" i="38" s="1"/>
  <c r="S38" i="39" l="1"/>
  <c r="S55" i="39"/>
  <c r="F43" i="39"/>
  <c r="S40" i="39"/>
  <c r="R18" i="39"/>
  <c r="R54" i="39"/>
  <c r="D35" i="38" s="1"/>
  <c r="C43" i="39"/>
  <c r="D94" i="38"/>
  <c r="D96" i="38" s="1"/>
  <c r="L20" i="39"/>
  <c r="L79" i="39" s="1"/>
  <c r="R36" i="39"/>
  <c r="B43" i="39"/>
  <c r="O20" i="39" l="1"/>
  <c r="O79" i="39" s="1"/>
  <c r="S18" i="39"/>
  <c r="S19" i="39" s="1"/>
  <c r="D15" i="38"/>
  <c r="D38" i="38" s="1"/>
  <c r="G20" i="39"/>
  <c r="G79" i="39" s="1"/>
  <c r="M20" i="39"/>
  <c r="M79" i="39" s="1"/>
  <c r="N20" i="39"/>
  <c r="N79" i="39" s="1"/>
  <c r="E20" i="39"/>
  <c r="E79" i="39" s="1"/>
  <c r="B20" i="39"/>
  <c r="B79" i="39" s="1"/>
  <c r="P20" i="39"/>
  <c r="P79" i="39" s="1"/>
  <c r="C20" i="39"/>
  <c r="C79" i="39" s="1"/>
  <c r="F20" i="39"/>
  <c r="F79" i="39" s="1"/>
  <c r="D20" i="39"/>
  <c r="D79" i="39" s="1"/>
  <c r="D14" i="38"/>
  <c r="D37" i="38" s="1"/>
  <c r="S39" i="39"/>
  <c r="H20" i="39"/>
  <c r="H79" i="39" s="1"/>
  <c r="K20" i="39"/>
  <c r="K79" i="39" s="1"/>
  <c r="R43" i="39"/>
  <c r="Q20" i="39"/>
  <c r="Q79" i="39" s="1"/>
  <c r="I20" i="39"/>
  <c r="I79" i="39" s="1"/>
  <c r="J20" i="39"/>
  <c r="J79" i="39" s="1"/>
  <c r="D12" i="38"/>
  <c r="S37" i="39"/>
  <c r="S54" i="39"/>
  <c r="D11" i="38"/>
  <c r="D17" i="38" s="1"/>
  <c r="S36" i="39"/>
  <c r="R79" i="39" l="1"/>
  <c r="D41" i="38"/>
  <c r="D43" i="38" s="1"/>
  <c r="S43" i="39" l="1"/>
  <c r="F78" i="38"/>
  <c r="F80" i="38" s="1"/>
  <c r="D100" i="38" s="1"/>
  <c r="F26" i="38" l="1"/>
  <c r="F28" i="38" s="1"/>
  <c r="D48" i="38" s="1"/>
</calcChain>
</file>

<file path=xl/comments1.xml><?xml version="1.0" encoding="utf-8"?>
<comments xmlns="http://schemas.openxmlformats.org/spreadsheetml/2006/main">
  <authors>
    <author>Lindsay Waldram</author>
  </authors>
  <commentList>
    <comment ref="A61" authorId="0">
      <text>
        <r>
          <rPr>
            <b/>
            <sz val="9"/>
            <color indexed="81"/>
            <rFont val="Tahoma"/>
            <family val="2"/>
          </rPr>
          <t xml:space="preserve">Author:
</t>
        </r>
        <r>
          <rPr>
            <sz val="9"/>
            <color indexed="81"/>
            <rFont val="Tahoma"/>
            <family val="2"/>
          </rPr>
          <t>Due to the volatility in the recycling markets we are requesting an exemption from WAC 480-70-351 (2) and calculating the projection component of the commodity credit using the most recent 6 months of pricing, tonnage, and customer counts.
In addition, based on converations with our 3rd party processor Pioneer, we will now remove the $45 processing fee that is embedded in the recycle hauling rate and pay the commodity credit back based on NET proceeds, rather than gross that is the current practice.  This change to the commodity proceeds is only being made to the projection component.  The catch-up above is still stated at gross proceeds in order to correctly match the commodity credit and the recycle hauling rate.</t>
        </r>
      </text>
    </comment>
    <comment ref="A155" authorId="0">
      <text>
        <r>
          <rPr>
            <b/>
            <sz val="9"/>
            <color indexed="81"/>
            <rFont val="Tahoma"/>
            <family val="2"/>
          </rPr>
          <t xml:space="preserve">Author:
</t>
        </r>
        <r>
          <rPr>
            <sz val="9"/>
            <color indexed="81"/>
            <rFont val="Tahoma"/>
            <family val="2"/>
          </rPr>
          <t>Due to the volatility in the recycling markets we are requesting an exemption from WAC 480-70-351 (2) and calculating the projection component of the commodity credit using the most recent 6 months of pricing, tonnage, and customer counts.
In addition, based on converations with our 3rd party processor Pioneer, we will now remove the $45 processing fee that is embedded in the recycle hauling rate and pay the commodity credit back based on NET proceeds, rather than gross that is the current practice.  This change to the commodity proceeds is only being made to the projection component.  The catch-up above is still stated at gross proceeds in order to correctly match the commodity credit and the recycle hauling rate.</t>
        </r>
      </text>
    </comment>
  </commentList>
</comments>
</file>

<file path=xl/comments2.xml><?xml version="1.0" encoding="utf-8"?>
<comments xmlns="http://schemas.openxmlformats.org/spreadsheetml/2006/main">
  <authors>
    <author>Lindsay Waldram</author>
  </authors>
  <commentList>
    <comment ref="A27" authorId="0">
      <text>
        <r>
          <rPr>
            <b/>
            <sz val="9"/>
            <color indexed="81"/>
            <rFont val="Tahoma"/>
            <family val="2"/>
          </rPr>
          <t xml:space="preserve">Author:
</t>
        </r>
        <r>
          <rPr>
            <sz val="9"/>
            <color indexed="81"/>
            <rFont val="Tahoma"/>
            <family val="2"/>
          </rPr>
          <t>Due to the volatility in the recycling markets we are requesting an exemption from WAC 480-70-351 (2) and calculating the projection component of the commodity credit using the most recent 6 months of pricing, tonnage, and customer counts.
In addition, based on converations with our 3rd party processor Pioneer, we will now remove the $45 processing fee that is embedded in the recycle hauling rate and pay the commodity credit back based on NET proceeds, rather than gross that is the current practice.  This change to the commodity proceeds is only being made to the projection component.  The catch-up above is still stated at gross proceeds in order to correctly match the commodity credit and the recycle hauling rate.</t>
        </r>
      </text>
    </comment>
    <comment ref="A90" authorId="0">
      <text>
        <r>
          <rPr>
            <b/>
            <sz val="9"/>
            <color indexed="81"/>
            <rFont val="Tahoma"/>
            <family val="2"/>
          </rPr>
          <t xml:space="preserve">Author:
</t>
        </r>
        <r>
          <rPr>
            <sz val="9"/>
            <color indexed="81"/>
            <rFont val="Tahoma"/>
            <family val="2"/>
          </rPr>
          <t>Due to the volatility in the recycling markets we are requesting an exemption from WAC 480-70-351 (2) and calculating the projection component of the commodity credit using the most recent 6 months of pricing, tonnage, and customer counts.
In addition, based on converations with our 3rd party processor Pioneer, we will now remove the $45 processing fee that is embedded in the recycle hauling rate and pay the commodity credit back based on NET proceeds, rather than gross that is the current practice.  This change to the commodity proceeds is only being made to the projection component.  The catch-up above is still stated at gross proceeds in order to correctly match the commodity credit and the recycle hauling rate.</t>
        </r>
      </text>
    </comment>
  </commentList>
</comments>
</file>

<file path=xl/comments3.xml><?xml version="1.0" encoding="utf-8"?>
<comments xmlns="http://schemas.openxmlformats.org/spreadsheetml/2006/main">
  <authors>
    <author>Heather Garland</author>
    <author>Lindsay Waldram</author>
  </authors>
  <commentList>
    <comment ref="C12" authorId="0">
      <text>
        <r>
          <rPr>
            <b/>
            <sz val="9"/>
            <color indexed="81"/>
            <rFont val="Tahoma"/>
            <family val="2"/>
          </rPr>
          <t>Heather Garland:</t>
        </r>
        <r>
          <rPr>
            <sz val="9"/>
            <color indexed="81"/>
            <rFont val="Tahoma"/>
            <family val="2"/>
          </rPr>
          <t xml:space="preserve">
Customer counts were incorrect in this filing.  We forgot to include the MF cans.  We've revised the counts and the correct true-up amount will now flow through to the 18th year 2nd half remaining true-up amount.</t>
        </r>
      </text>
    </comment>
    <comment ref="A27" authorId="1">
      <text>
        <r>
          <rPr>
            <b/>
            <sz val="9"/>
            <color indexed="81"/>
            <rFont val="Tahoma"/>
            <family val="2"/>
          </rPr>
          <t xml:space="preserve">Author:
</t>
        </r>
        <r>
          <rPr>
            <sz val="9"/>
            <color indexed="81"/>
            <rFont val="Tahoma"/>
            <family val="2"/>
          </rPr>
          <t>Due to the volatility in the recycling markets we are requesting an exemption from WAC 480-70-351 (2) and calculating the projection component of the commodity credit using the most recent 6 months of pricing, tonnage, and customer counts.
In addition, based on converations with our 3rd party processor Pioneer, we will now remove the $45 processing fee that is embedded in the recycle hauling rate and pay the commodity credit back based on NET proceeds, rather than gross that is the current practice.  This change to the commodity proceeds is only being made to the projection component.  The catch-up above is still stated at gross proceeds in order to correctly match the commodity credit and the recycle hauling rate.</t>
        </r>
      </text>
    </comment>
    <comment ref="G53" authorId="0">
      <text>
        <r>
          <rPr>
            <b/>
            <sz val="9"/>
            <color indexed="81"/>
            <rFont val="Tahoma"/>
            <family val="2"/>
          </rPr>
          <t>Heather Garland:</t>
        </r>
        <r>
          <rPr>
            <sz val="9"/>
            <color indexed="81"/>
            <rFont val="Tahoma"/>
            <family val="2"/>
          </rPr>
          <t xml:space="preserve">
Instead of correcting this remaining amount over 6-months we are correcting it over 5-months due to a customer notice being required.</t>
        </r>
      </text>
    </comment>
    <comment ref="H60" authorId="0">
      <text>
        <r>
          <rPr>
            <b/>
            <sz val="9"/>
            <color indexed="81"/>
            <rFont val="Tahoma"/>
            <family val="2"/>
          </rPr>
          <t>Heather Garland:</t>
        </r>
        <r>
          <rPr>
            <sz val="9"/>
            <color indexed="81"/>
            <rFont val="Tahoma"/>
            <family val="2"/>
          </rPr>
          <t xml:space="preserve">
True up for incorrect customer count.</t>
        </r>
      </text>
    </comment>
    <comment ref="A90" authorId="1">
      <text>
        <r>
          <rPr>
            <b/>
            <sz val="9"/>
            <color indexed="81"/>
            <rFont val="Tahoma"/>
            <family val="2"/>
          </rPr>
          <t xml:space="preserve">Author:
</t>
        </r>
        <r>
          <rPr>
            <sz val="9"/>
            <color indexed="81"/>
            <rFont val="Tahoma"/>
            <family val="2"/>
          </rPr>
          <t>Due to the volatility in the recycling markets we are requesting an exemption from WAC 480-70-351 (2) and calculating the projection component of the commodity credit using the most recent 6 months of pricing, tonnage, and customer counts.
In addition, based on converations with our 3rd party processor Pioneer, we will now remove the $45 processing fee that is embedded in the recycle hauling rate and pay the commodity credit back based on NET proceeds, rather than gross that is the current practice.  This change to the commodity proceeds is only being made to the projection component.  The catch-up above is still stated at gross proceeds in order to correctly match the commodity credit and the recycle hauling rate.</t>
        </r>
      </text>
    </comment>
    <comment ref="G118" authorId="0">
      <text>
        <r>
          <rPr>
            <b/>
            <sz val="9"/>
            <color indexed="81"/>
            <rFont val="Tahoma"/>
            <family val="2"/>
          </rPr>
          <t>Heather Garland:</t>
        </r>
        <r>
          <rPr>
            <sz val="9"/>
            <color indexed="81"/>
            <rFont val="Tahoma"/>
            <family val="2"/>
          </rPr>
          <t xml:space="preserve">
Instead of correcting this remaining amount over 6-months we are correcting it over 5-months due to a customer notice being required.</t>
        </r>
      </text>
    </comment>
  </commentList>
</comments>
</file>

<file path=xl/comments4.xml><?xml version="1.0" encoding="utf-8"?>
<comments xmlns="http://schemas.openxmlformats.org/spreadsheetml/2006/main">
  <authors>
    <author>Lindsay Waldram</author>
    <author>Heather Garland</author>
  </authors>
  <commentList>
    <comment ref="A6" authorId="0">
      <text>
        <r>
          <rPr>
            <b/>
            <sz val="9"/>
            <color indexed="81"/>
            <rFont val="Tahoma"/>
            <family val="2"/>
          </rPr>
          <t xml:space="preserve">Author:
</t>
        </r>
        <r>
          <rPr>
            <sz val="9"/>
            <color indexed="81"/>
            <rFont val="Tahoma"/>
            <family val="2"/>
          </rPr>
          <t xml:space="preserve">In the commodity credit filings that became effective 3/1/18 (TG-180050; TG-180052) we received an exemption from WAC 480-70-351 (2), due to the volatility in the recycling markets.  We used a 6 month projection period to calculate the projection component of the commodity credit using the most recent 6 months of pricing, tonnage, and customer counts.  We are re-filing using a new 6 month test period, as the new commodity credit will become effective on 9/1/18 due to the 6 month test period.  Commodity markets are still volatile, so we are requesting another expemption from WAC 480-70-351 (2).
</t>
        </r>
      </text>
    </comment>
    <comment ref="A27" authorId="1">
      <text>
        <r>
          <rPr>
            <b/>
            <sz val="9"/>
            <color indexed="81"/>
            <rFont val="Tahoma"/>
            <family val="2"/>
          </rPr>
          <t>Heather Garland:</t>
        </r>
        <r>
          <rPr>
            <sz val="9"/>
            <color indexed="81"/>
            <rFont val="Tahoma"/>
            <family val="2"/>
          </rPr>
          <t xml:space="preserve">
The Commission required a 30-day notice to customers for this CPA.  The effective date of the commodity credit was delayed until 10/1, however the UTC is allowing us to recover the credit in a 5-month vs. 6-month period to keep with the same filing schedule.</t>
        </r>
      </text>
    </comment>
    <comment ref="A31" authorId="0">
      <text>
        <r>
          <rPr>
            <b/>
            <sz val="9"/>
            <color indexed="81"/>
            <rFont val="Tahoma"/>
            <family val="2"/>
          </rPr>
          <t xml:space="preserve">Author:
</t>
        </r>
        <r>
          <rPr>
            <sz val="9"/>
            <color indexed="81"/>
            <rFont val="Tahoma"/>
            <family val="2"/>
          </rPr>
          <t xml:space="preserve">In the commodity credit filings that became effective 3/1/18 (TG-180050; TG-180052) we received an exemption from WAC 480-70-351 (2), due to the volatility in the recycling markets.  We used a 6 month projection period to calculate the projection component of the commodity credit using the most recent 6 months of pricing, tonnage, and customer counts.  We are re-filing using a new 6 month test period, as the new commodity credit will become effective on 9/1/18 due to the 6 month test period.  Commodity markets are still volatile, so we are requesting another expemption from WAC 480-70-351 (2).
</t>
        </r>
      </text>
    </comment>
    <comment ref="D43" authorId="1">
      <text>
        <r>
          <rPr>
            <b/>
            <sz val="9"/>
            <color indexed="81"/>
            <rFont val="Tahoma"/>
            <family val="2"/>
          </rPr>
          <t>Heather Garland:</t>
        </r>
        <r>
          <rPr>
            <sz val="9"/>
            <color indexed="81"/>
            <rFont val="Tahoma"/>
            <family val="2"/>
          </rPr>
          <t xml:space="preserve">
The Commission required a 30-day notice to customers for this CPA.  The effective date of the commodity credit was delayed until 10/1, however the UTC is allowing us to recover the credit in a 5-month vs. 6-month period to keep with the same filing schedule.</t>
        </r>
      </text>
    </comment>
    <comment ref="A45" authorId="1">
      <text>
        <r>
          <rPr>
            <b/>
            <sz val="9"/>
            <color indexed="81"/>
            <rFont val="Tahoma"/>
            <family val="2"/>
          </rPr>
          <t>Heather Garland:</t>
        </r>
        <r>
          <rPr>
            <sz val="9"/>
            <color indexed="81"/>
            <rFont val="Tahoma"/>
            <family val="2"/>
          </rPr>
          <t xml:space="preserve">
There is still 6-months remaining from the 18th year 1st half true-up, because we divided that over a 12-month customer count.</t>
        </r>
      </text>
    </comment>
    <comment ref="A58" authorId="0">
      <text>
        <r>
          <rPr>
            <b/>
            <sz val="9"/>
            <color indexed="81"/>
            <rFont val="Tahoma"/>
            <family val="2"/>
          </rPr>
          <t xml:space="preserve">Author:
</t>
        </r>
        <r>
          <rPr>
            <sz val="9"/>
            <color indexed="81"/>
            <rFont val="Tahoma"/>
            <family val="2"/>
          </rPr>
          <t xml:space="preserve">In the commodity credit filings that became effective 3/1/18 (TG-180050; TG-180052) we received an exemption from WAC 480-70-351 (2), due to the volatility in the recycling markets.  We used a 6 month projection period to calculate the projection component of the commodity credit using the most recent 6 months of pricing, tonnage, and customer counts.  We are re-filing using a new 6 month test period, as the new commodity credit will become effective on 9/1/18 due to the 6 month test period.  Commodity markets are still volatile, so we are requesting another expemption from WAC 480-70-351 (2).
</t>
        </r>
      </text>
    </comment>
    <comment ref="A79" authorId="1">
      <text>
        <r>
          <rPr>
            <b/>
            <sz val="9"/>
            <color indexed="81"/>
            <rFont val="Tahoma"/>
            <family val="2"/>
          </rPr>
          <t>Heather Garland:</t>
        </r>
        <r>
          <rPr>
            <sz val="9"/>
            <color indexed="81"/>
            <rFont val="Tahoma"/>
            <family val="2"/>
          </rPr>
          <t xml:space="preserve">
The Commission required a 30-day notice to customers for this CPA.  The effective date of the commodity credit was delayed until 10/1, however the UTC is allowing us to recover the credit in a 5-month vs. 6-month period to keep with the same filing schedule.</t>
        </r>
      </text>
    </comment>
    <comment ref="A83" authorId="0">
      <text>
        <r>
          <rPr>
            <b/>
            <sz val="9"/>
            <color indexed="81"/>
            <rFont val="Tahoma"/>
            <family val="2"/>
          </rPr>
          <t xml:space="preserve">Author:
</t>
        </r>
        <r>
          <rPr>
            <sz val="9"/>
            <color indexed="81"/>
            <rFont val="Tahoma"/>
            <family val="2"/>
          </rPr>
          <t xml:space="preserve">In the commodity credit filings that became effective 3/1/18 (TG-180050; TG-180052) we received an exemption from WAC 480-70-351 (2), due to the volatility in the recycling markets.  We used a 6 month projection period to calculate the projection component of the commodity credit using the most recent 6 months of pricing, tonnage, and customer counts.  We are re-filing using a new 6 month test period, as the new commodity credit will become effective on 9/1/18 due to the 6 month test period.  Commodity markets are still volatile, so we are requesting another expemption from WAC 480-70-351 (2).
</t>
        </r>
      </text>
    </comment>
    <comment ref="D96" authorId="1">
      <text>
        <r>
          <rPr>
            <b/>
            <sz val="9"/>
            <color indexed="81"/>
            <rFont val="Tahoma"/>
            <family val="2"/>
          </rPr>
          <t>Heather Garland:</t>
        </r>
        <r>
          <rPr>
            <sz val="9"/>
            <color indexed="81"/>
            <rFont val="Tahoma"/>
            <family val="2"/>
          </rPr>
          <t xml:space="preserve">
The Commission required a 30-day notice to customers for this CPA.  The effective date of the commodity credit was delayed until 10/1, however the UTC is allowing us to recover the credit in a 5-month vs. 6-month period to keep with the same filing schedule.</t>
        </r>
      </text>
    </comment>
    <comment ref="A98" authorId="1">
      <text>
        <r>
          <rPr>
            <b/>
            <sz val="9"/>
            <color indexed="81"/>
            <rFont val="Tahoma"/>
            <family val="2"/>
          </rPr>
          <t>Heather Garland:</t>
        </r>
        <r>
          <rPr>
            <sz val="9"/>
            <color indexed="81"/>
            <rFont val="Tahoma"/>
            <family val="2"/>
          </rPr>
          <t xml:space="preserve">
There is still 6-months remaining from the 18th year 1st half true-up, because we divided that over a 12-month customer count.</t>
        </r>
      </text>
    </comment>
  </commentList>
</comments>
</file>

<file path=xl/sharedStrings.xml><?xml version="1.0" encoding="utf-8"?>
<sst xmlns="http://schemas.openxmlformats.org/spreadsheetml/2006/main" count="4811" uniqueCount="610">
  <si>
    <t>Deferred Accounting Methodology</t>
  </si>
  <si>
    <t>Company Owned Processing Center</t>
  </si>
  <si>
    <t>Residential Curbside Recycling</t>
  </si>
  <si>
    <t>To Establish Commodity Adjustment</t>
  </si>
  <si>
    <t>Using Most Recent 3 Month Averages</t>
  </si>
  <si>
    <t>Effective January 1, 1999</t>
  </si>
  <si>
    <t xml:space="preserve"> </t>
  </si>
  <si>
    <t>Per Customer</t>
  </si>
  <si>
    <t>3 Month</t>
  </si>
  <si>
    <t>Tons</t>
  </si>
  <si>
    <t>July 98</t>
  </si>
  <si>
    <t>Aug 98</t>
  </si>
  <si>
    <t>Sept 98</t>
  </si>
  <si>
    <t>Average</t>
  </si>
  <si>
    <t>Newspaper</t>
  </si>
  <si>
    <t>Mixed Paper</t>
  </si>
  <si>
    <t>Cardboard</t>
  </si>
  <si>
    <t>Glass</t>
  </si>
  <si>
    <t>Aluminum</t>
  </si>
  <si>
    <t>Tin</t>
  </si>
  <si>
    <t>PET</t>
  </si>
  <si>
    <t>HDPE</t>
  </si>
  <si>
    <t>Total Tons</t>
  </si>
  <si>
    <t>Price Per ton</t>
  </si>
  <si>
    <t>Commodity Value</t>
  </si>
  <si>
    <t>Total Commodity Value</t>
  </si>
  <si>
    <t>Customers</t>
  </si>
  <si>
    <t>Commodity Credit</t>
  </si>
  <si>
    <t>After First Year Commodity Adjustment</t>
  </si>
  <si>
    <t>Effective January 01, 2000</t>
  </si>
  <si>
    <t>Number of</t>
  </si>
  <si>
    <t>Actual</t>
  </si>
  <si>
    <t>Revenue</t>
  </si>
  <si>
    <t>October 98</t>
  </si>
  <si>
    <t>November</t>
  </si>
  <si>
    <t>December</t>
  </si>
  <si>
    <t>January 99</t>
  </si>
  <si>
    <t>February</t>
  </si>
  <si>
    <t>March</t>
  </si>
  <si>
    <t>April</t>
  </si>
  <si>
    <t>May</t>
  </si>
  <si>
    <t>June</t>
  </si>
  <si>
    <t>July</t>
  </si>
  <si>
    <t>August</t>
  </si>
  <si>
    <t>September</t>
  </si>
  <si>
    <t>Total: 12 months</t>
  </si>
  <si>
    <t>Commodity (Over) /Under  Refunded for the 12 months ended 9/30/99</t>
  </si>
  <si>
    <t>Total Customers 12 months ended September  30, 1999</t>
  </si>
  <si>
    <t>Per customer commodity credit in effect</t>
  </si>
  <si>
    <t>Total  Customer Credits</t>
  </si>
  <si>
    <t>Actual Commodity Revenue</t>
  </si>
  <si>
    <t>Total Over Refunded Customers</t>
  </si>
  <si>
    <t>Commodity Adjusting Factor:  per customer</t>
  </si>
  <si>
    <t>Revenue due company from  customers</t>
  </si>
  <si>
    <t>Most recent 3 Month average number of customers</t>
  </si>
  <si>
    <t>Revenue due company per customer</t>
  </si>
  <si>
    <t>Divide by 12 for monthly factor</t>
  </si>
  <si>
    <t>Adjustment per customer per month</t>
  </si>
  <si>
    <t>Projected Revenue next 12 months</t>
  </si>
  <si>
    <t>1999</t>
  </si>
  <si>
    <t xml:space="preserve">3 Month Average Commodity Value  </t>
  </si>
  <si>
    <t>(a)</t>
  </si>
  <si>
    <t>3 Month Average Number of Customers</t>
  </si>
  <si>
    <t>(b)</t>
  </si>
  <si>
    <t>Commodity Adjustment October 1998 thru September 1999</t>
  </si>
  <si>
    <t>(a)/(b)</t>
  </si>
  <si>
    <t>Adjusting  factor prior year</t>
  </si>
  <si>
    <t>Total Adjustment on Tariff Page</t>
  </si>
  <si>
    <t>Credit</t>
  </si>
  <si>
    <t>Effective July 1, 1997</t>
  </si>
  <si>
    <t>(Tariff Page to Expire 6/30/98)</t>
  </si>
  <si>
    <t>July 1996</t>
  </si>
  <si>
    <t>October</t>
  </si>
  <si>
    <t>January 1997</t>
  </si>
  <si>
    <t>April 1997</t>
  </si>
  <si>
    <t>Total: 10 months</t>
  </si>
  <si>
    <t>Commodity (Over) /Under  Refunded for the 10 months ended 4/30/97</t>
  </si>
  <si>
    <t>Total Customers 10 months ended April 30, 1997</t>
  </si>
  <si>
    <t>1997</t>
  </si>
  <si>
    <t>Commodity Adjustment July 1997 thru June 1998</t>
  </si>
  <si>
    <t>After First Year</t>
  </si>
  <si>
    <t>Actual Commodity Tons and Prices</t>
  </si>
  <si>
    <t>Plastic</t>
  </si>
  <si>
    <t>GLOB</t>
  </si>
  <si>
    <t xml:space="preserve">Total </t>
  </si>
  <si>
    <t>Commodity Mix Percent</t>
  </si>
  <si>
    <t>Price/Ton</t>
  </si>
  <si>
    <t>Var</t>
  </si>
  <si>
    <t>Total Value</t>
  </si>
  <si>
    <t>Total Commodity Value for 12 months</t>
  </si>
  <si>
    <t>After Second Year Commodity Adjustment</t>
  </si>
  <si>
    <t>Effective January 1, 2001</t>
  </si>
  <si>
    <t>Month</t>
  </si>
  <si>
    <t>October 1999</t>
  </si>
  <si>
    <t>January 2000</t>
  </si>
  <si>
    <t xml:space="preserve">April </t>
  </si>
  <si>
    <t>Total for Year</t>
  </si>
  <si>
    <t>Commodity  (Over) /Under  Refunded for the 12 months ended 9/30/00</t>
  </si>
  <si>
    <t>Total Customers October 1999</t>
  </si>
  <si>
    <t>Total Customers November 1999</t>
  </si>
  <si>
    <t>Total Customers December 1999</t>
  </si>
  <si>
    <t>Per Customer Commodity Credit in Effect</t>
  </si>
  <si>
    <t xml:space="preserve">Total Customer Credits </t>
  </si>
  <si>
    <t>Total Customers January 2000 thru November 2000</t>
  </si>
  <si>
    <t>Total Customer Credits</t>
  </si>
  <si>
    <t>Total Under Refunded Customer</t>
  </si>
  <si>
    <t>Commodity Adjusting Factor: per customer</t>
  </si>
  <si>
    <t>Revenue due customers</t>
  </si>
  <si>
    <t>Revenue due per customers</t>
  </si>
  <si>
    <t>2000</t>
  </si>
  <si>
    <t>Commodity Adjustment October 1999 thru September 2000</t>
  </si>
  <si>
    <t>Adjustment factor prior year</t>
  </si>
  <si>
    <t>After Second Year</t>
  </si>
  <si>
    <t>October 99</t>
  </si>
  <si>
    <t>Dec 99</t>
  </si>
  <si>
    <t>January 00</t>
  </si>
  <si>
    <t xml:space="preserve">October </t>
  </si>
  <si>
    <t>Commodity Mix</t>
  </si>
  <si>
    <t>VAR</t>
  </si>
  <si>
    <t>Total Commodity Value for 14 months</t>
  </si>
  <si>
    <t>After ThirdYear Commodity Adjustment</t>
  </si>
  <si>
    <t>Effective January 1, 2002</t>
  </si>
  <si>
    <t>October 2000</t>
  </si>
  <si>
    <t>January 2001</t>
  </si>
  <si>
    <t>Commodity  (Over) /Under  Refunded for the 12 months ended 10/31/01</t>
  </si>
  <si>
    <t>Total Customers October 2000</t>
  </si>
  <si>
    <t>Total Customers November 2000</t>
  </si>
  <si>
    <t>Total Customers December 2000</t>
  </si>
  <si>
    <t>Total Customers January 2001 thru Nov 2001</t>
  </si>
  <si>
    <t>2001</t>
  </si>
  <si>
    <t>Commodity Adjustment August  2001 thru October 2001</t>
  </si>
  <si>
    <t>After Third Year</t>
  </si>
  <si>
    <t>Co Mingled</t>
  </si>
  <si>
    <t>October 00</t>
  </si>
  <si>
    <t>Dec 00</t>
  </si>
  <si>
    <t>January 01</t>
  </si>
  <si>
    <t>Third Party Processing Center</t>
  </si>
  <si>
    <t>Multi-Family Curbside Recycling</t>
  </si>
  <si>
    <t>Effective July 1, 1996</t>
  </si>
  <si>
    <t>(Tariff Page to Expire 8/31/97)</t>
  </si>
  <si>
    <t>PerYard</t>
  </si>
  <si>
    <t>Feb 96</t>
  </si>
  <si>
    <t>March 96</t>
  </si>
  <si>
    <t>April 96</t>
  </si>
  <si>
    <t>Cans, Glass, etc.</t>
  </si>
  <si>
    <t>Yards</t>
  </si>
  <si>
    <t>After Fourth Year Commodity Adjustment</t>
  </si>
  <si>
    <t>Effective January 1, 2003</t>
  </si>
  <si>
    <t>October 2001</t>
  </si>
  <si>
    <t>January 2002</t>
  </si>
  <si>
    <t>Commodity  (Over) /Under  Refunded for the 12 months ended 11/30/01</t>
  </si>
  <si>
    <t>Total Customers October 2001</t>
  </si>
  <si>
    <t>Total Customers November 2001</t>
  </si>
  <si>
    <t>Total Customers December 2001</t>
  </si>
  <si>
    <t>Total Customers January 2002 thru Nov 2002</t>
  </si>
  <si>
    <t>2002</t>
  </si>
  <si>
    <t>Commodity Adjustment Sept  2002 thru November 2002</t>
  </si>
  <si>
    <t>After Fourth Year</t>
  </si>
  <si>
    <t>October 01</t>
  </si>
  <si>
    <t>January 02</t>
  </si>
  <si>
    <t>After Fifth Year Commodity Adjustment</t>
  </si>
  <si>
    <t>Effective January 1, 2004</t>
  </si>
  <si>
    <t>October 2002</t>
  </si>
  <si>
    <t>January 2003</t>
  </si>
  <si>
    <t>Commodity  (Over) /Under  Refunded for the 12 months ended 11/30/02</t>
  </si>
  <si>
    <t>Total Customers October 2002</t>
  </si>
  <si>
    <t>Total Customers November 2002</t>
  </si>
  <si>
    <t>Total Customers December 2002</t>
  </si>
  <si>
    <t>Total Customers January 2003 thru Nov 2003</t>
  </si>
  <si>
    <t>2003</t>
  </si>
  <si>
    <t>Commodity Adjustment Sept  2003 thru November 2003</t>
  </si>
  <si>
    <t>After Fifth Year</t>
  </si>
  <si>
    <t>October 02</t>
  </si>
  <si>
    <t>January 03</t>
  </si>
  <si>
    <t xml:space="preserve">December </t>
  </si>
  <si>
    <t>January 04</t>
  </si>
  <si>
    <t>January 2004</t>
  </si>
  <si>
    <t>October 2003</t>
  </si>
  <si>
    <t>Total Customers October 2003</t>
  </si>
  <si>
    <t>Total Customers November 2003</t>
  </si>
  <si>
    <t>Total Customers December 2003</t>
  </si>
  <si>
    <t>After Sixth Year Commodity Adjustment</t>
  </si>
  <si>
    <t>Effective March 1, 2005</t>
  </si>
  <si>
    <t>After Sixth Year</t>
  </si>
  <si>
    <t>Total Customers January 2004 thru Dec 2004</t>
  </si>
  <si>
    <t>Commodity  (Over) /Under  Refunded for the 12 months ended 12/31/03</t>
  </si>
  <si>
    <t>December 03</t>
  </si>
  <si>
    <t>Avg Customers</t>
  </si>
  <si>
    <t>Ppr</t>
  </si>
  <si>
    <t>Plas</t>
  </si>
  <si>
    <t>Total (over)/Under Refunded Customer</t>
  </si>
  <si>
    <t xml:space="preserve">February </t>
  </si>
  <si>
    <t>January 05</t>
  </si>
  <si>
    <t>Total Commodity Value for 15 months</t>
  </si>
  <si>
    <t>January 2005</t>
  </si>
  <si>
    <t>Total Customers January 2005</t>
  </si>
  <si>
    <t>Total Customers February 2005</t>
  </si>
  <si>
    <t>Total Customer Credits 2003</t>
  </si>
  <si>
    <t>Total Customer Credits 2004 $ 2005</t>
  </si>
  <si>
    <t>Under refunded to customers</t>
  </si>
  <si>
    <t>Commodity Adjustment Oct 2004 thru February 2005</t>
  </si>
  <si>
    <t>tons</t>
  </si>
  <si>
    <t>proc fee/ton</t>
  </si>
  <si>
    <t>processing fee</t>
  </si>
  <si>
    <t>total customers</t>
  </si>
  <si>
    <t>per month per customer</t>
  </si>
  <si>
    <t>Processing fee</t>
  </si>
  <si>
    <t xml:space="preserve">increase in dererred credit adjustment.  For amount </t>
  </si>
  <si>
    <t>underpaid for commodities by company</t>
  </si>
  <si>
    <t xml:space="preserve">less precessing fee not recorded.  </t>
  </si>
  <si>
    <t>comm credit appvd</t>
  </si>
  <si>
    <t>(.52-.01)</t>
  </si>
  <si>
    <t>comm credit actual</t>
  </si>
  <si>
    <t>with 30% recovery</t>
  </si>
  <si>
    <t>January</t>
  </si>
  <si>
    <t>True up rate</t>
  </si>
  <si>
    <t xml:space="preserve">New Program credit &amp; true up.  </t>
  </si>
  <si>
    <t>owe to customers</t>
  </si>
  <si>
    <t>credit is:</t>
  </si>
  <si>
    <t>Actual rate</t>
  </si>
  <si>
    <t>true up from 2004</t>
  </si>
  <si>
    <t>delay true up</t>
  </si>
  <si>
    <t>NP 6 price</t>
  </si>
  <si>
    <t>(NP 8 -$25)</t>
  </si>
  <si>
    <t>Recycle rate</t>
  </si>
  <si>
    <t xml:space="preserve"> eff Mar 05</t>
  </si>
  <si>
    <t>actual</t>
  </si>
  <si>
    <t>in rates</t>
  </si>
  <si>
    <t>Recycle tons Mar -Aug</t>
  </si>
  <si>
    <t>Avg monthly customers Mar - Aug</t>
  </si>
  <si>
    <t>Divide by avg. mo customers</t>
  </si>
  <si>
    <t>Current  recycle rate</t>
  </si>
  <si>
    <t>Current commodity credit</t>
  </si>
  <si>
    <t>Net rate</t>
  </si>
  <si>
    <t>2005 true up in.</t>
  </si>
  <si>
    <t>2005 true up left out</t>
  </si>
  <si>
    <t xml:space="preserve">to be picked up next time.  </t>
  </si>
  <si>
    <t>w/op ratio</t>
  </si>
  <si>
    <t>(thru AUG-@70%)</t>
  </si>
  <si>
    <t>Updated rate</t>
  </si>
  <si>
    <t>Updated commodity credit</t>
  </si>
  <si>
    <t>difference  6 mos 2005</t>
  </si>
  <si>
    <t>(.71/2)</t>
  </si>
  <si>
    <t>05 true up over 12 mos</t>
  </si>
  <si>
    <t>update comm values to actual</t>
  </si>
  <si>
    <t>04  old program</t>
  </si>
  <si>
    <t xml:space="preserve">increase credit true up - index versus actual  </t>
  </si>
  <si>
    <t>05 new program</t>
  </si>
  <si>
    <t>increase processing fee to $25/ton ("$0" used in 04).</t>
  </si>
  <si>
    <t xml:space="preserve">Tke the net effect as true up in 05 </t>
  </si>
  <si>
    <t>recalc recycle fee. ( $4.23 appvd. To $4.58)</t>
  </si>
  <si>
    <t xml:space="preserve">   Increase processing fee from $45 to $62.89</t>
  </si>
  <si>
    <t xml:space="preserve">  </t>
  </si>
  <si>
    <t xml:space="preserve"> Increase credit - actual comm values versus index to $1.22</t>
  </si>
  <si>
    <t>true up credit</t>
  </si>
  <si>
    <t xml:space="preserve">  $.64 from 2004</t>
  </si>
  <si>
    <t xml:space="preserve">  $.71 from 6 months in 2005.  Hold until next filing?</t>
  </si>
  <si>
    <t>OVERVIEW</t>
  </si>
  <si>
    <t>w/92% OR factor</t>
  </si>
  <si>
    <t xml:space="preserve">Jan -Dec </t>
  </si>
  <si>
    <t>Jan - Dec 2004</t>
  </si>
  <si>
    <t>Dec03-Feb05</t>
  </si>
  <si>
    <t>$17.89*5075/6=</t>
  </si>
  <si>
    <t>True up of procesing fee $.32/2=$.17</t>
  </si>
  <si>
    <t>12 months</t>
  </si>
  <si>
    <t>$1.21-.51=.71</t>
  </si>
  <si>
    <t>Recycl Explanation:</t>
  </si>
  <si>
    <t>Recycling Charge</t>
  </si>
  <si>
    <t>2004</t>
  </si>
  <si>
    <t>Net</t>
  </si>
  <si>
    <t>Credits 14-months</t>
  </si>
  <si>
    <t xml:space="preserve">3 months </t>
  </si>
  <si>
    <t>2004-2005</t>
  </si>
  <si>
    <t>Total</t>
  </si>
  <si>
    <t>Total Credits</t>
  </si>
  <si>
    <t>Actual Comm Val</t>
  </si>
  <si>
    <t xml:space="preserve">  15-months</t>
  </si>
  <si>
    <t>2003-2005</t>
  </si>
  <si>
    <t>Difference</t>
  </si>
  <si>
    <t>under refunded</t>
  </si>
  <si>
    <t>Less: processing</t>
  </si>
  <si>
    <t>Tons  15-month</t>
  </si>
  <si>
    <t xml:space="preserve">Processing </t>
  </si>
  <si>
    <t>per ton</t>
  </si>
  <si>
    <t>WUTC incorrect .34</t>
  </si>
  <si>
    <t>difference</t>
  </si>
  <si>
    <t xml:space="preserve">Additional credit </t>
  </si>
  <si>
    <t>Adj Dec 03-Feb 05</t>
  </si>
  <si>
    <t>2005</t>
  </si>
  <si>
    <t>Actual Credit</t>
  </si>
  <si>
    <t>Currently</t>
  </si>
  <si>
    <t>Recycl Tons</t>
  </si>
  <si>
    <t>Mar-Aug 05</t>
  </si>
  <si>
    <t>Actual cost</t>
  </si>
  <si>
    <t>ton</t>
  </si>
  <si>
    <t>Add processing</t>
  </si>
  <si>
    <t>Average Custo Cnt</t>
  </si>
  <si>
    <t>Add Processing</t>
  </si>
  <si>
    <t>recoup 6-mnth</t>
  </si>
  <si>
    <t>Mar-Aug 6-months</t>
  </si>
  <si>
    <t>Hauling Rate</t>
  </si>
  <si>
    <t>Current Hlg Rate</t>
  </si>
  <si>
    <t>Credits</t>
  </si>
  <si>
    <t>True up 05</t>
  </si>
  <si>
    <t>Actual Net</t>
  </si>
  <si>
    <t>Actual Impact</t>
  </si>
  <si>
    <t>Increase per month</t>
  </si>
  <si>
    <t>True up 04 (.95)</t>
  </si>
  <si>
    <t>Actual impact</t>
  </si>
  <si>
    <t>Original Estimates</t>
  </si>
  <si>
    <t>LBS per Cust</t>
  </si>
  <si>
    <t>Acutal lbs per cust</t>
  </si>
  <si>
    <t>Budget 70%</t>
  </si>
  <si>
    <t>Comp 30%</t>
  </si>
  <si>
    <t>Rebate</t>
  </si>
  <si>
    <t>Retention</t>
  </si>
  <si>
    <t xml:space="preserve">Budget </t>
  </si>
  <si>
    <t>Actual 70%</t>
  </si>
  <si>
    <t>Actual 30%</t>
  </si>
  <si>
    <t>Average price</t>
  </si>
  <si>
    <t>Av  month</t>
  </si>
  <si>
    <t>Diff</t>
  </si>
  <si>
    <t>Refunded</t>
  </si>
  <si>
    <t>Average Customers</t>
  </si>
  <si>
    <t>Budget</t>
  </si>
  <si>
    <t>Additional Retention</t>
  </si>
  <si>
    <t>make up</t>
  </si>
  <si>
    <t>per cust diff</t>
  </si>
  <si>
    <t>January 06</t>
  </si>
  <si>
    <t xml:space="preserve">March </t>
  </si>
  <si>
    <t>Mixed</t>
  </si>
  <si>
    <t>Plastics</t>
  </si>
  <si>
    <t>September 05</t>
  </si>
  <si>
    <t>Contamination</t>
  </si>
  <si>
    <t>After Seventh Year Commodity Adjustment</t>
  </si>
  <si>
    <t>January 2006</t>
  </si>
  <si>
    <t>September 2005</t>
  </si>
  <si>
    <t>Commodity  (Over) /Under  Refunded for the 12 months ended 8/31/06</t>
  </si>
  <si>
    <t>Total Customers September 2005 thru August  2006</t>
  </si>
  <si>
    <t>Total Customer Credits 2005 $ 2006</t>
  </si>
  <si>
    <t>Less:  30% (see County Program)</t>
  </si>
  <si>
    <t>Effective November 1, 2006</t>
  </si>
  <si>
    <t>Multi-Family Container Recycling</t>
  </si>
  <si>
    <t>Per Yard Commodity Credit in Effect</t>
  </si>
  <si>
    <t>Multi-Family Yards:</t>
  </si>
  <si>
    <t>Per Yard</t>
  </si>
  <si>
    <t>Total Yards September 2005 thru August  2006</t>
  </si>
  <si>
    <t>Total Yard Credits 2005 $ 2006</t>
  </si>
  <si>
    <t>Most recent 3 Month average number of yards</t>
  </si>
  <si>
    <t>Revenue due per yard</t>
  </si>
  <si>
    <t>Revenue available for refund</t>
  </si>
  <si>
    <t>Total (over)/Under Refunded Customers</t>
  </si>
  <si>
    <t>Under Refunded</t>
  </si>
  <si>
    <t>3-Months Average Commodity Value</t>
  </si>
  <si>
    <t>Projected Revenue next 12-Months</t>
  </si>
  <si>
    <t>Most recent 3-Month Average Number of Customers</t>
  </si>
  <si>
    <t>June 06</t>
  </si>
  <si>
    <t>July 06</t>
  </si>
  <si>
    <t>August 06</t>
  </si>
  <si>
    <t>Commodity Adjustment</t>
  </si>
  <si>
    <t>Adjustment per Customer per Month</t>
  </si>
  <si>
    <t>New Commodity Credit</t>
  </si>
  <si>
    <t>With 30%</t>
  </si>
  <si>
    <t>Hold Back</t>
  </si>
  <si>
    <t>Revenue Available for Refund</t>
  </si>
  <si>
    <t>Commodity Adjusting Factor: per yard</t>
  </si>
  <si>
    <t>Most recent 3-Month Average Number of Yards</t>
  </si>
  <si>
    <t>Adjustment per yard per pick-up</t>
  </si>
  <si>
    <t>Adjustment per Yard  per Pick-up</t>
  </si>
  <si>
    <t>New Commodity Credit per Pick-up</t>
  </si>
  <si>
    <t>Effective November 1, 2007</t>
  </si>
  <si>
    <t>September 2006</t>
  </si>
  <si>
    <t>After Seventh Year</t>
  </si>
  <si>
    <t>September 06</t>
  </si>
  <si>
    <t>January 07</t>
  </si>
  <si>
    <t>Commodity  (Over) /Under  Refunded for the 12 months ended 8/31/07</t>
  </si>
  <si>
    <t>Total Customers September 2006 thru August  2007</t>
  </si>
  <si>
    <t>Total Customer Credits 2006 $ 2007</t>
  </si>
  <si>
    <t>Multi-Family Recycling</t>
  </si>
  <si>
    <t>January 2007</t>
  </si>
  <si>
    <t>Total Yards September 2006 thru August  2007</t>
  </si>
  <si>
    <t>Total Yard Credits 2006 $ 2007</t>
  </si>
  <si>
    <t>June 07</t>
  </si>
  <si>
    <t>July 07</t>
  </si>
  <si>
    <t>August 07</t>
  </si>
  <si>
    <t>Price/Ton  at: 75%</t>
  </si>
  <si>
    <t>Sept-Oct 06</t>
  </si>
  <si>
    <t>Nov-Aug 07</t>
  </si>
  <si>
    <t>September 2007</t>
  </si>
  <si>
    <t>September 07</t>
  </si>
  <si>
    <t>January 08</t>
  </si>
  <si>
    <t>January 2008</t>
  </si>
  <si>
    <t>Total Yards September 2007 thru August  2008</t>
  </si>
  <si>
    <t>Total Yard Credits 2007 $ 2008</t>
  </si>
  <si>
    <t>Effective November 1, 2008</t>
  </si>
  <si>
    <t>Total Customer Credits 2007 $ 2008</t>
  </si>
  <si>
    <t>Sept-Oct 07</t>
  </si>
  <si>
    <t>Nov-Aug 08</t>
  </si>
  <si>
    <t>Total Customers September 2007 thru August  2008</t>
  </si>
  <si>
    <t>Commodity  (Over) /Under  Refunded for the 12 months ended 8/31/08</t>
  </si>
  <si>
    <t>June 08</t>
  </si>
  <si>
    <t>July 08</t>
  </si>
  <si>
    <t>August 08</t>
  </si>
  <si>
    <t>September 2008</t>
  </si>
  <si>
    <t>January 2009</t>
  </si>
  <si>
    <t>Effective November 1, 2009</t>
  </si>
  <si>
    <t>September 08</t>
  </si>
  <si>
    <t>January 09</t>
  </si>
  <si>
    <t>Sept-Oct 08</t>
  </si>
  <si>
    <t>Nov-Aug 09</t>
  </si>
  <si>
    <t>Total Yards September 2008 thru August  2009</t>
  </si>
  <si>
    <t>Commodity  (Over) /Under  Refunded for the 12 months ended 8/31/09</t>
  </si>
  <si>
    <t>Total Customers September 2008 thru August  2009</t>
  </si>
  <si>
    <t>Total Customer Credits 2008 $ 2009</t>
  </si>
  <si>
    <t>Over Refunded</t>
  </si>
  <si>
    <t>12-Month number of customers</t>
  </si>
  <si>
    <t>12-Months Commodity Value</t>
  </si>
  <si>
    <t>12-Months Number of Customers</t>
  </si>
  <si>
    <t>At 100%</t>
  </si>
  <si>
    <t>12 Month number of yards</t>
  </si>
  <si>
    <t>12-Months Number of Yards</t>
  </si>
  <si>
    <t>Adjustment per Yard per Pickup</t>
  </si>
  <si>
    <t>Commodity per Yard per Pickup</t>
  </si>
  <si>
    <t>Using 12-Month Data</t>
  </si>
  <si>
    <t xml:space="preserve">Less:  30% </t>
  </si>
  <si>
    <t>September 2009</t>
  </si>
  <si>
    <t>January 2010</t>
  </si>
  <si>
    <t>Effective November 1, 2010</t>
  </si>
  <si>
    <t>Commodity  (Over) /Under  Refunded for the 12 months ended 8/31/10</t>
  </si>
  <si>
    <t>Total Customer Credits 2009 $ 2010</t>
  </si>
  <si>
    <t>Total Yards September 2009 thru August  2010</t>
  </si>
  <si>
    <t>Sept-Oct 09</t>
  </si>
  <si>
    <t>Nov-Aug 10</t>
  </si>
  <si>
    <t>After Tenth Year Commodity Adjustment</t>
  </si>
  <si>
    <t>After Tenth  Year</t>
  </si>
  <si>
    <t>September 09</t>
  </si>
  <si>
    <t>January 10</t>
  </si>
  <si>
    <t>After Tenth Year</t>
  </si>
  <si>
    <t>Total Customers September 2009 thru August  2010</t>
  </si>
  <si>
    <t>With 50%</t>
  </si>
  <si>
    <t>Total Yard Credits 2009 &amp;  2010</t>
  </si>
  <si>
    <t>September 10</t>
  </si>
  <si>
    <t>January 11</t>
  </si>
  <si>
    <t>Effective November 1, 2011</t>
  </si>
  <si>
    <t>September 2010</t>
  </si>
  <si>
    <t>January 2011</t>
  </si>
  <si>
    <t>Total Customers September 2010 thru August  2011</t>
  </si>
  <si>
    <t>Sept-Oct 10</t>
  </si>
  <si>
    <t>Nov-Aug 11</t>
  </si>
  <si>
    <t>Less:  50% (see County Program)</t>
  </si>
  <si>
    <t>Commodity  (Over) /Under  Refunded for the 12 months ended 8/31/11</t>
  </si>
  <si>
    <t>Total Yards September 2009 thru August  2011</t>
  </si>
  <si>
    <t>Total Yard Credits 2010 &amp;  2011</t>
  </si>
  <si>
    <t xml:space="preserve">Less:  50% </t>
  </si>
  <si>
    <t>Total Customer Credits 2010 $ 2011</t>
  </si>
  <si>
    <t>Stated at 80% of Market</t>
  </si>
  <si>
    <t>September 11</t>
  </si>
  <si>
    <t>January 12</t>
  </si>
  <si>
    <t>September 2011</t>
  </si>
  <si>
    <t>January 2012</t>
  </si>
  <si>
    <t>Sept-Oct 11</t>
  </si>
  <si>
    <t>Total Customer Credits 2011 $ 2012</t>
  </si>
  <si>
    <t>Total Yard Credits 2011 &amp;  2012</t>
  </si>
  <si>
    <t>At 80%</t>
  </si>
  <si>
    <t>*</t>
  </si>
  <si>
    <t>100% less NP Adj Projected</t>
  </si>
  <si>
    <t>but paid 80%</t>
  </si>
  <si>
    <t>Total Commodity</t>
  </si>
  <si>
    <t>Value</t>
  </si>
  <si>
    <t>Adjusted per Yard per Pickup</t>
  </si>
  <si>
    <t>Commodity  (Over) /Under  Refunded for the 15 months ended 11/30/12</t>
  </si>
  <si>
    <t>Total Customers September 2011 thru November 2012</t>
  </si>
  <si>
    <t>Effective March 1, 2013</t>
  </si>
  <si>
    <t>Using 15-Month Data</t>
  </si>
  <si>
    <t>Total Yards September 2011 thru November 2012</t>
  </si>
  <si>
    <t>Nov-Nov 12</t>
  </si>
  <si>
    <t>Stated at 100% of Market</t>
  </si>
  <si>
    <t>After Thirteenth Year Commodity Adjustment</t>
  </si>
  <si>
    <t>After Thirteenth  Year</t>
  </si>
  <si>
    <t>After Twelfth Year</t>
  </si>
  <si>
    <t>After Twelfth Year Commodity Adjustment</t>
  </si>
  <si>
    <t>After Eighth Year Commodity Adjustment</t>
  </si>
  <si>
    <t>After Eighth Year</t>
  </si>
  <si>
    <t>After Nineth Year Commodity Adjustment</t>
  </si>
  <si>
    <t>After Nineth Year</t>
  </si>
  <si>
    <t>After Eleventh Year Commodity Adjustment</t>
  </si>
  <si>
    <t>After Eleventh Year</t>
  </si>
  <si>
    <t>Sept-Nov 12</t>
  </si>
  <si>
    <t>Thru-up Expired-August 31, 2012</t>
  </si>
  <si>
    <t>January 13</t>
  </si>
  <si>
    <t>January 2013</t>
  </si>
  <si>
    <t>Effective March 1, 2014</t>
  </si>
  <si>
    <t>After Fourteenth Year Commodity Adjustment</t>
  </si>
  <si>
    <t>Commodity  (Over) /Under  Refunded for the 12 months ended 11/30/13</t>
  </si>
  <si>
    <t>Total Customers December 2012 thru November 2013</t>
  </si>
  <si>
    <t>Total Customer Credits 2012 $ 2013</t>
  </si>
  <si>
    <t>Changed to 2/1/2013</t>
  </si>
  <si>
    <t>13-Month Cust</t>
  </si>
  <si>
    <t>Adj at 14th Yr</t>
  </si>
  <si>
    <t xml:space="preserve">Adjustment due to February 1, 2013 Start Date </t>
  </si>
  <si>
    <t>Feb-Nov 13</t>
  </si>
  <si>
    <t>Dec-Jan 13</t>
  </si>
  <si>
    <t>October  (SP)</t>
  </si>
  <si>
    <t>September (TRC-SP)</t>
  </si>
  <si>
    <t>November (SP)</t>
  </si>
  <si>
    <t>True-up Expired-August 31, 2012</t>
  </si>
  <si>
    <t>Effective March 1, 2015</t>
  </si>
  <si>
    <t>January 14</t>
  </si>
  <si>
    <t xml:space="preserve">September </t>
  </si>
  <si>
    <t xml:space="preserve">October  </t>
  </si>
  <si>
    <t>January 2014</t>
  </si>
  <si>
    <t>Dec Feb 14</t>
  </si>
  <si>
    <t>Mar-Nov 14</t>
  </si>
  <si>
    <t>Total Customer Credits 2013 - 2014</t>
  </si>
  <si>
    <t xml:space="preserve">True-up </t>
  </si>
  <si>
    <t>Total Customers December 2013 thru November 2014</t>
  </si>
  <si>
    <t>Commodity  (Over) /Under  Refunded for the 12 months ended 11/30/14</t>
  </si>
  <si>
    <t>Total Credits 2012 $ 2013</t>
  </si>
  <si>
    <t>December 2013</t>
  </si>
  <si>
    <t>After Fifteenth Year Commodity Adjustment</t>
  </si>
  <si>
    <t>After Fifteenth  Year</t>
  </si>
  <si>
    <t>December 2014</t>
  </si>
  <si>
    <t>January 2015</t>
  </si>
  <si>
    <t>Effective March 1, 2016</t>
  </si>
  <si>
    <t>After Sixteenth Year Commodity Adjustment</t>
  </si>
  <si>
    <t>January 15</t>
  </si>
  <si>
    <t>After Sixteenth  Year</t>
  </si>
  <si>
    <t>Natural</t>
  </si>
  <si>
    <t>Plastics 3-7</t>
  </si>
  <si>
    <t>Dec Feb 15</t>
  </si>
  <si>
    <t>Mar-Nov 15</t>
  </si>
  <si>
    <t>Total Customer Credits 2014 - 2015</t>
  </si>
  <si>
    <t>Total Customers December 2014 thru November 2015</t>
  </si>
  <si>
    <t>Total Credits 2014 $ 2015</t>
  </si>
  <si>
    <t>Commodity  (Over) /Under  Refunded for the 12 months ended 11/30/15</t>
  </si>
  <si>
    <t>Using 12-Months Data</t>
  </si>
  <si>
    <t>Murrey's Disposal Co., Inc.</t>
  </si>
  <si>
    <t>Commodity Credit Calculation</t>
  </si>
  <si>
    <t>Effective March 1, 2017</t>
  </si>
  <si>
    <t>December 2015</t>
  </si>
  <si>
    <t>January 2016</t>
  </si>
  <si>
    <t>Mar-Nov 16</t>
  </si>
  <si>
    <t>After Seventeenth  Year</t>
  </si>
  <si>
    <t>January 16</t>
  </si>
  <si>
    <t>Dec 15-Feb 16</t>
  </si>
  <si>
    <t>After Seventeenth Year Commodity Adjustment</t>
  </si>
  <si>
    <t>Calculation of  (Over) /Under Refunded for the 12 months ended 11/30/16</t>
  </si>
  <si>
    <t>Total Customer Credits Paid 2015 - 2016</t>
  </si>
  <si>
    <t>Revenue due per customer</t>
  </si>
  <si>
    <t>True-Up per Customer per Month</t>
  </si>
  <si>
    <t>16-17 Commodity Credit Projection</t>
  </si>
  <si>
    <t>16-17 Commodity Credit Projection per Yard</t>
  </si>
  <si>
    <t>True-Up per Yard per Pickup</t>
  </si>
  <si>
    <t>January 17</t>
  </si>
  <si>
    <t>After Eighteenth  Year</t>
  </si>
  <si>
    <t>Dec 16-Feb 17</t>
  </si>
  <si>
    <t>Mar-Nov 17</t>
  </si>
  <si>
    <t>Effective March 1, 2018</t>
  </si>
  <si>
    <t>Total of 6 Months</t>
  </si>
  <si>
    <t>6-Months Commodity Value</t>
  </si>
  <si>
    <t>6-Months Number of Customers</t>
  </si>
  <si>
    <t>6-Month Projection at Net Price per Ton</t>
  </si>
  <si>
    <t>December 2016</t>
  </si>
  <si>
    <t>January 2017</t>
  </si>
  <si>
    <t>17-18 Commodity Credit Projection</t>
  </si>
  <si>
    <t>December 16</t>
  </si>
  <si>
    <t>December 17</t>
  </si>
  <si>
    <t>July 17</t>
  </si>
  <si>
    <t>Total Customer Credits Paid 2016 - 2017</t>
  </si>
  <si>
    <t>Total Customer Credits Paid 2016- 2017</t>
  </si>
  <si>
    <t>Projected Revenue next 6-Months</t>
  </si>
  <si>
    <t>January 2018</t>
  </si>
  <si>
    <t>#5 PP</t>
  </si>
  <si>
    <t>MRP</t>
  </si>
  <si>
    <t>ADC</t>
  </si>
  <si>
    <t>Scrap</t>
  </si>
  <si>
    <t>Metal</t>
  </si>
  <si>
    <t>Jan-Feb 18</t>
  </si>
  <si>
    <t>January 18</t>
  </si>
  <si>
    <t>Calculation of  (Over) /Under Refunded for the 6 months ended 6.30.18</t>
  </si>
  <si>
    <t>Mar-June 18</t>
  </si>
  <si>
    <t>Bale</t>
  </si>
  <si>
    <t>Waste</t>
  </si>
  <si>
    <t>Box</t>
  </si>
  <si>
    <t>MF Tons</t>
  </si>
  <si>
    <t>Febrauary</t>
  </si>
  <si>
    <t>Murrey's/American Disposal Co., Inc.</t>
  </si>
  <si>
    <t>Refund remaining for 18th Year 1st Half True-Up</t>
  </si>
  <si>
    <t>Incorrect Customer Count 18th Year 1st Haf True-Up</t>
  </si>
  <si>
    <t>Revenue available for Refund</t>
  </si>
  <si>
    <t>Per Cust Commodity Credit in Effect</t>
  </si>
  <si>
    <t>December 2017</t>
  </si>
  <si>
    <t>Projected</t>
  </si>
  <si>
    <t>Projection @ Net</t>
  </si>
  <si>
    <t>Total Customer Credits Paid 12/2017-5/2018</t>
  </si>
  <si>
    <t>Amount due to/(from) Customer</t>
  </si>
  <si>
    <t>(Includes $45 Process Fee)</t>
  </si>
  <si>
    <t>(Net of $45 Process Fee)</t>
  </si>
  <si>
    <t>Single Family Homes</t>
  </si>
  <si>
    <t>imm</t>
  </si>
  <si>
    <t>5-Month Customer Count</t>
  </si>
  <si>
    <t>True-up effective 10/1/18</t>
  </si>
  <si>
    <t>Projection Effective 10/1/2018</t>
  </si>
  <si>
    <t>5-Month Pay Back</t>
  </si>
  <si>
    <t>Customer Notification Cost</t>
  </si>
  <si>
    <t>(now over 5-months)</t>
  </si>
  <si>
    <t xml:space="preserve">Customer Notification Cost = </t>
  </si>
  <si>
    <t>SF Customers</t>
  </si>
  <si>
    <t>MF Customers</t>
  </si>
  <si>
    <t>6-Month Test Period &amp; 5 Month True-Up - Effective October 1,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</si>
</sst>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5" formatCode="&quot;$&quot;#,##0_);\(&quot;$&quot;#,##0\)"/>
    <numFmt numFmtId="7" formatCode="&quot;$&quot;#,##0.00_);\(&quot;$&quot;#,##0.00\)"/>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409]mmm\-yy;@"/>
    <numFmt numFmtId="167" formatCode="0.000%"/>
    <numFmt numFmtId="168" formatCode="&quot;$&quot;#,##0.00"/>
    <numFmt numFmtId="169" formatCode="&quot;$&quot;#,##0"/>
    <numFmt numFmtId="170" formatCode="_(&quot;$&quot;* #,##0_);_(&quot;$&quot;* \(#,##0\);_(&quot;$&quot;* &quot;-&quot;??_);_(@_)"/>
  </numFmts>
  <fonts count="89" x14ac:knownFonts="1">
    <font>
      <sz val="12"/>
      <color indexed="8"/>
      <name val="Arial"/>
    </font>
    <font>
      <sz val="11"/>
      <color theme="1"/>
      <name val="Calibri"/>
      <family val="2"/>
      <scheme val="minor"/>
    </font>
    <font>
      <sz val="12"/>
      <name val="Arial"/>
      <family val="2"/>
    </font>
    <font>
      <sz val="10"/>
      <color indexed="8"/>
      <name val="Arial"/>
      <family val="2"/>
    </font>
    <font>
      <sz val="9"/>
      <color indexed="8"/>
      <name val="Arial"/>
      <family val="2"/>
    </font>
    <font>
      <sz val="10"/>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Arial"/>
      <family val="2"/>
    </font>
    <font>
      <u/>
      <sz val="10"/>
      <color indexed="12"/>
      <name val="Arial"/>
      <family val="2"/>
    </font>
    <font>
      <sz val="12"/>
      <name val="Courier"/>
      <family val="3"/>
    </font>
    <font>
      <sz val="11"/>
      <color indexed="8"/>
      <name val="Arial"/>
      <family val="2"/>
    </font>
    <font>
      <b/>
      <sz val="10"/>
      <color indexed="12"/>
      <name val="Arial"/>
      <family val="2"/>
    </font>
    <font>
      <b/>
      <sz val="15"/>
      <color indexed="62"/>
      <name val="Calibri"/>
      <family val="2"/>
    </font>
    <font>
      <b/>
      <sz val="13"/>
      <color indexed="62"/>
      <name val="Calibri"/>
      <family val="2"/>
    </font>
    <font>
      <b/>
      <sz val="11"/>
      <color indexed="62"/>
      <name val="Calibri"/>
      <family val="2"/>
    </font>
    <font>
      <b/>
      <sz val="11"/>
      <color indexed="61"/>
      <name val="Calibri"/>
      <family val="2"/>
    </font>
    <font>
      <u/>
      <sz val="11"/>
      <color indexed="12"/>
      <name val="Calibri"/>
      <family val="2"/>
    </font>
    <font>
      <sz val="11"/>
      <color indexed="61"/>
      <name val="Calibri"/>
      <family val="2"/>
    </font>
    <font>
      <sz val="10"/>
      <color indexed="12"/>
      <name val="Arial"/>
      <family val="2"/>
    </font>
    <font>
      <sz val="12"/>
      <name val="Helv"/>
    </font>
    <font>
      <b/>
      <sz val="14"/>
      <name val="Helv"/>
    </font>
    <font>
      <b/>
      <sz val="9"/>
      <color indexed="81"/>
      <name val="Tahoma"/>
      <family val="2"/>
    </font>
    <font>
      <sz val="9"/>
      <color indexed="81"/>
      <name val="Tahoma"/>
      <family val="2"/>
    </font>
    <font>
      <sz val="12"/>
      <color indexed="8"/>
      <name val="Arial"/>
      <family val="2"/>
    </font>
    <font>
      <sz val="11"/>
      <color indexed="8"/>
      <name val="Calibri"/>
      <family val="2"/>
    </font>
    <font>
      <sz val="10"/>
      <name val="Tahoma"/>
      <family val="2"/>
    </font>
    <font>
      <sz val="11"/>
      <color indexed="8"/>
      <name val="Calibri"/>
      <family val="2"/>
    </font>
    <font>
      <u/>
      <sz val="7.5"/>
      <color indexed="12"/>
      <name val="Arial"/>
      <family val="2"/>
    </font>
    <font>
      <sz val="11"/>
      <color rgb="FF006100"/>
      <name val="Calibri"/>
      <family val="2"/>
      <scheme val="minor"/>
    </font>
    <font>
      <u/>
      <sz val="10"/>
      <color theme="10"/>
      <name val="Arial"/>
      <family val="2"/>
    </font>
    <font>
      <u/>
      <sz val="8"/>
      <color theme="10"/>
      <name val="Arial"/>
      <family val="2"/>
    </font>
    <font>
      <sz val="11"/>
      <color theme="1"/>
      <name val="Calibri"/>
      <family val="2"/>
      <scheme val="minor"/>
    </font>
    <font>
      <sz val="11"/>
      <color rgb="FF000000"/>
      <name val="Calibri"/>
      <family val="2"/>
      <scheme val="minor"/>
    </font>
    <font>
      <sz val="12"/>
      <color indexed="8"/>
      <name val="Arial"/>
      <family val="2"/>
    </font>
    <font>
      <sz val="12"/>
      <color theme="1"/>
      <name val="Arial"/>
      <family val="2"/>
    </font>
    <font>
      <sz val="12"/>
      <color indexed="8"/>
      <name val="Arial"/>
      <family val="2"/>
    </font>
    <font>
      <b/>
      <sz val="10"/>
      <color indexed="8"/>
      <name val="Arial"/>
      <family val="2"/>
    </font>
    <font>
      <b/>
      <sz val="12"/>
      <color indexed="8"/>
      <name val="Arial"/>
      <family val="2"/>
    </font>
    <font>
      <b/>
      <sz val="10"/>
      <color rgb="FFFF0000"/>
      <name val="Arial"/>
      <family val="2"/>
    </font>
    <font>
      <sz val="10"/>
      <color rgb="FFFF0000"/>
      <name val="Arial"/>
      <family val="2"/>
    </font>
    <font>
      <b/>
      <u/>
      <sz val="10"/>
      <color indexed="8"/>
      <name val="Arial"/>
      <family val="2"/>
    </font>
    <font>
      <sz val="10"/>
      <color rgb="FF0000FF"/>
      <name val="Arial"/>
      <family val="2"/>
    </font>
    <font>
      <b/>
      <sz val="10"/>
      <color rgb="FF0000FF"/>
      <name val="Arial"/>
      <family val="2"/>
    </font>
    <font>
      <b/>
      <sz val="11"/>
      <color theme="1" tint="0.14996795556505021"/>
      <name val="Calibri"/>
      <family val="2"/>
      <scheme val="minor"/>
    </font>
    <font>
      <b/>
      <sz val="11"/>
      <name val="Century Gothic"/>
      <family val="2"/>
    </font>
    <font>
      <b/>
      <sz val="11"/>
      <color indexed="63"/>
      <name val="Calibri"/>
      <family val="2"/>
    </font>
    <font>
      <b/>
      <sz val="11"/>
      <color indexed="8"/>
      <name val="Calibri"/>
      <family val="2"/>
    </font>
    <font>
      <i/>
      <sz val="10"/>
      <color indexed="10"/>
      <name val="Arial"/>
      <family val="2"/>
    </font>
    <font>
      <sz val="10"/>
      <name val="MS Sans Serif"/>
      <family val="2"/>
    </font>
    <font>
      <b/>
      <sz val="10"/>
      <name val="MS Sans Serif"/>
      <family val="2"/>
    </font>
    <font>
      <b/>
      <sz val="18"/>
      <color indexed="61"/>
      <name val="Cambria"/>
      <family val="2"/>
    </font>
    <font>
      <b/>
      <sz val="18"/>
      <color indexed="56"/>
      <name val="Cambria"/>
      <family val="2"/>
    </font>
    <font>
      <sz val="11"/>
      <color indexed="10"/>
      <name val="Calibri"/>
      <family val="2"/>
    </font>
    <font>
      <sz val="18"/>
      <color indexed="13"/>
      <name val="Helv"/>
    </font>
    <font>
      <sz val="12"/>
      <color indexed="13"/>
      <name val="Helv"/>
    </font>
    <font>
      <sz val="8"/>
      <color indexed="10"/>
      <name val="Arial"/>
      <family val="2"/>
    </font>
    <font>
      <b/>
      <sz val="8"/>
      <name val="Arial"/>
      <family val="2"/>
    </font>
    <font>
      <b/>
      <i/>
      <sz val="8"/>
      <name val="Arial"/>
      <family val="2"/>
    </font>
    <font>
      <i/>
      <sz val="8"/>
      <color indexed="10"/>
      <name val="Arial"/>
      <family val="2"/>
    </font>
    <font>
      <b/>
      <sz val="8"/>
      <color indexed="10"/>
      <name val="ARIAL"/>
      <family val="2"/>
    </font>
    <font>
      <sz val="8"/>
      <color theme="1"/>
      <name val="Arial"/>
      <family val="2"/>
    </font>
    <font>
      <sz val="8"/>
      <color indexed="8"/>
      <name val="Arial"/>
      <family val="2"/>
    </font>
    <font>
      <b/>
      <u/>
      <sz val="8"/>
      <name val="Arial"/>
      <family val="2"/>
    </font>
    <font>
      <b/>
      <sz val="8"/>
      <color indexed="8"/>
      <name val="ARIAL"/>
      <family val="2"/>
    </font>
    <font>
      <b/>
      <i/>
      <sz val="8"/>
      <color indexed="8"/>
      <name val="Arial"/>
      <family val="2"/>
    </font>
    <font>
      <i/>
      <sz val="8"/>
      <color indexed="8"/>
      <name val="Arial"/>
      <family val="2"/>
    </font>
    <font>
      <b/>
      <u/>
      <sz val="8"/>
      <color indexed="8"/>
      <name val="ARIAL"/>
      <family val="2"/>
    </font>
    <font>
      <u/>
      <sz val="8"/>
      <color indexed="8"/>
      <name val="ARIAL"/>
      <family val="2"/>
    </font>
    <font>
      <b/>
      <u/>
      <sz val="9"/>
      <name val="Arial"/>
      <family val="2"/>
    </font>
    <font>
      <i/>
      <sz val="10"/>
      <color rgb="FFFF0000"/>
      <name val="Arial"/>
      <family val="2"/>
    </font>
    <font>
      <sz val="12"/>
      <color indexed="8"/>
      <name val="Arial"/>
      <family val="2"/>
    </font>
    <font>
      <sz val="10"/>
      <color rgb="FF008000"/>
      <name val="Arial"/>
      <family val="2"/>
    </font>
    <font>
      <b/>
      <sz val="8"/>
      <color rgb="FF0000FF"/>
      <name val="Arial"/>
      <family val="2"/>
    </font>
    <font>
      <b/>
      <i/>
      <u/>
      <sz val="8"/>
      <color rgb="FF0000FF"/>
      <name val="Arial"/>
      <family val="2"/>
    </font>
    <font>
      <b/>
      <i/>
      <sz val="10"/>
      <color rgb="FF0000FF"/>
      <name val="Arial"/>
      <family val="2"/>
    </font>
    <font>
      <sz val="12"/>
      <color rgb="FF0000FF"/>
      <name val="Arial"/>
      <family val="2"/>
    </font>
  </fonts>
  <fills count="45">
    <fill>
      <patternFill patternType="none"/>
    </fill>
    <fill>
      <patternFill patternType="gray125"/>
    </fill>
    <fill>
      <patternFill patternType="solid">
        <fgColor indexed="9"/>
        <bgColor indexed="8"/>
      </patternFill>
    </fill>
    <fill>
      <patternFill patternType="solid">
        <fgColor indexed="31"/>
      </patternFill>
    </fill>
    <fill>
      <patternFill patternType="solid">
        <fgColor indexed="22"/>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49"/>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8"/>
      </patternFill>
    </fill>
    <fill>
      <patternFill patternType="solid">
        <fgColor indexed="9"/>
      </patternFill>
    </fill>
    <fill>
      <patternFill patternType="solid">
        <fgColor indexed="55"/>
      </patternFill>
    </fill>
    <fill>
      <patternFill patternType="solid">
        <fgColor indexed="63"/>
      </patternFill>
    </fill>
    <fill>
      <patternFill patternType="solid">
        <fgColor indexed="45"/>
        <bgColor indexed="64"/>
      </patternFill>
    </fill>
    <fill>
      <patternFill patternType="solid">
        <fgColor indexed="65"/>
        <bgColor indexed="10"/>
      </patternFill>
    </fill>
    <fill>
      <patternFill patternType="gray125">
        <fgColor indexed="10"/>
      </patternFill>
    </fill>
    <fill>
      <patternFill patternType="solid">
        <fgColor indexed="22"/>
        <bgColor indexed="64"/>
      </patternFill>
    </fill>
    <fill>
      <patternFill patternType="solid">
        <fgColor indexed="13"/>
      </patternFill>
    </fill>
    <fill>
      <patternFill patternType="solid">
        <fgColor rgb="FFC6EFCE"/>
      </patternFill>
    </fill>
    <fill>
      <patternFill patternType="solid">
        <fgColor theme="4" tint="0.79998168889431442"/>
        <bgColor indexed="65"/>
      </patternFill>
    </fill>
    <fill>
      <patternFill patternType="solid">
        <fgColor theme="0"/>
        <bgColor indexed="64"/>
      </patternFill>
    </fill>
    <fill>
      <patternFill patternType="solid">
        <fgColor rgb="FFFFFFCC"/>
      </patternFill>
    </fill>
    <fill>
      <patternFill patternType="solid">
        <fgColor theme="6" tint="0.39994506668294322"/>
        <bgColor indexed="64"/>
      </patternFill>
    </fill>
    <fill>
      <patternFill patternType="solid">
        <fgColor theme="4" tint="0.39994506668294322"/>
        <bgColor indexed="64"/>
      </patternFill>
    </fill>
    <fill>
      <patternFill patternType="solid">
        <fgColor indexed="12"/>
      </patternFill>
    </fill>
    <fill>
      <patternFill patternType="solid">
        <fgColor indexed="9"/>
        <bgColor indexed="64"/>
      </patternFill>
    </fill>
    <fill>
      <patternFill patternType="solid">
        <fgColor rgb="FFFFFF00"/>
        <bgColor indexed="8"/>
      </patternFill>
    </fill>
    <fill>
      <patternFill patternType="solid">
        <fgColor theme="0"/>
        <bgColor indexed="8"/>
      </patternFill>
    </fill>
    <fill>
      <patternFill patternType="solid">
        <fgColor rgb="FF66FF33"/>
        <bgColor indexed="64"/>
      </patternFill>
    </fill>
    <fill>
      <patternFill patternType="solid">
        <fgColor theme="3" tint="0.59999389629810485"/>
        <bgColor indexed="8"/>
      </patternFill>
    </fill>
  </fills>
  <borders count="2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double">
        <color indexed="62"/>
      </left>
      <right style="double">
        <color indexed="62"/>
      </right>
      <top style="double">
        <color indexed="62"/>
      </top>
      <bottom style="double">
        <color indexed="62"/>
      </bottom>
      <diagonal/>
    </border>
    <border>
      <left/>
      <right/>
      <top/>
      <bottom style="thin">
        <color indexed="64"/>
      </bottom>
      <diagonal/>
    </border>
    <border>
      <left style="thin">
        <color indexed="8"/>
      </left>
      <right style="thin">
        <color indexed="8"/>
      </right>
      <top style="thin">
        <color indexed="8"/>
      </top>
      <bottom style="thin">
        <color indexed="8"/>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right/>
      <top/>
      <bottom style="medium">
        <color indexed="49"/>
      </bottom>
      <diagonal/>
    </border>
    <border>
      <left/>
      <right/>
      <top/>
      <bottom style="double">
        <color indexed="52"/>
      </bottom>
      <diagonal/>
    </border>
    <border>
      <left style="thin">
        <color rgb="FF7F7F7F"/>
      </left>
      <right style="thin">
        <color rgb="FF7F7F7F"/>
      </right>
      <top style="thin">
        <color rgb="FF7F7F7F"/>
      </top>
      <bottom style="thin">
        <color rgb="FF7F7F7F"/>
      </bottom>
      <diagonal/>
    </border>
    <border>
      <left/>
      <right/>
      <top style="thin">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right/>
      <top style="thin">
        <color indexed="64"/>
      </top>
      <bottom style="medium">
        <color indexed="64"/>
      </bottom>
      <diagonal/>
    </border>
    <border>
      <left style="thin">
        <color rgb="FFB2B2B2"/>
      </left>
      <right style="thin">
        <color rgb="FFB2B2B2"/>
      </right>
      <top style="thin">
        <color rgb="FFB2B2B2"/>
      </top>
      <bottom style="thin">
        <color rgb="FFB2B2B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style="thin">
        <color indexed="62"/>
      </top>
      <bottom style="double">
        <color indexed="62"/>
      </bottom>
      <diagonal/>
    </border>
    <border>
      <left/>
      <right/>
      <top style="thin">
        <color auto="1"/>
      </top>
      <bottom/>
      <diagonal/>
    </border>
    <border>
      <left style="thin">
        <color indexed="8"/>
      </left>
      <right style="thin">
        <color indexed="8"/>
      </right>
      <top style="double">
        <color indexed="8"/>
      </top>
      <bottom style="thin">
        <color indexed="8"/>
      </bottom>
      <diagonal/>
    </border>
  </borders>
  <cellStyleXfs count="8098">
    <xf numFmtId="0" fontId="0" fillId="2" borderId="0"/>
    <xf numFmtId="0" fontId="7" fillId="3"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3"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9"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12"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9"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9"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5"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3" borderId="0" applyNumberFormat="0" applyBorder="0" applyAlignment="0" applyProtection="0"/>
    <xf numFmtId="0" fontId="8" fillId="18" borderId="0" applyNumberFormat="0" applyBorder="0" applyAlignment="0" applyProtection="0"/>
    <xf numFmtId="0" fontId="8" fillId="4" borderId="0" applyNumberFormat="0" applyBorder="0" applyAlignment="0" applyProtection="0"/>
    <xf numFmtId="0" fontId="8" fillId="18"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9" borderId="0" applyNumberFormat="0" applyBorder="0" applyAlignment="0" applyProtection="0"/>
    <xf numFmtId="0" fontId="8" fillId="6"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18" borderId="0" applyNumberFormat="0" applyBorder="0" applyAlignment="0" applyProtection="0"/>
    <xf numFmtId="0" fontId="8" fillId="23"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7" borderId="0" applyNumberFormat="0" applyBorder="0" applyAlignment="0" applyProtection="0"/>
    <xf numFmtId="0" fontId="8" fillId="2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41" fontId="5" fillId="0" borderId="0"/>
    <xf numFmtId="41" fontId="5" fillId="0" borderId="0"/>
    <xf numFmtId="41" fontId="5" fillId="0" borderId="0"/>
    <xf numFmtId="41" fontId="5" fillId="0" borderId="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3" fontId="5" fillId="0" borderId="0"/>
    <xf numFmtId="3" fontId="5" fillId="0" borderId="0"/>
    <xf numFmtId="3" fontId="5" fillId="0" borderId="0"/>
    <xf numFmtId="3" fontId="5" fillId="0" borderId="0"/>
    <xf numFmtId="0" fontId="10" fillId="4" borderId="1" applyNumberFormat="0" applyAlignment="0" applyProtection="0"/>
    <xf numFmtId="0" fontId="10" fillId="25" borderId="1" applyNumberFormat="0" applyAlignment="0" applyProtection="0"/>
    <xf numFmtId="0" fontId="10" fillId="4" borderId="1" applyNumberFormat="0" applyAlignment="0" applyProtection="0"/>
    <xf numFmtId="0" fontId="11" fillId="26" borderId="2" applyNumberFormat="0" applyAlignment="0" applyProtection="0"/>
    <xf numFmtId="0" fontId="11" fillId="27" borderId="3" applyNumberFormat="0" applyAlignment="0" applyProtection="0"/>
    <xf numFmtId="0" fontId="11" fillId="26" borderId="2" applyNumberFormat="0" applyAlignment="0" applyProtection="0"/>
    <xf numFmtId="0" fontId="11" fillId="26" borderId="2" applyNumberFormat="0" applyAlignment="0" applyProtection="0"/>
    <xf numFmtId="0" fontId="5" fillId="28" borderId="0">
      <alignment horizontal="center"/>
    </xf>
    <xf numFmtId="43" fontId="5" fillId="0" borderId="0" applyFont="0" applyFill="0" applyBorder="0" applyAlignment="0" applyProtection="0"/>
    <xf numFmtId="43" fontId="5"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7" fillId="0" borderId="0" applyFont="0" applyFill="0" applyBorder="0" applyAlignment="0" applyProtection="0"/>
    <xf numFmtId="43" fontId="20" fillId="0" borderId="0" applyFont="0" applyFill="0" applyBorder="0" applyAlignment="0" applyProtection="0"/>
    <xf numFmtId="43" fontId="5"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5" fillId="0" borderId="0" applyFont="0" applyFill="0" applyBorder="0" applyAlignment="0" applyProtection="0">
      <alignment wrapText="1"/>
    </xf>
    <xf numFmtId="43" fontId="5" fillId="0" borderId="0" applyFont="0" applyFill="0" applyBorder="0" applyAlignment="0" applyProtection="0"/>
    <xf numFmtId="43" fontId="5" fillId="0" borderId="0" applyFont="0" applyFill="0" applyBorder="0" applyAlignment="0" applyProtection="0">
      <alignment wrapText="1"/>
    </xf>
    <xf numFmtId="43" fontId="5" fillId="0" borderId="0" applyFont="0" applyFill="0" applyBorder="0" applyAlignment="0" applyProtection="0"/>
    <xf numFmtId="43" fontId="5" fillId="0" borderId="0" applyFont="0" applyFill="0" applyBorder="0" applyAlignment="0" applyProtection="0"/>
    <xf numFmtId="43" fontId="7" fillId="0" borderId="0" applyFont="0" applyFill="0" applyBorder="0" applyAlignment="0" applyProtection="0"/>
    <xf numFmtId="43" fontId="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 fillId="0" borderId="0" applyFont="0" applyFill="0" applyBorder="0" applyAlignment="0" applyProtection="0"/>
    <xf numFmtId="43" fontId="20" fillId="0" borderId="0" applyFont="0" applyFill="0" applyBorder="0" applyAlignment="0" applyProtection="0"/>
    <xf numFmtId="43" fontId="3" fillId="0" borderId="0" applyFont="0" applyFill="0" applyBorder="0" applyAlignment="0" applyProtection="0">
      <alignment vertical="top"/>
    </xf>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5"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5"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5"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5"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8"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5"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5"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5"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5"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5"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5" fillId="0" borderId="0" applyFont="0" applyFill="0" applyBorder="0" applyAlignment="0" applyProtection="0"/>
    <xf numFmtId="43" fontId="39" fillId="0" borderId="0" applyFont="0" applyFill="0" applyBorder="0" applyAlignment="0" applyProtection="0"/>
    <xf numFmtId="43" fontId="5"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5"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 fontId="3" fillId="0" borderId="0"/>
    <xf numFmtId="4" fontId="3" fillId="0" borderId="0"/>
    <xf numFmtId="0" fontId="22" fillId="0" borderId="0"/>
    <xf numFmtId="0" fontId="22" fillId="0" borderId="0"/>
    <xf numFmtId="0" fontId="4" fillId="29" borderId="4" applyAlignment="0">
      <alignment horizontal="right"/>
      <protection locked="0"/>
    </xf>
    <xf numFmtId="44" fontId="20"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7" fillId="0" borderId="0" applyFont="0" applyFill="0" applyBorder="0" applyAlignment="0" applyProtection="0"/>
    <xf numFmtId="44" fontId="5"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 fillId="0" borderId="0" applyFont="0" applyFill="0" applyBorder="0" applyAlignment="0" applyProtection="0">
      <alignment vertical="top"/>
    </xf>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5"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5" fillId="0" borderId="0" applyFont="0" applyFill="0" applyBorder="0" applyAlignment="0" applyProtection="0"/>
    <xf numFmtId="44" fontId="23"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5"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5"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5"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5"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5"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5" fillId="0" borderId="0" applyFont="0" applyFill="0" applyBorder="0" applyAlignment="0" applyProtection="0"/>
    <xf numFmtId="44" fontId="23"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5"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36" fillId="0" borderId="0" applyFont="0" applyFill="0" applyBorder="0" applyAlignment="0" applyProtection="0"/>
    <xf numFmtId="44" fontId="5" fillId="0" borderId="0" applyFont="0" applyFill="0" applyBorder="0" applyAlignment="0" applyProtection="0"/>
    <xf numFmtId="44" fontId="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5"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5"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7" fillId="0" borderId="0" applyFont="0" applyFill="0" applyBorder="0" applyAlignment="0" applyProtection="0"/>
    <xf numFmtId="44" fontId="5" fillId="0" borderId="0" applyFont="0" applyFill="0" applyBorder="0" applyAlignment="0" applyProtection="0"/>
    <xf numFmtId="44" fontId="37" fillId="0" borderId="0" applyFont="0" applyFill="0" applyBorder="0" applyAlignment="0" applyProtection="0"/>
    <xf numFmtId="44" fontId="5" fillId="0" borderId="0" applyFont="0" applyFill="0" applyBorder="0" applyAlignment="0" applyProtection="0"/>
    <xf numFmtId="44" fontId="39"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38"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 fillId="0" borderId="0" applyFont="0" applyFill="0" applyBorder="0" applyAlignment="0" applyProtection="0">
      <alignment vertical="top"/>
    </xf>
    <xf numFmtId="44" fontId="20" fillId="0" borderId="0" applyFont="0" applyFill="0" applyBorder="0" applyAlignment="0" applyProtection="0"/>
    <xf numFmtId="44" fontId="5"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7" fillId="0" borderId="0" applyFont="0" applyFill="0" applyBorder="0" applyAlignment="0" applyProtection="0"/>
    <xf numFmtId="0" fontId="32" fillId="0" borderId="0"/>
    <xf numFmtId="0" fontId="32" fillId="0" borderId="0"/>
    <xf numFmtId="0" fontId="32" fillId="0" borderId="5"/>
    <xf numFmtId="0" fontId="24" fillId="30" borderId="0">
      <alignment horizontal="right"/>
      <protection locked="0"/>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5" fillId="0" borderId="0"/>
    <xf numFmtId="2" fontId="24" fillId="30" borderId="0">
      <alignment horizontal="right"/>
      <protection locked="0"/>
    </xf>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41" fillId="33" borderId="0" applyNumberFormat="0" applyBorder="0" applyAlignment="0" applyProtection="0"/>
    <xf numFmtId="0" fontId="13" fillId="7" borderId="0" applyNumberFormat="0" applyBorder="0" applyAlignment="0" applyProtection="0"/>
    <xf numFmtId="0" fontId="14" fillId="0" borderId="6" applyNumberFormat="0" applyFill="0" applyAlignment="0" applyProtection="0"/>
    <xf numFmtId="0" fontId="25" fillId="0" borderId="7" applyNumberFormat="0" applyFill="0" applyAlignment="0" applyProtection="0"/>
    <xf numFmtId="0" fontId="14" fillId="0" borderId="6" applyNumberFormat="0" applyFill="0" applyAlignment="0" applyProtection="0"/>
    <xf numFmtId="0" fontId="15" fillId="0" borderId="8" applyNumberFormat="0" applyFill="0" applyAlignment="0" applyProtection="0"/>
    <xf numFmtId="0" fontId="26" fillId="0" borderId="8" applyNumberFormat="0" applyFill="0" applyAlignment="0" applyProtection="0"/>
    <xf numFmtId="0" fontId="15" fillId="0" borderId="8" applyNumberFormat="0" applyFill="0" applyAlignment="0" applyProtection="0"/>
    <xf numFmtId="0" fontId="16" fillId="0" borderId="9" applyNumberFormat="0" applyFill="0" applyAlignment="0" applyProtection="0"/>
    <xf numFmtId="0" fontId="27" fillId="0" borderId="10" applyNumberFormat="0" applyFill="0" applyAlignment="0" applyProtection="0"/>
    <xf numFmtId="0" fontId="16" fillId="0" borderId="9" applyNumberFormat="0" applyFill="0" applyAlignment="0" applyProtection="0"/>
    <xf numFmtId="0" fontId="16" fillId="0" borderId="0" applyNumberFormat="0" applyFill="0" applyBorder="0" applyAlignment="0" applyProtection="0"/>
    <xf numFmtId="0" fontId="28"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21"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17" fillId="11" borderId="1" applyNumberFormat="0" applyAlignment="0" applyProtection="0"/>
    <xf numFmtId="0" fontId="30" fillId="14" borderId="1" applyNumberFormat="0" applyAlignment="0" applyProtection="0"/>
    <xf numFmtId="0" fontId="17" fillId="11" borderId="1" applyNumberFormat="0" applyAlignment="0" applyProtection="0"/>
    <xf numFmtId="0" fontId="17" fillId="11" borderId="1" applyNumberFormat="0" applyAlignment="0" applyProtection="0"/>
    <xf numFmtId="3" fontId="31" fillId="31" borderId="0">
      <protection locked="0"/>
    </xf>
    <xf numFmtId="4" fontId="31" fillId="31" borderId="0">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33" fillId="32" borderId="5"/>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43" fontId="5"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5"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7"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2" fontId="2" fillId="2" borderId="0"/>
    <xf numFmtId="0" fontId="44" fillId="0" borderId="0"/>
    <xf numFmtId="0" fontId="44" fillId="0" borderId="0"/>
    <xf numFmtId="0" fontId="44" fillId="0" borderId="0"/>
    <xf numFmtId="0" fontId="5"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36" fillId="2" borderId="0"/>
    <xf numFmtId="0" fontId="5" fillId="0" borderId="0"/>
    <xf numFmtId="0" fontId="5" fillId="0" borderId="0"/>
    <xf numFmtId="0" fontId="5" fillId="0" borderId="0"/>
    <xf numFmtId="0" fontId="36" fillId="2"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5"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5"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7"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5"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44" fillId="0" borderId="0"/>
    <xf numFmtId="0" fontId="44" fillId="0" borderId="0"/>
    <xf numFmtId="0" fontId="44" fillId="0" borderId="0"/>
    <xf numFmtId="0" fontId="44" fillId="0" borderId="0"/>
    <xf numFmtId="0" fontId="5" fillId="0" borderId="0"/>
    <xf numFmtId="0" fontId="7"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5"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44" fillId="0" borderId="0"/>
    <xf numFmtId="0" fontId="44" fillId="0" borderId="0"/>
    <xf numFmtId="0" fontId="36" fillId="2" borderId="0"/>
    <xf numFmtId="0" fontId="7"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5"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5"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5" fillId="0" borderId="0"/>
    <xf numFmtId="0" fontId="44" fillId="0" borderId="0"/>
    <xf numFmtId="0" fontId="44" fillId="0" borderId="0"/>
    <xf numFmtId="0" fontId="44" fillId="0" borderId="0"/>
    <xf numFmtId="0" fontId="44" fillId="0" borderId="0"/>
    <xf numFmtId="0" fontId="4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44" fillId="0" borderId="0"/>
    <xf numFmtId="0" fontId="44" fillId="0" borderId="0"/>
    <xf numFmtId="0" fontId="5" fillId="0" borderId="0"/>
    <xf numFmtId="0" fontId="7"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5"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7" fillId="0" borderId="0"/>
    <xf numFmtId="0" fontId="5" fillId="0" borderId="0"/>
    <xf numFmtId="0" fontId="4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7" fillId="0" borderId="0"/>
    <xf numFmtId="0" fontId="5" fillId="0" borderId="0"/>
    <xf numFmtId="0" fontId="7" fillId="0" borderId="0"/>
    <xf numFmtId="0" fontId="5" fillId="0" borderId="0"/>
    <xf numFmtId="0" fontId="5" fillId="0" borderId="0"/>
    <xf numFmtId="0" fontId="5" fillId="0" borderId="0">
      <alignment wrapText="1"/>
    </xf>
    <xf numFmtId="0" fontId="5" fillId="0" borderId="0">
      <alignment wrapText="1"/>
    </xf>
    <xf numFmtId="0" fontId="5" fillId="0" borderId="0"/>
    <xf numFmtId="0" fontId="5" fillId="0" borderId="0"/>
    <xf numFmtId="0" fontId="5" fillId="0" borderId="0"/>
    <xf numFmtId="0" fontId="5"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7" fillId="0" borderId="0"/>
    <xf numFmtId="0" fontId="7" fillId="0" borderId="0"/>
    <xf numFmtId="0" fontId="45" fillId="0" borderId="0"/>
    <xf numFmtId="0" fontId="7" fillId="0" borderId="0"/>
    <xf numFmtId="0" fontId="5" fillId="0" borderId="0"/>
    <xf numFmtId="0" fontId="5" fillId="0" borderId="0">
      <alignment wrapText="1"/>
    </xf>
    <xf numFmtId="0" fontId="5" fillId="0" borderId="0">
      <alignment wrapText="1"/>
    </xf>
    <xf numFmtId="0" fontId="5" fillId="0" borderId="0">
      <alignment wrapText="1"/>
    </xf>
    <xf numFmtId="0" fontId="5" fillId="0" borderId="0">
      <alignment wrapText="1"/>
    </xf>
    <xf numFmtId="0" fontId="5" fillId="0" borderId="0"/>
    <xf numFmtId="0" fontId="36" fillId="2" borderId="0"/>
    <xf numFmtId="0" fontId="5" fillId="0" borderId="0"/>
    <xf numFmtId="0" fontId="44" fillId="0" borderId="0"/>
    <xf numFmtId="0" fontId="7" fillId="0" borderId="0"/>
    <xf numFmtId="0" fontId="7" fillId="0" borderId="0"/>
    <xf numFmtId="0" fontId="45" fillId="0" borderId="0"/>
    <xf numFmtId="0" fontId="7" fillId="0" borderId="0"/>
    <xf numFmtId="0" fontId="45" fillId="0" borderId="0"/>
    <xf numFmtId="0" fontId="44" fillId="0" borderId="0"/>
    <xf numFmtId="0" fontId="3"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3" fillId="0" borderId="0">
      <alignment vertical="top"/>
    </xf>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5"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5"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5"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5"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5"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5"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5"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5"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5" fillId="0" borderId="0"/>
    <xf numFmtId="0" fontId="5" fillId="0" borderId="0"/>
    <xf numFmtId="0" fontId="5" fillId="0" borderId="0"/>
    <xf numFmtId="0" fontId="5"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5" fillId="0" borderId="0"/>
    <xf numFmtId="0" fontId="5" fillId="0" borderId="0"/>
    <xf numFmtId="0" fontId="44" fillId="0" borderId="0"/>
    <xf numFmtId="0" fontId="5" fillId="0" borderId="0"/>
    <xf numFmtId="0" fontId="44" fillId="0" borderId="0"/>
    <xf numFmtId="0" fontId="44" fillId="0" borderId="0"/>
    <xf numFmtId="0" fontId="3"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3" fillId="0" borderId="0">
      <alignment vertical="top"/>
    </xf>
    <xf numFmtId="0" fontId="44" fillId="0" borderId="0"/>
    <xf numFmtId="0" fontId="44" fillId="0" borderId="0"/>
    <xf numFmtId="0" fontId="3" fillId="0" borderId="0"/>
    <xf numFmtId="0" fontId="3" fillId="0" borderId="0"/>
    <xf numFmtId="0" fontId="3" fillId="0" borderId="0"/>
    <xf numFmtId="0" fontId="2" fillId="25" borderId="0"/>
    <xf numFmtId="0" fontId="5" fillId="0" borderId="0"/>
    <xf numFmtId="0" fontId="38" fillId="0" borderId="0"/>
    <xf numFmtId="0" fontId="5" fillId="0" borderId="0"/>
    <xf numFmtId="0" fontId="45" fillId="0" borderId="0"/>
    <xf numFmtId="0" fontId="5" fillId="0" borderId="0"/>
    <xf numFmtId="0" fontId="3" fillId="0" borderId="0">
      <alignment vertical="top"/>
    </xf>
    <xf numFmtId="0" fontId="5" fillId="0" borderId="0"/>
    <xf numFmtId="0" fontId="45" fillId="0" borderId="0"/>
    <xf numFmtId="0" fontId="5" fillId="0" borderId="0"/>
    <xf numFmtId="0" fontId="5" fillId="0" borderId="0"/>
    <xf numFmtId="0" fontId="3" fillId="0" borderId="0">
      <alignment vertical="top"/>
    </xf>
    <xf numFmtId="0" fontId="5" fillId="0" borderId="0"/>
    <xf numFmtId="0" fontId="5" fillId="0" borderId="0"/>
    <xf numFmtId="0" fontId="5" fillId="0" borderId="0"/>
    <xf numFmtId="0" fontId="5" fillId="0" borderId="0"/>
    <xf numFmtId="0" fontId="3" fillId="0" borderId="0"/>
    <xf numFmtId="0" fontId="44" fillId="0" borderId="0"/>
    <xf numFmtId="0" fontId="44" fillId="0" borderId="0"/>
    <xf numFmtId="0" fontId="44" fillId="0" borderId="0"/>
    <xf numFmtId="0" fontId="44" fillId="0" borderId="0"/>
    <xf numFmtId="0" fontId="45" fillId="0" borderId="0"/>
    <xf numFmtId="0" fontId="44" fillId="0" borderId="0"/>
    <xf numFmtId="0" fontId="5" fillId="0" borderId="0"/>
    <xf numFmtId="0" fontId="3" fillId="0" borderId="0"/>
    <xf numFmtId="0" fontId="44" fillId="0" borderId="0"/>
    <xf numFmtId="0" fontId="44" fillId="0" borderId="0"/>
    <xf numFmtId="0" fontId="44" fillId="0" borderId="0"/>
    <xf numFmtId="0" fontId="44" fillId="0" borderId="0"/>
    <xf numFmtId="0" fontId="45" fillId="0" borderId="0"/>
    <xf numFmtId="0" fontId="44" fillId="0" borderId="0"/>
    <xf numFmtId="0" fontId="5" fillId="0" borderId="0"/>
    <xf numFmtId="0" fontId="5" fillId="0" borderId="0"/>
    <xf numFmtId="0" fontId="3" fillId="0" borderId="0"/>
    <xf numFmtId="0" fontId="5" fillId="0" borderId="0"/>
    <xf numFmtId="0" fontId="3" fillId="0" borderId="0">
      <alignment vertical="top"/>
    </xf>
    <xf numFmtId="0" fontId="3" fillId="0" borderId="0"/>
    <xf numFmtId="0" fontId="5" fillId="0" borderId="0"/>
    <xf numFmtId="0" fontId="44" fillId="0" borderId="0"/>
    <xf numFmtId="0" fontId="44" fillId="0" borderId="0"/>
    <xf numFmtId="0" fontId="3" fillId="0" borderId="0"/>
    <xf numFmtId="0" fontId="5" fillId="0" borderId="0"/>
    <xf numFmtId="0" fontId="3" fillId="0" borderId="0"/>
    <xf numFmtId="0" fontId="32" fillId="0" borderId="0"/>
    <xf numFmtId="0" fontId="5"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5"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36" fillId="2"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5"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5"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5" fillId="0" borderId="0">
      <alignment wrapText="1"/>
    </xf>
    <xf numFmtId="0" fontId="5" fillId="0" borderId="0">
      <alignment vertical="top"/>
    </xf>
    <xf numFmtId="0" fontId="5" fillId="0" borderId="0"/>
    <xf numFmtId="0" fontId="5" fillId="0" borderId="0"/>
    <xf numFmtId="0" fontId="3" fillId="0" borderId="0"/>
    <xf numFmtId="0" fontId="5" fillId="0" borderId="0"/>
    <xf numFmtId="0" fontId="5" fillId="0" borderId="0"/>
    <xf numFmtId="0" fontId="3" fillId="0" borderId="0"/>
    <xf numFmtId="0" fontId="5" fillId="0" borderId="0"/>
    <xf numFmtId="0" fontId="5" fillId="0" borderId="0"/>
    <xf numFmtId="0" fontId="3" fillId="0" borderId="0"/>
    <xf numFmtId="0" fontId="44" fillId="0" borderId="0"/>
    <xf numFmtId="0" fontId="44" fillId="0" borderId="0"/>
    <xf numFmtId="0" fontId="5" fillId="0" borderId="0"/>
    <xf numFmtId="0" fontId="44" fillId="0" borderId="0"/>
    <xf numFmtId="0" fontId="44" fillId="0" borderId="0"/>
    <xf numFmtId="0" fontId="3" fillId="0" borderId="0"/>
    <xf numFmtId="0" fontId="3" fillId="0" borderId="0">
      <alignment vertical="top"/>
    </xf>
    <xf numFmtId="0" fontId="5" fillId="0" borderId="0"/>
    <xf numFmtId="0" fontId="44" fillId="0" borderId="0"/>
    <xf numFmtId="0" fontId="44" fillId="0" borderId="0"/>
    <xf numFmtId="0" fontId="3" fillId="0" borderId="0"/>
    <xf numFmtId="0" fontId="44" fillId="0" borderId="0"/>
    <xf numFmtId="0" fontId="44" fillId="0" borderId="0"/>
    <xf numFmtId="0" fontId="5" fillId="0" borderId="0"/>
    <xf numFmtId="0" fontId="3" fillId="0" borderId="0"/>
    <xf numFmtId="0" fontId="3" fillId="0" borderId="0">
      <alignment vertical="top"/>
    </xf>
    <xf numFmtId="0" fontId="5" fillId="0" borderId="0"/>
    <xf numFmtId="0" fontId="3" fillId="0" borderId="0"/>
    <xf numFmtId="0" fontId="44" fillId="0" borderId="0"/>
    <xf numFmtId="0" fontId="44" fillId="0" borderId="0"/>
    <xf numFmtId="0" fontId="5" fillId="0" borderId="0"/>
    <xf numFmtId="0" fontId="5" fillId="0" borderId="0"/>
    <xf numFmtId="0" fontId="44" fillId="0" borderId="0"/>
    <xf numFmtId="0" fontId="44" fillId="0" borderId="0"/>
    <xf numFmtId="0" fontId="5"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5" fillId="0" borderId="0"/>
    <xf numFmtId="0" fontId="44" fillId="0" borderId="0"/>
    <xf numFmtId="0" fontId="44" fillId="0" borderId="0"/>
    <xf numFmtId="0" fontId="5" fillId="0" borderId="0"/>
    <xf numFmtId="0" fontId="5" fillId="0" borderId="0"/>
    <xf numFmtId="0" fontId="5" fillId="0" borderId="0"/>
    <xf numFmtId="0" fontId="44" fillId="0" borderId="0"/>
    <xf numFmtId="0" fontId="44" fillId="0" borderId="0"/>
    <xf numFmtId="0" fontId="44" fillId="0" borderId="0"/>
    <xf numFmtId="0" fontId="44" fillId="0" borderId="0"/>
    <xf numFmtId="0" fontId="5" fillId="0" borderId="0"/>
    <xf numFmtId="0" fontId="44" fillId="0" borderId="0"/>
    <xf numFmtId="0" fontId="44" fillId="0" borderId="0"/>
    <xf numFmtId="0" fontId="44" fillId="0" borderId="0"/>
    <xf numFmtId="0" fontId="44" fillId="0" borderId="0"/>
    <xf numFmtId="0" fontId="5" fillId="0" borderId="0"/>
    <xf numFmtId="0" fontId="5" fillId="0" borderId="0">
      <alignment vertical="top"/>
    </xf>
    <xf numFmtId="0" fontId="44" fillId="0" borderId="0"/>
    <xf numFmtId="0" fontId="44" fillId="0" borderId="0"/>
    <xf numFmtId="0" fontId="44" fillId="0" borderId="0"/>
    <xf numFmtId="0" fontId="44" fillId="0" borderId="0"/>
    <xf numFmtId="0" fontId="44" fillId="0" borderId="0"/>
    <xf numFmtId="0" fontId="44" fillId="0" borderId="0"/>
    <xf numFmtId="0" fontId="5" fillId="0" borderId="0">
      <alignment vertical="top"/>
    </xf>
    <xf numFmtId="0" fontId="44" fillId="0" borderId="0"/>
    <xf numFmtId="0" fontId="44" fillId="0" borderId="0"/>
    <xf numFmtId="0" fontId="44" fillId="0" borderId="0"/>
    <xf numFmtId="0" fontId="44" fillId="0" borderId="0"/>
    <xf numFmtId="0" fontId="44" fillId="0" borderId="0"/>
    <xf numFmtId="0" fontId="5" fillId="0" borderId="0"/>
    <xf numFmtId="0" fontId="44" fillId="0" borderId="0"/>
    <xf numFmtId="0" fontId="44" fillId="0" borderId="0"/>
    <xf numFmtId="0" fontId="3" fillId="0" borderId="0">
      <alignment vertical="top"/>
    </xf>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5" fillId="0" borderId="0"/>
    <xf numFmtId="0" fontId="44" fillId="0" borderId="0"/>
    <xf numFmtId="0" fontId="44" fillId="0" borderId="0"/>
    <xf numFmtId="0" fontId="5" fillId="0" borderId="0"/>
    <xf numFmtId="0" fontId="5" fillId="0" borderId="0"/>
    <xf numFmtId="0" fontId="5" fillId="0" borderId="0"/>
    <xf numFmtId="0" fontId="5" fillId="0" borderId="0"/>
    <xf numFmtId="0" fontId="5" fillId="0" borderId="0"/>
    <xf numFmtId="0" fontId="5" fillId="0" borderId="0"/>
    <xf numFmtId="0" fontId="44" fillId="0" borderId="0"/>
    <xf numFmtId="0" fontId="44" fillId="0" borderId="0"/>
    <xf numFmtId="0" fontId="5" fillId="0" borderId="0"/>
    <xf numFmtId="0" fontId="44" fillId="0" borderId="0"/>
    <xf numFmtId="0" fontId="44" fillId="0" borderId="0"/>
    <xf numFmtId="0" fontId="5" fillId="0" borderId="0"/>
    <xf numFmtId="0" fontId="5" fillId="0" borderId="0"/>
    <xf numFmtId="0" fontId="5"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5"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5"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5" fillId="0" borderId="0"/>
    <xf numFmtId="0" fontId="44" fillId="0" borderId="0"/>
    <xf numFmtId="0" fontId="44" fillId="0" borderId="0"/>
    <xf numFmtId="2" fontId="2" fillId="2"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5" fillId="0" borderId="0">
      <alignment vertical="top"/>
    </xf>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5"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2" fillId="25"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5"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2" fontId="2" fillId="2"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3" fillId="0" borderId="0">
      <alignment vertical="top"/>
    </xf>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7"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6"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7" fillId="2" borderId="0"/>
    <xf numFmtId="0" fontId="47" fillId="2" borderId="0"/>
    <xf numFmtId="0" fontId="46"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6"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6"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6"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43" fontId="48" fillId="0" borderId="0" applyFont="0" applyFill="0" applyBorder="0" applyAlignment="0" applyProtection="0"/>
    <xf numFmtId="9" fontId="48" fillId="0" borderId="0" applyFont="0" applyFill="0" applyBorder="0" applyAlignment="0" applyProtection="0"/>
    <xf numFmtId="0" fontId="5" fillId="0" borderId="0"/>
    <xf numFmtId="0" fontId="5" fillId="0" borderId="0"/>
    <xf numFmtId="0" fontId="5"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8" borderId="16" applyNumberFormat="0" applyFont="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5" fillId="0" borderId="0"/>
    <xf numFmtId="0" fontId="1" fillId="0" borderId="0"/>
    <xf numFmtId="0" fontId="1" fillId="0" borderId="0"/>
    <xf numFmtId="9" fontId="5" fillId="0" borderId="0" applyFont="0" applyFill="0" applyBorder="0" applyAlignment="0" applyProtection="0"/>
    <xf numFmtId="0" fontId="1" fillId="34" borderId="12" applyNumberFormat="0" applyProtection="0">
      <alignment horizontal="centerContinuous" vertical="center"/>
      <protection locked="0"/>
    </xf>
    <xf numFmtId="0" fontId="56" fillId="37" borderId="13" applyBorder="0">
      <alignment horizontal="centerContinuous"/>
    </xf>
    <xf numFmtId="0" fontId="57" fillId="38" borderId="15" applyBorder="0">
      <alignment horizontal="centerContinuous"/>
    </xf>
    <xf numFmtId="0" fontId="58" fillId="4" borderId="19" applyNumberFormat="0" applyAlignment="0" applyProtection="0"/>
    <xf numFmtId="9" fontId="5" fillId="0" borderId="0" applyFont="0" applyFill="0" applyBorder="0" applyAlignment="0" applyProtection="0"/>
    <xf numFmtId="9" fontId="5" fillId="0" borderId="0" applyFont="0" applyFill="0" applyBorder="0" applyAlignment="0" applyProtection="0"/>
    <xf numFmtId="0" fontId="1" fillId="0" borderId="0"/>
    <xf numFmtId="44" fontId="1" fillId="0" borderId="0" applyFont="0" applyFill="0" applyBorder="0" applyAlignment="0" applyProtection="0"/>
    <xf numFmtId="2" fontId="2" fillId="2" borderId="0"/>
    <xf numFmtId="0" fontId="2" fillId="25" borderId="0"/>
    <xf numFmtId="0" fontId="5" fillId="36" borderId="18"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3" fillId="0" borderId="0">
      <alignment vertical="top"/>
    </xf>
    <xf numFmtId="0" fontId="3" fillId="0" borderId="0">
      <alignment vertical="top"/>
    </xf>
    <xf numFmtId="0" fontId="3" fillId="0" borderId="0">
      <alignment vertical="top"/>
    </xf>
    <xf numFmtId="0" fontId="7" fillId="0" borderId="0"/>
    <xf numFmtId="0" fontId="7" fillId="0" borderId="0"/>
    <xf numFmtId="0" fontId="7" fillId="8" borderId="16" applyNumberFormat="0" applyFont="0" applyAlignment="0" applyProtection="0"/>
    <xf numFmtId="165" fontId="60" fillId="0" borderId="0" applyNumberFormat="0"/>
    <xf numFmtId="0" fontId="58" fillId="4" borderId="19" applyNumberFormat="0" applyAlignment="0" applyProtection="0"/>
    <xf numFmtId="9" fontId="5" fillId="0" borderId="0" applyFont="0" applyFill="0" applyBorder="0" applyAlignment="0" applyProtection="0"/>
    <xf numFmtId="9" fontId="5" fillId="0" borderId="0" applyFont="0" applyFill="0" applyBorder="0" applyAlignment="0" applyProtection="0"/>
    <xf numFmtId="9" fontId="7" fillId="0" borderId="0" applyFont="0" applyFill="0" applyBorder="0" applyAlignment="0" applyProtection="0"/>
    <xf numFmtId="165" fontId="5" fillId="0" borderId="0" applyFont="0" applyFill="0" applyBorder="0" applyAlignment="0" applyProtection="0"/>
    <xf numFmtId="10" fontId="5" fillId="0" borderId="0" applyFont="0" applyFill="0" applyBorder="0" applyAlignment="0" applyProtection="0"/>
    <xf numFmtId="0" fontId="5" fillId="0" borderId="0"/>
    <xf numFmtId="0" fontId="5" fillId="0" borderId="0"/>
    <xf numFmtId="0" fontId="61" fillId="0" borderId="0" applyNumberFormat="0" applyFont="0" applyFill="0" applyBorder="0" applyAlignment="0" applyProtection="0">
      <alignment horizontal="left"/>
    </xf>
    <xf numFmtId="0" fontId="62" fillId="0" borderId="14">
      <alignment horizontal="center"/>
    </xf>
    <xf numFmtId="0" fontId="3" fillId="0" borderId="0">
      <alignment vertical="top"/>
    </xf>
    <xf numFmtId="0" fontId="3" fillId="0" borderId="0">
      <alignment vertical="top"/>
    </xf>
    <xf numFmtId="0" fontId="3" fillId="0" borderId="0" applyNumberFormat="0" applyBorder="0" applyAlignment="0"/>
    <xf numFmtId="0" fontId="63" fillId="0" borderId="0" applyNumberFormat="0" applyFill="0" applyBorder="0" applyAlignment="0" applyProtection="0"/>
    <xf numFmtId="0" fontId="64" fillId="0" borderId="0" applyNumberFormat="0" applyFill="0" applyBorder="0" applyAlignment="0" applyProtection="0"/>
    <xf numFmtId="0" fontId="59" fillId="0" borderId="20" applyNumberFormat="0" applyFill="0" applyAlignment="0" applyProtection="0"/>
    <xf numFmtId="0" fontId="59" fillId="0" borderId="21" applyNumberFormat="0" applyFill="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4" borderId="12" applyNumberFormat="0" applyProtection="0">
      <alignment horizontal="centerContinuous" vertical="center"/>
      <protection locked="0"/>
    </xf>
    <xf numFmtId="0" fontId="1" fillId="0" borderId="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34" borderId="12" applyNumberFormat="0" applyProtection="0">
      <alignment horizontal="centerContinuous" vertical="center"/>
      <protection locked="0"/>
    </xf>
    <xf numFmtId="0" fontId="3" fillId="0" borderId="0">
      <alignment vertical="top"/>
    </xf>
    <xf numFmtId="0" fontId="1" fillId="0" borderId="0"/>
    <xf numFmtId="44"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4" borderId="12" applyNumberFormat="0" applyProtection="0">
      <alignment horizontal="centerContinuous" vertical="center"/>
      <protection locked="0"/>
    </xf>
    <xf numFmtId="0" fontId="1" fillId="0" borderId="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4" borderId="12" applyNumberFormat="0" applyProtection="0">
      <alignment horizontal="centerContinuous" vertical="center"/>
      <protection locked="0"/>
    </xf>
    <xf numFmtId="0" fontId="1" fillId="0" borderId="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34" borderId="12" applyNumberFormat="0" applyProtection="0">
      <alignment horizontal="centerContinuous" vertical="center"/>
      <protection locked="0"/>
    </xf>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8" borderId="16" applyNumberFormat="0" applyFont="0" applyAlignment="0" applyProtection="0"/>
    <xf numFmtId="0" fontId="3" fillId="8" borderId="16"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5" fillId="0" borderId="0" applyFont="0" applyFill="0" applyBorder="0" applyAlignment="0" applyProtection="0"/>
    <xf numFmtId="0" fontId="32" fillId="0" borderId="0"/>
    <xf numFmtId="0" fontId="32" fillId="0" borderId="0"/>
    <xf numFmtId="0" fontId="3" fillId="0" borderId="0">
      <alignment vertical="top"/>
    </xf>
    <xf numFmtId="0" fontId="3" fillId="0" borderId="0">
      <alignment vertical="top"/>
    </xf>
    <xf numFmtId="0" fontId="3" fillId="0" borderId="0" applyNumberFormat="0" applyBorder="0" applyAlignment="0"/>
    <xf numFmtId="0" fontId="3" fillId="0" borderId="0" applyNumberFormat="0" applyBorder="0" applyAlignment="0"/>
    <xf numFmtId="0" fontId="32" fillId="0" borderId="5"/>
    <xf numFmtId="0" fontId="32" fillId="0" borderId="5"/>
    <xf numFmtId="0" fontId="66" fillId="39" borderId="0"/>
    <xf numFmtId="0" fontId="67" fillId="39" borderId="0"/>
    <xf numFmtId="0" fontId="64" fillId="0" borderId="0" applyNumberFormat="0" applyFill="0" applyBorder="0" applyAlignment="0" applyProtection="0"/>
    <xf numFmtId="0" fontId="33" fillId="0" borderId="23"/>
    <xf numFmtId="0" fontId="33" fillId="0" borderId="23"/>
    <xf numFmtId="0" fontId="33" fillId="0" borderId="5"/>
    <xf numFmtId="0" fontId="33" fillId="0" borderId="5"/>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5"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 fillId="25" borderId="0"/>
    <xf numFmtId="0" fontId="2" fillId="25"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4" borderId="12" applyNumberFormat="0" applyProtection="0">
      <alignment horizontal="centerContinuous" vertical="center"/>
      <protection locked="0"/>
    </xf>
    <xf numFmtId="0" fontId="1" fillId="0" borderId="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4" borderId="12" applyNumberFormat="0" applyProtection="0">
      <alignment horizontal="centerContinuous" vertical="center"/>
      <protection locked="0"/>
    </xf>
    <xf numFmtId="0" fontId="1" fillId="0" borderId="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34" borderId="12" applyNumberFormat="0" applyProtection="0">
      <alignment horizontal="centerContinuous" vertical="center"/>
      <protection locked="0"/>
    </xf>
    <xf numFmtId="0" fontId="1" fillId="0" borderId="0"/>
    <xf numFmtId="44"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4" borderId="12" applyNumberFormat="0" applyProtection="0">
      <alignment horizontal="centerContinuous" vertical="center"/>
      <protection locked="0"/>
    </xf>
    <xf numFmtId="0" fontId="1" fillId="0" borderId="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4" borderId="12" applyNumberFormat="0" applyProtection="0">
      <alignment horizontal="centerContinuous" vertical="center"/>
      <protection locked="0"/>
    </xf>
    <xf numFmtId="0" fontId="1" fillId="0" borderId="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34" borderId="12" applyNumberFormat="0" applyProtection="0">
      <alignment horizontal="centerContinuous" vertical="center"/>
      <protection locked="0"/>
    </xf>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4" fontId="83" fillId="0" borderId="0" applyFont="0" applyFill="0" applyBorder="0" applyAlignment="0" applyProtection="0"/>
  </cellStyleXfs>
  <cellXfs count="204">
    <xf numFmtId="0" fontId="0" fillId="2" borderId="0" xfId="0" applyNumberFormat="1" applyFill="1"/>
    <xf numFmtId="0" fontId="0" fillId="2" borderId="0" xfId="0" applyNumberFormat="1" applyFill="1"/>
    <xf numFmtId="0" fontId="3" fillId="2" borderId="0" xfId="0" applyNumberFormat="1" applyFont="1" applyFill="1"/>
    <xf numFmtId="0" fontId="0" fillId="2" borderId="0" xfId="0" applyNumberFormat="1" applyFill="1"/>
    <xf numFmtId="43" fontId="3" fillId="2" borderId="0" xfId="4477" applyFont="1" applyFill="1"/>
    <xf numFmtId="0" fontId="49" fillId="2" borderId="0" xfId="0" applyNumberFormat="1" applyFont="1" applyFill="1"/>
    <xf numFmtId="43" fontId="49" fillId="2" borderId="0" xfId="4477" applyFont="1" applyFill="1"/>
    <xf numFmtId="43" fontId="49" fillId="2" borderId="13" xfId="4477" applyFont="1" applyFill="1" applyBorder="1"/>
    <xf numFmtId="43" fontId="49" fillId="2" borderId="0" xfId="4477" applyFont="1" applyFill="1" applyAlignment="1">
      <alignment horizontal="center"/>
    </xf>
    <xf numFmtId="43" fontId="49" fillId="2" borderId="4" xfId="4477" applyFont="1" applyFill="1" applyBorder="1" applyAlignment="1">
      <alignment horizontal="center"/>
    </xf>
    <xf numFmtId="43" fontId="49" fillId="2" borderId="0" xfId="4477" applyFont="1" applyFill="1" applyBorder="1"/>
    <xf numFmtId="0" fontId="50" fillId="2" borderId="0" xfId="0" applyNumberFormat="1" applyFont="1" applyFill="1"/>
    <xf numFmtId="0" fontId="51" fillId="2" borderId="0" xfId="0" applyNumberFormat="1" applyFont="1" applyFill="1"/>
    <xf numFmtId="0" fontId="52" fillId="2" borderId="0" xfId="0" applyNumberFormat="1" applyFont="1" applyFill="1"/>
    <xf numFmtId="43" fontId="52" fillId="2" borderId="0" xfId="4477" applyFont="1" applyFill="1"/>
    <xf numFmtId="0" fontId="3" fillId="2" borderId="0" xfId="0" quotePrefix="1" applyNumberFormat="1" applyFont="1" applyFill="1"/>
    <xf numFmtId="9" fontId="3" fillId="2" borderId="0" xfId="4478" applyFont="1" applyFill="1"/>
    <xf numFmtId="43" fontId="51" fillId="2" borderId="0" xfId="4477" applyFont="1" applyFill="1"/>
    <xf numFmtId="0" fontId="49" fillId="2" borderId="4" xfId="0" applyNumberFormat="1" applyFont="1" applyFill="1" applyBorder="1"/>
    <xf numFmtId="0" fontId="5" fillId="2" borderId="0" xfId="0" applyNumberFormat="1" applyFont="1" applyFill="1"/>
    <xf numFmtId="43" fontId="5" fillId="2" borderId="0" xfId="4477" applyFont="1" applyFill="1"/>
    <xf numFmtId="0" fontId="53" fillId="2" borderId="0" xfId="0" applyNumberFormat="1" applyFont="1" applyFill="1"/>
    <xf numFmtId="164" fontId="3" fillId="2" borderId="0" xfId="4477" applyNumberFormat="1" applyFont="1" applyFill="1"/>
    <xf numFmtId="164" fontId="49" fillId="2" borderId="13" xfId="4477" applyNumberFormat="1" applyFont="1" applyFill="1" applyBorder="1"/>
    <xf numFmtId="164" fontId="5" fillId="2" borderId="0" xfId="4477" applyNumberFormat="1" applyFont="1" applyFill="1"/>
    <xf numFmtId="0" fontId="54" fillId="2" borderId="0" xfId="0" applyNumberFormat="1" applyFont="1" applyFill="1"/>
    <xf numFmtId="0" fontId="55" fillId="2" borderId="0" xfId="0" applyNumberFormat="1" applyFont="1" applyFill="1"/>
    <xf numFmtId="43" fontId="55" fillId="2" borderId="0" xfId="4477" applyFont="1" applyFill="1"/>
    <xf numFmtId="43" fontId="54" fillId="2" borderId="0" xfId="4477" applyFont="1" applyFill="1"/>
    <xf numFmtId="0" fontId="36" fillId="42" borderId="0" xfId="1348" applyNumberFormat="1" applyFill="1" applyBorder="1"/>
    <xf numFmtId="39" fontId="6" fillId="35" borderId="4" xfId="6333" applyNumberFormat="1" applyFont="1" applyFill="1" applyBorder="1" applyAlignment="1">
      <alignment horizontal="center"/>
    </xf>
    <xf numFmtId="165" fontId="0" fillId="2" borderId="0" xfId="4525" applyNumberFormat="1" applyFont="1" applyFill="1" applyBorder="1"/>
    <xf numFmtId="43" fontId="3" fillId="2" borderId="4" xfId="4477" applyFont="1" applyFill="1" applyBorder="1"/>
    <xf numFmtId="43" fontId="3" fillId="44" borderId="0" xfId="4477" applyFont="1" applyFill="1"/>
    <xf numFmtId="7" fontId="54" fillId="2" borderId="0" xfId="4477" applyNumberFormat="1" applyFont="1" applyFill="1"/>
    <xf numFmtId="37" fontId="6" fillId="43" borderId="4" xfId="6334" applyNumberFormat="1" applyFont="1" applyFill="1" applyBorder="1"/>
    <xf numFmtId="43" fontId="0" fillId="2" borderId="0" xfId="105" applyFont="1" applyFill="1" applyBorder="1"/>
    <xf numFmtId="44" fontId="6" fillId="0" borderId="0" xfId="611" applyFont="1" applyFill="1" applyBorder="1" applyAlignment="1">
      <alignment horizontal="center"/>
    </xf>
    <xf numFmtId="39" fontId="74" fillId="2" borderId="0" xfId="1348" applyNumberFormat="1" applyFont="1" applyBorder="1"/>
    <xf numFmtId="0" fontId="74" fillId="2" borderId="0" xfId="1348" applyFont="1" applyBorder="1"/>
    <xf numFmtId="44" fontId="74" fillId="0" borderId="4" xfId="611" applyFont="1" applyFill="1" applyBorder="1" applyAlignment="1">
      <alignment horizontal="center"/>
    </xf>
    <xf numFmtId="44" fontId="74" fillId="0" borderId="0" xfId="611" applyFont="1" applyFill="1" applyBorder="1" applyAlignment="1">
      <alignment horizontal="center"/>
    </xf>
    <xf numFmtId="43" fontId="36" fillId="2" borderId="0" xfId="1348" applyNumberFormat="1" applyFill="1" applyBorder="1"/>
    <xf numFmtId="43" fontId="74" fillId="2" borderId="0" xfId="1348" applyNumberFormat="1" applyFont="1" applyFill="1" applyBorder="1"/>
    <xf numFmtId="168" fontId="76" fillId="2" borderId="0" xfId="1348" applyNumberFormat="1" applyFont="1" applyFill="1" applyBorder="1"/>
    <xf numFmtId="4" fontId="74" fillId="2" borderId="0" xfId="1348" applyNumberFormat="1" applyFont="1" applyFill="1" applyBorder="1"/>
    <xf numFmtId="43" fontId="6" fillId="0" borderId="0" xfId="6333" applyNumberFormat="1" applyFont="1" applyFill="1" applyBorder="1" applyAlignment="1">
      <alignment horizontal="center"/>
    </xf>
    <xf numFmtId="39" fontId="76" fillId="2" borderId="0" xfId="1348" applyNumberFormat="1" applyFont="1" applyFill="1" applyBorder="1"/>
    <xf numFmtId="0" fontId="76" fillId="2" borderId="0" xfId="1348" applyNumberFormat="1" applyFont="1" applyFill="1" applyBorder="1" applyAlignment="1">
      <alignment horizontal="center"/>
    </xf>
    <xf numFmtId="2" fontId="6" fillId="35" borderId="0" xfId="6333" applyNumberFormat="1" applyFont="1" applyFill="1" applyBorder="1" applyAlignment="1">
      <alignment horizontal="center"/>
    </xf>
    <xf numFmtId="39" fontId="6" fillId="35" borderId="0" xfId="6333" applyNumberFormat="1" applyFont="1" applyFill="1" applyBorder="1" applyAlignment="1">
      <alignment horizontal="center"/>
    </xf>
    <xf numFmtId="39" fontId="74" fillId="35" borderId="0" xfId="6333" applyNumberFormat="1" applyFont="1" applyFill="1" applyBorder="1" applyAlignment="1">
      <alignment horizontal="right"/>
    </xf>
    <xf numFmtId="39" fontId="74" fillId="35" borderId="0" xfId="6333" applyNumberFormat="1" applyFont="1" applyFill="1" applyBorder="1" applyAlignment="1">
      <alignment horizontal="center"/>
    </xf>
    <xf numFmtId="39" fontId="74" fillId="0" borderId="0" xfId="1348" applyNumberFormat="1" applyFont="1" applyFill="1" applyBorder="1"/>
    <xf numFmtId="0" fontId="76" fillId="2" borderId="0" xfId="1348" applyNumberFormat="1" applyFont="1" applyFill="1" applyBorder="1"/>
    <xf numFmtId="0" fontId="74" fillId="2" borderId="0" xfId="1348" applyNumberFormat="1" applyFont="1" applyFill="1" applyBorder="1"/>
    <xf numFmtId="0" fontId="36" fillId="2" borderId="17" xfId="1348" applyNumberFormat="1" applyFill="1" applyBorder="1"/>
    <xf numFmtId="7" fontId="6" fillId="35" borderId="0" xfId="6334" applyNumberFormat="1" applyFont="1" applyFill="1" applyBorder="1" applyAlignment="1">
      <alignment horizontal="center"/>
    </xf>
    <xf numFmtId="3" fontId="6" fillId="35" borderId="0" xfId="6334" applyNumberFormat="1" applyFont="1" applyFill="1" applyBorder="1"/>
    <xf numFmtId="44" fontId="69" fillId="0" borderId="22" xfId="611" applyFont="1" applyFill="1" applyBorder="1"/>
    <xf numFmtId="37" fontId="69" fillId="0" borderId="22" xfId="6334" applyNumberFormat="1" applyFont="1" applyFill="1" applyBorder="1"/>
    <xf numFmtId="0" fontId="69" fillId="0" borderId="22" xfId="6334" applyNumberFormat="1" applyFont="1" applyFill="1" applyBorder="1"/>
    <xf numFmtId="44" fontId="6" fillId="0" borderId="0" xfId="6334" applyNumberFormat="1" applyFont="1" applyFill="1" applyBorder="1" applyAlignment="1">
      <alignment horizontal="right"/>
    </xf>
    <xf numFmtId="0" fontId="81" fillId="0" borderId="0" xfId="140" applyNumberFormat="1" applyFont="1"/>
    <xf numFmtId="37" fontId="6" fillId="35" borderId="0" xfId="6334" applyNumberFormat="1" applyFont="1" applyFill="1" applyBorder="1"/>
    <xf numFmtId="0" fontId="36" fillId="2" borderId="0" xfId="1348" applyNumberFormat="1" applyFill="1" applyBorder="1"/>
    <xf numFmtId="43" fontId="3" fillId="41" borderId="0" xfId="4477" applyFont="1" applyFill="1"/>
    <xf numFmtId="9" fontId="74" fillId="2" borderId="0" xfId="1348" applyNumberFormat="1" applyFont="1" applyFill="1" applyBorder="1"/>
    <xf numFmtId="0" fontId="52" fillId="2" borderId="0" xfId="0" applyNumberFormat="1" applyFont="1" applyFill="1" applyAlignment="1">
      <alignment horizontal="right"/>
    </xf>
    <xf numFmtId="0" fontId="3" fillId="44" borderId="0" xfId="0" applyNumberFormat="1" applyFont="1" applyFill="1"/>
    <xf numFmtId="43" fontId="51" fillId="2" borderId="17" xfId="4477" applyFont="1" applyFill="1" applyBorder="1"/>
    <xf numFmtId="0" fontId="51" fillId="2" borderId="17" xfId="0" applyNumberFormat="1" applyFont="1" applyFill="1" applyBorder="1"/>
    <xf numFmtId="37" fontId="6" fillId="43" borderId="0" xfId="6334" applyNumberFormat="1" applyFont="1" applyFill="1" applyBorder="1"/>
    <xf numFmtId="4" fontId="74" fillId="42" borderId="0" xfId="1348" applyNumberFormat="1" applyFont="1" applyFill="1" applyBorder="1"/>
    <xf numFmtId="0" fontId="80" fillId="35" borderId="0" xfId="6333" applyNumberFormat="1" applyFont="1" applyFill="1" applyBorder="1"/>
    <xf numFmtId="16" fontId="76" fillId="0" borderId="0" xfId="6333" quotePrefix="1" applyNumberFormat="1" applyFont="1" applyFill="1" applyBorder="1"/>
    <xf numFmtId="4" fontId="74" fillId="2" borderId="0" xfId="1348" applyNumberFormat="1" applyFont="1" applyBorder="1"/>
    <xf numFmtId="168" fontId="74" fillId="2" borderId="0" xfId="1348" applyNumberFormat="1" applyFont="1" applyFill="1" applyBorder="1"/>
    <xf numFmtId="39" fontId="6" fillId="35" borderId="4" xfId="6333" applyNumberFormat="1" applyFont="1" applyFill="1" applyBorder="1" applyAlignment="1">
      <alignment horizontal="right"/>
    </xf>
    <xf numFmtId="39" fontId="74" fillId="2" borderId="0" xfId="1348" applyNumberFormat="1" applyFont="1" applyFill="1" applyBorder="1"/>
    <xf numFmtId="39" fontId="6" fillId="35" borderId="0" xfId="6333" applyNumberFormat="1" applyFont="1" applyFill="1" applyBorder="1" applyAlignment="1">
      <alignment horizontal="right"/>
    </xf>
    <xf numFmtId="0" fontId="50" fillId="2" borderId="17" xfId="1348" applyNumberFormat="1" applyFont="1" applyFill="1" applyBorder="1"/>
    <xf numFmtId="43" fontId="49" fillId="2" borderId="0" xfId="4477" applyFont="1" applyFill="1" applyBorder="1" applyAlignment="1">
      <alignment horizontal="center"/>
    </xf>
    <xf numFmtId="0" fontId="49" fillId="2" borderId="0" xfId="0" applyNumberFormat="1" applyFont="1" applyFill="1" applyBorder="1"/>
    <xf numFmtId="168" fontId="76" fillId="0" borderId="0" xfId="6333" applyNumberFormat="1" applyFont="1" applyFill="1" applyBorder="1" applyAlignment="1">
      <alignment horizontal="right"/>
    </xf>
    <xf numFmtId="168" fontId="76" fillId="0" borderId="0" xfId="6333" applyNumberFormat="1" applyFont="1" applyFill="1" applyBorder="1" applyAlignment="1">
      <alignment horizontal="center"/>
    </xf>
    <xf numFmtId="4" fontId="76" fillId="0" borderId="0" xfId="6333" applyNumberFormat="1" applyFont="1" applyFill="1" applyBorder="1"/>
    <xf numFmtId="10" fontId="74" fillId="0" borderId="0" xfId="6333" applyNumberFormat="1" applyFont="1" applyFill="1" applyBorder="1"/>
    <xf numFmtId="39" fontId="76" fillId="0" borderId="0" xfId="6333" applyNumberFormat="1" applyFont="1" applyFill="1" applyBorder="1" applyAlignment="1">
      <alignment horizontal="right"/>
    </xf>
    <xf numFmtId="0" fontId="76" fillId="0" borderId="0" xfId="6333" applyNumberFormat="1" applyFont="1" applyFill="1" applyBorder="1" applyAlignment="1">
      <alignment horizontal="left"/>
    </xf>
    <xf numFmtId="4" fontId="6" fillId="0" borderId="0" xfId="6333" applyNumberFormat="1" applyFont="1" applyFill="1" applyBorder="1"/>
    <xf numFmtId="4" fontId="6" fillId="31" borderId="0" xfId="6333" applyNumberFormat="1" applyFont="1" applyFill="1" applyBorder="1"/>
    <xf numFmtId="0" fontId="6" fillId="31" borderId="0" xfId="6333" applyNumberFormat="1" applyFont="1" applyFill="1" applyBorder="1"/>
    <xf numFmtId="4" fontId="76" fillId="0" borderId="0" xfId="6333" applyNumberFormat="1" applyFont="1" applyFill="1" applyBorder="1" applyAlignment="1">
      <alignment horizontal="center"/>
    </xf>
    <xf numFmtId="37" fontId="76" fillId="0" borderId="0" xfId="6333" applyNumberFormat="1" applyFont="1" applyFill="1" applyBorder="1" applyAlignment="1">
      <alignment horizontal="center"/>
    </xf>
    <xf numFmtId="4" fontId="74" fillId="0" borderId="4" xfId="6333" applyNumberFormat="1" applyFont="1" applyFill="1" applyBorder="1" applyAlignment="1">
      <alignment horizontal="center"/>
    </xf>
    <xf numFmtId="39" fontId="74" fillId="0" borderId="4" xfId="6333" applyNumberFormat="1" applyFont="1" applyFill="1" applyBorder="1" applyAlignment="1">
      <alignment horizontal="center"/>
    </xf>
    <xf numFmtId="7" fontId="76" fillId="0" borderId="0" xfId="6333" applyNumberFormat="1" applyFont="1" applyFill="1" applyBorder="1" applyAlignment="1">
      <alignment horizontal="center"/>
    </xf>
    <xf numFmtId="4" fontId="74" fillId="0" borderId="0" xfId="6333" applyNumberFormat="1" applyFont="1" applyFill="1" applyBorder="1" applyAlignment="1">
      <alignment horizontal="center"/>
    </xf>
    <xf numFmtId="7" fontId="6" fillId="0" borderId="0" xfId="6333" applyNumberFormat="1" applyFont="1" applyFill="1" applyBorder="1" applyAlignment="1">
      <alignment horizontal="center"/>
    </xf>
    <xf numFmtId="0" fontId="79" fillId="0" borderId="0" xfId="6333" applyNumberFormat="1" applyFont="1" applyFill="1" applyBorder="1"/>
    <xf numFmtId="7" fontId="74" fillId="0" borderId="0" xfId="6333" applyNumberFormat="1" applyFont="1" applyFill="1" applyBorder="1" applyAlignment="1">
      <alignment horizontal="center"/>
    </xf>
    <xf numFmtId="10" fontId="74" fillId="0" borderId="0" xfId="6333" applyNumberFormat="1" applyFont="1" applyFill="1" applyBorder="1" applyAlignment="1">
      <alignment horizontal="center"/>
    </xf>
    <xf numFmtId="39" fontId="76" fillId="0" borderId="0" xfId="6333" applyNumberFormat="1" applyFont="1" applyFill="1" applyBorder="1" applyAlignment="1">
      <alignment horizontal="center"/>
    </xf>
    <xf numFmtId="0" fontId="74" fillId="0" borderId="0" xfId="6333" quotePrefix="1" applyNumberFormat="1" applyFont="1" applyFill="1" applyBorder="1"/>
    <xf numFmtId="39" fontId="74" fillId="0" borderId="0" xfId="6333" applyNumberFormat="1" applyFont="1" applyFill="1" applyBorder="1" applyAlignment="1">
      <alignment horizontal="right"/>
    </xf>
    <xf numFmtId="16" fontId="74" fillId="0" borderId="0" xfId="6333" quotePrefix="1" applyNumberFormat="1" applyFont="1" applyFill="1" applyBorder="1"/>
    <xf numFmtId="39" fontId="6" fillId="0" borderId="0" xfId="6333" applyNumberFormat="1" applyFont="1" applyFill="1" applyBorder="1" applyAlignment="1">
      <alignment horizontal="right"/>
    </xf>
    <xf numFmtId="39" fontId="74" fillId="0" borderId="0" xfId="6333" applyNumberFormat="1" applyFont="1" applyFill="1" applyBorder="1" applyAlignment="1">
      <alignment horizontal="center"/>
    </xf>
    <xf numFmtId="39" fontId="6" fillId="0" borderId="0" xfId="6333" applyNumberFormat="1" applyFont="1" applyFill="1" applyBorder="1" applyAlignment="1">
      <alignment horizontal="center"/>
    </xf>
    <xf numFmtId="0" fontId="79" fillId="0" borderId="0" xfId="6333" applyNumberFormat="1" applyFont="1" applyFill="1" applyBorder="1" applyAlignment="1">
      <alignment horizontal="left"/>
    </xf>
    <xf numFmtId="0" fontId="76" fillId="0" borderId="4" xfId="6333" applyNumberFormat="1" applyFont="1" applyFill="1" applyBorder="1" applyAlignment="1">
      <alignment horizontal="center"/>
    </xf>
    <xf numFmtId="0" fontId="76" fillId="0" borderId="0" xfId="6333" applyNumberFormat="1" applyFont="1" applyFill="1" applyBorder="1"/>
    <xf numFmtId="0" fontId="78" fillId="0" borderId="0" xfId="6333" applyNumberFormat="1" applyFont="1" applyFill="1" applyBorder="1"/>
    <xf numFmtId="0" fontId="77" fillId="0" borderId="0" xfId="6333" applyNumberFormat="1" applyFont="1" applyFill="1" applyBorder="1"/>
    <xf numFmtId="0" fontId="76" fillId="0" borderId="0" xfId="6333" applyNumberFormat="1" applyFont="1" applyFill="1" applyBorder="1" applyAlignment="1">
      <alignment horizontal="center"/>
    </xf>
    <xf numFmtId="0" fontId="74" fillId="0" borderId="0" xfId="6333" applyNumberFormat="1" applyFont="1" applyFill="1" applyBorder="1" applyAlignment="1">
      <alignment horizontal="center"/>
    </xf>
    <xf numFmtId="0" fontId="74" fillId="0" borderId="0" xfId="6333" applyNumberFormat="1" applyFont="1" applyFill="1" applyBorder="1"/>
    <xf numFmtId="0" fontId="6" fillId="0" borderId="0" xfId="6333" applyNumberFormat="1" applyFont="1" applyFill="1" applyBorder="1"/>
    <xf numFmtId="0" fontId="6" fillId="0" borderId="0" xfId="6334" applyNumberFormat="1" applyFont="1" applyFill="1" applyBorder="1" applyAlignment="1">
      <alignment horizontal="left"/>
    </xf>
    <xf numFmtId="168" fontId="6" fillId="0" borderId="0" xfId="6334" applyNumberFormat="1" applyFont="1" applyFill="1" applyBorder="1" applyAlignment="1">
      <alignment horizontal="right"/>
    </xf>
    <xf numFmtId="7" fontId="6" fillId="0" borderId="0" xfId="6334" applyNumberFormat="1" applyFont="1" applyFill="1" applyBorder="1" applyAlignment="1">
      <alignment horizontal="right"/>
    </xf>
    <xf numFmtId="37" fontId="6" fillId="0" borderId="0" xfId="6334" applyNumberFormat="1" applyFont="1" applyFill="1" applyBorder="1" applyAlignment="1">
      <alignment horizontal="right"/>
    </xf>
    <xf numFmtId="5" fontId="6" fillId="0" borderId="0" xfId="6334" applyNumberFormat="1" applyFont="1" applyFill="1" applyBorder="1" applyAlignment="1">
      <alignment horizontal="right"/>
    </xf>
    <xf numFmtId="7" fontId="72" fillId="0" borderId="0" xfId="6334" applyNumberFormat="1" applyFont="1" applyFill="1" applyBorder="1" applyAlignment="1">
      <alignment horizontal="center"/>
    </xf>
    <xf numFmtId="3" fontId="69" fillId="0" borderId="0" xfId="6334" applyNumberFormat="1" applyFont="1" applyFill="1" applyBorder="1"/>
    <xf numFmtId="3" fontId="6" fillId="0" borderId="4" xfId="6334" applyNumberFormat="1" applyFont="1" applyFill="1" applyBorder="1" applyAlignment="1">
      <alignment horizontal="right"/>
    </xf>
    <xf numFmtId="3" fontId="73" fillId="0" borderId="0" xfId="6334" applyNumberFormat="1" applyFont="1" applyFill="1" applyBorder="1" applyAlignment="1">
      <alignment horizontal="right"/>
    </xf>
    <xf numFmtId="3" fontId="6" fillId="0" borderId="0" xfId="6334" applyNumberFormat="1" applyFont="1" applyFill="1" applyBorder="1" applyAlignment="1">
      <alignment horizontal="right"/>
    </xf>
    <xf numFmtId="17" fontId="6" fillId="0" borderId="0" xfId="6334" quotePrefix="1" applyNumberFormat="1" applyFont="1" applyFill="1" applyBorder="1"/>
    <xf numFmtId="0" fontId="72" fillId="0" borderId="4" xfId="6334" applyNumberFormat="1" applyFont="1" applyFill="1" applyBorder="1" applyAlignment="1">
      <alignment horizontal="center"/>
    </xf>
    <xf numFmtId="0" fontId="72" fillId="0" borderId="0" xfId="6334" applyNumberFormat="1" applyFont="1" applyFill="1" applyBorder="1" applyAlignment="1">
      <alignment horizontal="center"/>
    </xf>
    <xf numFmtId="0" fontId="68" fillId="31" borderId="0" xfId="6334" applyNumberFormat="1" applyFont="1" applyFill="1" applyBorder="1"/>
    <xf numFmtId="168" fontId="69" fillId="0" borderId="0" xfId="6334" applyNumberFormat="1" applyFont="1" applyFill="1" applyBorder="1"/>
    <xf numFmtId="168" fontId="69" fillId="0" borderId="17" xfId="6334" applyNumberFormat="1" applyFont="1" applyFill="1" applyBorder="1"/>
    <xf numFmtId="0" fontId="69" fillId="0" borderId="17" xfId="6334" applyNumberFormat="1" applyFont="1" applyFill="1" applyBorder="1" applyAlignment="1">
      <alignment horizontal="right"/>
    </xf>
    <xf numFmtId="0" fontId="69" fillId="0" borderId="0" xfId="6334" applyNumberFormat="1" applyFont="1" applyFill="1" applyBorder="1" applyAlignment="1">
      <alignment horizontal="right"/>
    </xf>
    <xf numFmtId="168" fontId="6" fillId="0" borderId="0" xfId="6334" applyNumberFormat="1" applyFont="1" applyFill="1" applyBorder="1"/>
    <xf numFmtId="169" fontId="6" fillId="0" borderId="0" xfId="6334" applyNumberFormat="1" applyFont="1" applyFill="1" applyBorder="1" applyAlignment="1">
      <alignment horizontal="right"/>
    </xf>
    <xf numFmtId="169" fontId="6" fillId="0" borderId="0" xfId="6334" applyNumberFormat="1" applyFont="1" applyFill="1" applyBorder="1"/>
    <xf numFmtId="168" fontId="6" fillId="0" borderId="0" xfId="6334" applyNumberFormat="1" applyFont="1" applyFill="1" applyBorder="1" applyAlignment="1">
      <alignment horizontal="center"/>
    </xf>
    <xf numFmtId="0" fontId="6" fillId="0" borderId="0" xfId="6334" applyNumberFormat="1" applyFont="1" applyFill="1" applyBorder="1" applyAlignment="1">
      <alignment horizontal="center"/>
    </xf>
    <xf numFmtId="17" fontId="6" fillId="0" borderId="0" xfId="6334" quotePrefix="1" applyNumberFormat="1" applyFont="1" applyFill="1" applyBorder="1" applyAlignment="1">
      <alignment horizontal="center"/>
    </xf>
    <xf numFmtId="7" fontId="6" fillId="0" borderId="0" xfId="6334" applyNumberFormat="1" applyFont="1" applyFill="1" applyBorder="1"/>
    <xf numFmtId="5" fontId="68" fillId="0" borderId="0" xfId="6334" applyNumberFormat="1" applyFont="1" applyFill="1" applyBorder="1"/>
    <xf numFmtId="5" fontId="69" fillId="0" borderId="0" xfId="6334" applyNumberFormat="1" applyFont="1" applyFill="1" applyBorder="1"/>
    <xf numFmtId="5" fontId="72" fillId="0" borderId="0" xfId="6334" applyNumberFormat="1" applyFont="1" applyFill="1" applyBorder="1"/>
    <xf numFmtId="5" fontId="6" fillId="0" borderId="0" xfId="6334" applyNumberFormat="1" applyFont="1" applyFill="1" applyBorder="1"/>
    <xf numFmtId="7" fontId="6" fillId="0" borderId="0" xfId="6334" applyNumberFormat="1" applyFont="1" applyFill="1" applyBorder="1" applyAlignment="1">
      <alignment horizontal="center"/>
    </xf>
    <xf numFmtId="0" fontId="6" fillId="0" borderId="0" xfId="6334" applyNumberFormat="1" applyFont="1" applyFill="1" applyBorder="1" applyAlignment="1"/>
    <xf numFmtId="7" fontId="68" fillId="0" borderId="0" xfId="6334" applyNumberFormat="1" applyFont="1" applyFill="1" applyBorder="1"/>
    <xf numFmtId="37" fontId="6" fillId="0" borderId="0" xfId="6334" applyNumberFormat="1" applyFont="1" applyFill="1" applyBorder="1" applyAlignment="1">
      <alignment horizontal="center"/>
    </xf>
    <xf numFmtId="0" fontId="75" fillId="0" borderId="0" xfId="6334" applyNumberFormat="1" applyFont="1" applyFill="1" applyBorder="1"/>
    <xf numFmtId="2" fontId="68" fillId="0" borderId="0" xfId="6334" applyNumberFormat="1" applyFont="1" applyFill="1" applyBorder="1"/>
    <xf numFmtId="37" fontId="6" fillId="40" borderId="0" xfId="6334" applyNumberFormat="1" applyFont="1" applyFill="1" applyBorder="1"/>
    <xf numFmtId="37" fontId="69" fillId="0" borderId="0" xfId="6334" applyNumberFormat="1" applyFont="1" applyFill="1" applyBorder="1"/>
    <xf numFmtId="0" fontId="69" fillId="0" borderId="0" xfId="6334" applyNumberFormat="1" applyFont="1" applyFill="1" applyBorder="1"/>
    <xf numFmtId="37" fontId="6" fillId="0" borderId="4" xfId="6334" applyNumberFormat="1" applyFont="1" applyFill="1" applyBorder="1"/>
    <xf numFmtId="0" fontId="68" fillId="0" borderId="4" xfId="6334" applyNumberFormat="1" applyFont="1" applyFill="1" applyBorder="1"/>
    <xf numFmtId="0" fontId="6" fillId="0" borderId="4" xfId="6334" applyNumberFormat="1" applyFont="1" applyFill="1" applyBorder="1"/>
    <xf numFmtId="167" fontId="6" fillId="0" borderId="0" xfId="6334" applyNumberFormat="1" applyFont="1" applyFill="1" applyBorder="1"/>
    <xf numFmtId="3" fontId="68" fillId="0" borderId="0" xfId="6334" applyNumberFormat="1" applyFont="1" applyFill="1" applyBorder="1"/>
    <xf numFmtId="3" fontId="6" fillId="0" borderId="0" xfId="6334" applyNumberFormat="1" applyFont="1" applyFill="1" applyBorder="1" applyAlignment="1">
      <alignment horizontal="center"/>
    </xf>
    <xf numFmtId="37" fontId="73" fillId="0" borderId="0" xfId="6334" applyNumberFormat="1" applyFont="1" applyFill="1" applyBorder="1"/>
    <xf numFmtId="0" fontId="6" fillId="0" borderId="0" xfId="6334" quotePrefix="1" applyNumberFormat="1" applyFont="1" applyFill="1" applyBorder="1"/>
    <xf numFmtId="3" fontId="6" fillId="0" borderId="0" xfId="6334" applyNumberFormat="1" applyFont="1" applyFill="1" applyBorder="1"/>
    <xf numFmtId="39" fontId="6" fillId="0" borderId="0" xfId="6334" applyNumberFormat="1" applyFont="1" applyFill="1" applyBorder="1"/>
    <xf numFmtId="37" fontId="6" fillId="0" borderId="0" xfId="6334" applyNumberFormat="1" applyFont="1" applyFill="1" applyBorder="1"/>
    <xf numFmtId="166" fontId="6" fillId="0" borderId="0" xfId="6334" quotePrefix="1" applyNumberFormat="1" applyFont="1" applyFill="1" applyBorder="1"/>
    <xf numFmtId="39" fontId="68" fillId="0" borderId="0" xfId="6334" applyNumberFormat="1" applyFont="1" applyFill="1" applyBorder="1"/>
    <xf numFmtId="37" fontId="68" fillId="0" borderId="0" xfId="6334" applyNumberFormat="1" applyFont="1" applyFill="1" applyBorder="1"/>
    <xf numFmtId="0" fontId="69" fillId="0" borderId="4" xfId="6334" applyNumberFormat="1" applyFont="1" applyFill="1" applyBorder="1" applyAlignment="1">
      <alignment horizontal="center"/>
    </xf>
    <xf numFmtId="0" fontId="72" fillId="0" borderId="4" xfId="6334" applyNumberFormat="1" applyFont="1" applyFill="1" applyBorder="1"/>
    <xf numFmtId="0" fontId="69" fillId="0" borderId="4" xfId="6334" applyNumberFormat="1" applyFont="1" applyFill="1" applyBorder="1"/>
    <xf numFmtId="0" fontId="69" fillId="0" borderId="0" xfId="6334" applyNumberFormat="1" applyFont="1" applyFill="1" applyBorder="1" applyAlignment="1">
      <alignment horizontal="center"/>
    </xf>
    <xf numFmtId="0" fontId="72" fillId="0" borderId="0" xfId="6334" applyNumberFormat="1" applyFont="1" applyFill="1" applyBorder="1"/>
    <xf numFmtId="0" fontId="68" fillId="0" borderId="0" xfId="6334" applyNumberFormat="1" applyFont="1" applyFill="1" applyBorder="1" applyAlignment="1">
      <alignment horizontal="left"/>
    </xf>
    <xf numFmtId="0" fontId="6" fillId="0" borderId="0" xfId="6334" applyNumberFormat="1" applyFont="1" applyFill="1" applyBorder="1"/>
    <xf numFmtId="0" fontId="75" fillId="0" borderId="0" xfId="6334" applyNumberFormat="1" applyFont="1" applyFill="1" applyBorder="1" applyAlignment="1">
      <alignment horizontal="left"/>
    </xf>
    <xf numFmtId="0" fontId="71" fillId="0" borderId="0" xfId="6334" applyNumberFormat="1" applyFont="1" applyFill="1" applyBorder="1"/>
    <xf numFmtId="0" fontId="70" fillId="0" borderId="0" xfId="6334" applyNumberFormat="1" applyFont="1" applyFill="1" applyBorder="1"/>
    <xf numFmtId="0" fontId="68" fillId="0" borderId="0" xfId="6334" applyNumberFormat="1" applyFont="1" applyFill="1" applyBorder="1" applyAlignment="1">
      <alignment horizontal="center"/>
    </xf>
    <xf numFmtId="0" fontId="68" fillId="0" borderId="0" xfId="6334" applyNumberFormat="1" applyFont="1" applyFill="1" applyBorder="1"/>
    <xf numFmtId="0" fontId="49" fillId="2" borderId="0" xfId="0" applyNumberFormat="1" applyFont="1" applyFill="1" applyAlignment="1">
      <alignment horizontal="center"/>
    </xf>
    <xf numFmtId="0" fontId="49" fillId="2" borderId="0" xfId="0" applyNumberFormat="1" applyFont="1" applyFill="1" applyAlignment="1">
      <alignment horizontal="center"/>
    </xf>
    <xf numFmtId="43" fontId="3" fillId="2" borderId="0" xfId="0" applyNumberFormat="1" applyFont="1" applyFill="1"/>
    <xf numFmtId="43" fontId="3" fillId="2" borderId="4" xfId="0" applyNumberFormat="1" applyFont="1" applyFill="1" applyBorder="1"/>
    <xf numFmtId="43" fontId="82" fillId="41" borderId="0" xfId="4477" applyFont="1" applyFill="1"/>
    <xf numFmtId="0" fontId="84" fillId="2" borderId="0" xfId="0" applyNumberFormat="1" applyFont="1" applyFill="1"/>
    <xf numFmtId="43" fontId="84" fillId="2" borderId="0" xfId="4477" applyFont="1" applyFill="1"/>
    <xf numFmtId="164" fontId="84" fillId="2" borderId="0" xfId="4477" applyNumberFormat="1" applyFont="1" applyFill="1"/>
    <xf numFmtId="7" fontId="85" fillId="0" borderId="0" xfId="6334" applyNumberFormat="1" applyFont="1" applyFill="1" applyBorder="1"/>
    <xf numFmtId="37" fontId="85" fillId="0" borderId="0" xfId="6334" applyNumberFormat="1" applyFont="1" applyFill="1" applyBorder="1"/>
    <xf numFmtId="37" fontId="86" fillId="0" borderId="0" xfId="6334" applyNumberFormat="1" applyFont="1" applyFill="1" applyBorder="1"/>
    <xf numFmtId="43" fontId="36" fillId="2" borderId="0" xfId="4477" applyFont="1" applyFill="1" applyBorder="1"/>
    <xf numFmtId="43" fontId="87" fillId="2" borderId="0" xfId="4477" applyFont="1" applyFill="1"/>
    <xf numFmtId="43" fontId="54" fillId="2" borderId="0" xfId="4477" applyFont="1" applyFill="1" applyAlignment="1">
      <alignment horizontal="right"/>
    </xf>
    <xf numFmtId="170" fontId="54" fillId="2" borderId="0" xfId="8097" applyNumberFormat="1" applyFont="1" applyFill="1"/>
    <xf numFmtId="0" fontId="88" fillId="2" borderId="0" xfId="0" applyNumberFormat="1" applyFont="1" applyFill="1"/>
    <xf numFmtId="164" fontId="54" fillId="2" borderId="0" xfId="4477" applyNumberFormat="1" applyFont="1" applyFill="1"/>
    <xf numFmtId="9" fontId="0" fillId="2" borderId="0" xfId="4478" applyFont="1" applyFill="1"/>
    <xf numFmtId="0" fontId="0" fillId="2" borderId="0" xfId="0" applyNumberFormat="1" applyFill="1"/>
    <xf numFmtId="0" fontId="69" fillId="0" borderId="0" xfId="6334" applyNumberFormat="1" applyFont="1" applyFill="1" applyBorder="1" applyAlignment="1">
      <alignment horizontal="center"/>
    </xf>
    <xf numFmtId="0" fontId="49" fillId="2" borderId="0" xfId="0" applyNumberFormat="1" applyFont="1" applyFill="1" applyAlignment="1">
      <alignment horizontal="center"/>
    </xf>
  </cellXfs>
  <cellStyles count="8098">
    <cellStyle name="20% - Accent1" xfId="1" builtinId="30" customBuiltin="1"/>
    <cellStyle name="20% - Accent1 2" xfId="2"/>
    <cellStyle name="20% - Accent1 2 2" xfId="3"/>
    <cellStyle name="20% - Accent1 3" xfId="4"/>
    <cellStyle name="20% - Accent2" xfId="5" builtinId="34" customBuiltin="1"/>
    <cellStyle name="20% - Accent2 2" xfId="6"/>
    <cellStyle name="20% - Accent2 2 2" xfId="7"/>
    <cellStyle name="20% - Accent2 3" xfId="8"/>
    <cellStyle name="20% - Accent3" xfId="9" builtinId="38" customBuiltin="1"/>
    <cellStyle name="20% - Accent3 2" xfId="10"/>
    <cellStyle name="20% - Accent3 2 2" xfId="11"/>
    <cellStyle name="20% - Accent3 3" xfId="12"/>
    <cellStyle name="20% - Accent4" xfId="13" builtinId="42" customBuiltin="1"/>
    <cellStyle name="20% - Accent4 2" xfId="14"/>
    <cellStyle name="20% - Accent4 2 2" xfId="15"/>
    <cellStyle name="20% - Accent4 3" xfId="16"/>
    <cellStyle name="20% - Accent5" xfId="17" builtinId="46" customBuiltin="1"/>
    <cellStyle name="20% - Accent5 2" xfId="18"/>
    <cellStyle name="20% - Accent5 3" xfId="19"/>
    <cellStyle name="20% - Accent6" xfId="20" builtinId="50" customBuiltin="1"/>
    <cellStyle name="20% - Accent6 2" xfId="21"/>
    <cellStyle name="20% - Accent6 2 2" xfId="22"/>
    <cellStyle name="20% - Accent6 3" xfId="23"/>
    <cellStyle name="40% - Accent1" xfId="24" builtinId="31" customBuiltin="1"/>
    <cellStyle name="40% - Accent1 2" xfId="25"/>
    <cellStyle name="40% - Accent1 2 2" xfId="26"/>
    <cellStyle name="40% - Accent1 3" xfId="27"/>
    <cellStyle name="40% - Accent2" xfId="28" builtinId="35" customBuiltin="1"/>
    <cellStyle name="40% - Accent2 2" xfId="29"/>
    <cellStyle name="40% - Accent2 3" xfId="30"/>
    <cellStyle name="40% - Accent3" xfId="31" builtinId="39" customBuiltin="1"/>
    <cellStyle name="40% - Accent3 2" xfId="32"/>
    <cellStyle name="40% - Accent3 2 2" xfId="33"/>
    <cellStyle name="40% - Accent3 3" xfId="34"/>
    <cellStyle name="40% - Accent4" xfId="35" builtinId="43" customBuiltin="1"/>
    <cellStyle name="40% - Accent4 2" xfId="36"/>
    <cellStyle name="40% - Accent4 2 2" xfId="37"/>
    <cellStyle name="40% - Accent4 3" xfId="38"/>
    <cellStyle name="40% - Accent5" xfId="39" builtinId="47" customBuiltin="1"/>
    <cellStyle name="40% - Accent5 2" xfId="40"/>
    <cellStyle name="40% - Accent5 2 2" xfId="41"/>
    <cellStyle name="40% - Accent5 3" xfId="42"/>
    <cellStyle name="40% - Accent6" xfId="43" builtinId="51" customBuiltin="1"/>
    <cellStyle name="40% - Accent6 2" xfId="44"/>
    <cellStyle name="40% - Accent6 2 2" xfId="45"/>
    <cellStyle name="40% - Accent6 3" xfId="46"/>
    <cellStyle name="60% - Accent1" xfId="47" builtinId="32" customBuiltin="1"/>
    <cellStyle name="60% - Accent1 2" xfId="48"/>
    <cellStyle name="60% - Accent1 3" xfId="49"/>
    <cellStyle name="60% - Accent2" xfId="50" builtinId="36" customBuiltin="1"/>
    <cellStyle name="60% - Accent2 2" xfId="51"/>
    <cellStyle name="60% - Accent2 3" xfId="52"/>
    <cellStyle name="60% - Accent3" xfId="53" builtinId="40" customBuiltin="1"/>
    <cellStyle name="60% - Accent3 2" xfId="54"/>
    <cellStyle name="60% - Accent3 3" xfId="55"/>
    <cellStyle name="60% - Accent4" xfId="56" builtinId="44" customBuiltin="1"/>
    <cellStyle name="60% - Accent4 2" xfId="57"/>
    <cellStyle name="60% - Accent4 3" xfId="58"/>
    <cellStyle name="60% - Accent5" xfId="59" builtinId="48" customBuiltin="1"/>
    <cellStyle name="60% - Accent5 2" xfId="60"/>
    <cellStyle name="60% - Accent5 3" xfId="61"/>
    <cellStyle name="60% - Accent6" xfId="62" builtinId="52" customBuiltin="1"/>
    <cellStyle name="60% - Accent6 2" xfId="63"/>
    <cellStyle name="60% - Accent6 2 2" xfId="64"/>
    <cellStyle name="60% - Accent6 3" xfId="65"/>
    <cellStyle name="Accent1" xfId="66" builtinId="29" customBuiltin="1"/>
    <cellStyle name="Accent1 2" xfId="67"/>
    <cellStyle name="Accent1 3" xfId="68"/>
    <cellStyle name="Accent2" xfId="69" builtinId="33" customBuiltin="1"/>
    <cellStyle name="Accent2 2" xfId="70"/>
    <cellStyle name="Accent2 3" xfId="71"/>
    <cellStyle name="Accent3" xfId="72" builtinId="37" customBuiltin="1"/>
    <cellStyle name="Accent3 2" xfId="73"/>
    <cellStyle name="Accent3 3" xfId="74"/>
    <cellStyle name="Accent4" xfId="75" builtinId="41" customBuiltin="1"/>
    <cellStyle name="Accent4 2" xfId="76"/>
    <cellStyle name="Accent4 2 2" xfId="77"/>
    <cellStyle name="Accent4 3" xfId="78"/>
    <cellStyle name="Accent5" xfId="79" builtinId="45" customBuiltin="1"/>
    <cellStyle name="Accent5 2" xfId="80"/>
    <cellStyle name="Accent5 2 2" xfId="81"/>
    <cellStyle name="Accent5 3" xfId="82"/>
    <cellStyle name="Accent6" xfId="83" builtinId="49" customBuiltin="1"/>
    <cellStyle name="Accent6 2" xfId="84"/>
    <cellStyle name="Accent6 3" xfId="85"/>
    <cellStyle name="Accounting" xfId="86"/>
    <cellStyle name="Accounting 2" xfId="87"/>
    <cellStyle name="Accounting 3" xfId="88"/>
    <cellStyle name="Accounting_2011-11" xfId="89"/>
    <cellStyle name="Bad" xfId="90" builtinId="27" customBuiltin="1"/>
    <cellStyle name="Bad 2" xfId="91"/>
    <cellStyle name="Bad 3" xfId="92"/>
    <cellStyle name="Budget" xfId="93"/>
    <cellStyle name="Budget 2" xfId="94"/>
    <cellStyle name="Budget 3" xfId="95"/>
    <cellStyle name="Budget_2011-11" xfId="96"/>
    <cellStyle name="Calculation" xfId="97" builtinId="22" customBuiltin="1"/>
    <cellStyle name="Calculation 2" xfId="98"/>
    <cellStyle name="Calculation 3" xfId="99"/>
    <cellStyle name="Check Cell" xfId="100" builtinId="23" customBuiltin="1"/>
    <cellStyle name="Check Cell 2" xfId="101"/>
    <cellStyle name="Check Cell 2 2" xfId="102"/>
    <cellStyle name="Check Cell 3" xfId="103"/>
    <cellStyle name="combo" xfId="104"/>
    <cellStyle name="Comma" xfId="4477" builtinId="3"/>
    <cellStyle name="Comma 10" xfId="105"/>
    <cellStyle name="Comma 10 2" xfId="106"/>
    <cellStyle name="Comma 10 3" xfId="107"/>
    <cellStyle name="Comma 10 3 2" xfId="108"/>
    <cellStyle name="Comma 10 3 2 2" xfId="6481"/>
    <cellStyle name="Comma 10 3 3" xfId="4689"/>
    <cellStyle name="Comma 11" xfId="109"/>
    <cellStyle name="Comma 12" xfId="110"/>
    <cellStyle name="Comma 12 2" xfId="111"/>
    <cellStyle name="Comma 13" xfId="112"/>
    <cellStyle name="Comma 13 2" xfId="113"/>
    <cellStyle name="Comma 14" xfId="114"/>
    <cellStyle name="Comma 14 2" xfId="115"/>
    <cellStyle name="Comma 15" xfId="116"/>
    <cellStyle name="Comma 15 2" xfId="117"/>
    <cellStyle name="Comma 16" xfId="118"/>
    <cellStyle name="Comma 16 2" xfId="119"/>
    <cellStyle name="Comma 16 3" xfId="120"/>
    <cellStyle name="Comma 16 4" xfId="121"/>
    <cellStyle name="Comma 17" xfId="122"/>
    <cellStyle name="Comma 17 2" xfId="123"/>
    <cellStyle name="Comma 17 2 2" xfId="124"/>
    <cellStyle name="Comma 17 3" xfId="125"/>
    <cellStyle name="Comma 17 4" xfId="126"/>
    <cellStyle name="Comma 17 4 2" xfId="127"/>
    <cellStyle name="Comma 17 4 2 2" xfId="6483"/>
    <cellStyle name="Comma 17 4 3" xfId="4691"/>
    <cellStyle name="Comma 17 5" xfId="128"/>
    <cellStyle name="Comma 17 5 2" xfId="129"/>
    <cellStyle name="Comma 17 5 2 2" xfId="6482"/>
    <cellStyle name="Comma 17 5 3" xfId="4690"/>
    <cellStyle name="Comma 17 6" xfId="130"/>
    <cellStyle name="Comma 18" xfId="131"/>
    <cellStyle name="Comma 18 2" xfId="132"/>
    <cellStyle name="Comma 18 2 2" xfId="133"/>
    <cellStyle name="Comma 18 3" xfId="134"/>
    <cellStyle name="Comma 18 3 2" xfId="135"/>
    <cellStyle name="Comma 18 3 2 2" xfId="6485"/>
    <cellStyle name="Comma 18 3 3" xfId="4693"/>
    <cellStyle name="Comma 18 4" xfId="136"/>
    <cellStyle name="Comma 18 4 2" xfId="137"/>
    <cellStyle name="Comma 18 4 2 2" xfId="6484"/>
    <cellStyle name="Comma 18 4 3" xfId="4692"/>
    <cellStyle name="Comma 18 5" xfId="138"/>
    <cellStyle name="Comma 19" xfId="139"/>
    <cellStyle name="Comma 19 2" xfId="140"/>
    <cellStyle name="Comma 19 2 2" xfId="141"/>
    <cellStyle name="Comma 19 2 2 2" xfId="6487"/>
    <cellStyle name="Comma 19 2 3" xfId="142"/>
    <cellStyle name="Comma 19 2 4" xfId="4695"/>
    <cellStyle name="Comma 19 3" xfId="143"/>
    <cellStyle name="Comma 19 3 2" xfId="144"/>
    <cellStyle name="Comma 19 3 2 2" xfId="6486"/>
    <cellStyle name="Comma 19 3 3" xfId="4694"/>
    <cellStyle name="Comma 19 4" xfId="145"/>
    <cellStyle name="Comma 19 5" xfId="146"/>
    <cellStyle name="Comma 19 6" xfId="147"/>
    <cellStyle name="Comma 2" xfId="148"/>
    <cellStyle name="Comma 2 2" xfId="149"/>
    <cellStyle name="Comma 2 2 2" xfId="150"/>
    <cellStyle name="Comma 2 2 3" xfId="151"/>
    <cellStyle name="Comma 2 3" xfId="152"/>
    <cellStyle name="Comma 2 3 2" xfId="153"/>
    <cellStyle name="Comma 2 4" xfId="154"/>
    <cellStyle name="Comma 20" xfId="155"/>
    <cellStyle name="Comma 20 2" xfId="156"/>
    <cellStyle name="Comma 21" xfId="157"/>
    <cellStyle name="Comma 21 2" xfId="158"/>
    <cellStyle name="Comma 21 2 2" xfId="8090"/>
    <cellStyle name="Comma 21 3" xfId="6332"/>
    <cellStyle name="Comma 22" xfId="159"/>
    <cellStyle name="Comma 22 2" xfId="160"/>
    <cellStyle name="Comma 22 2 2" xfId="161"/>
    <cellStyle name="Comma 22 2 2 2" xfId="8088"/>
    <cellStyle name="Comma 22 2 3" xfId="6330"/>
    <cellStyle name="Comma 22 3" xfId="162"/>
    <cellStyle name="Comma 22 3 2" xfId="8089"/>
    <cellStyle name="Comma 22 4" xfId="6331"/>
    <cellStyle name="Comma 23" xfId="163"/>
    <cellStyle name="Comma 23 2" xfId="164"/>
    <cellStyle name="Comma 23 2 2" xfId="8087"/>
    <cellStyle name="Comma 23 3" xfId="6329"/>
    <cellStyle name="Comma 24" xfId="165"/>
    <cellStyle name="Comma 24 2" xfId="166"/>
    <cellStyle name="Comma 24 2 2" xfId="8086"/>
    <cellStyle name="Comma 24 3" xfId="6328"/>
    <cellStyle name="Comma 25" xfId="167"/>
    <cellStyle name="Comma 25 2" xfId="168"/>
    <cellStyle name="Comma 25 2 2" xfId="8085"/>
    <cellStyle name="Comma 25 3" xfId="6327"/>
    <cellStyle name="Comma 26" xfId="169"/>
    <cellStyle name="Comma 26 2" xfId="170"/>
    <cellStyle name="Comma 26 2 2" xfId="8084"/>
    <cellStyle name="Comma 26 3" xfId="6326"/>
    <cellStyle name="Comma 27" xfId="171"/>
    <cellStyle name="Comma 27 2" xfId="172"/>
    <cellStyle name="Comma 27 2 2" xfId="8083"/>
    <cellStyle name="Comma 27 3" xfId="6325"/>
    <cellStyle name="Comma 28" xfId="173"/>
    <cellStyle name="Comma 28 2" xfId="174"/>
    <cellStyle name="Comma 28 2 2" xfId="8082"/>
    <cellStyle name="Comma 28 3" xfId="6324"/>
    <cellStyle name="Comma 29" xfId="175"/>
    <cellStyle name="Comma 29 2" xfId="176"/>
    <cellStyle name="Comma 29 2 2" xfId="8081"/>
    <cellStyle name="Comma 29 3" xfId="6323"/>
    <cellStyle name="Comma 3" xfId="177"/>
    <cellStyle name="Comma 3 2" xfId="178"/>
    <cellStyle name="Comma 3 2 2" xfId="179"/>
    <cellStyle name="Comma 3 3" xfId="180"/>
    <cellStyle name="Comma 30" xfId="181"/>
    <cellStyle name="Comma 30 2" xfId="182"/>
    <cellStyle name="Comma 30 2 2" xfId="8080"/>
    <cellStyle name="Comma 30 3" xfId="6322"/>
    <cellStyle name="Comma 31" xfId="183"/>
    <cellStyle name="Comma 31 2" xfId="184"/>
    <cellStyle name="Comma 31 2 2" xfId="8079"/>
    <cellStyle name="Comma 31 3" xfId="6321"/>
    <cellStyle name="Comma 32" xfId="185"/>
    <cellStyle name="Comma 32 2" xfId="186"/>
    <cellStyle name="Comma 32 2 2" xfId="8078"/>
    <cellStyle name="Comma 32 3" xfId="6320"/>
    <cellStyle name="Comma 33" xfId="187"/>
    <cellStyle name="Comma 33 2" xfId="188"/>
    <cellStyle name="Comma 33 2 2" xfId="8077"/>
    <cellStyle name="Comma 33 3" xfId="6319"/>
    <cellStyle name="Comma 4" xfId="189"/>
    <cellStyle name="Comma 4 10" xfId="190"/>
    <cellStyle name="Comma 4 10 2" xfId="191"/>
    <cellStyle name="Comma 4 10 2 2" xfId="8076"/>
    <cellStyle name="Comma 4 10 3" xfId="6318"/>
    <cellStyle name="Comma 4 11" xfId="192"/>
    <cellStyle name="Comma 4 11 2" xfId="193"/>
    <cellStyle name="Comma 4 11 2 2" xfId="8075"/>
    <cellStyle name="Comma 4 11 3" xfId="6317"/>
    <cellStyle name="Comma 4 2" xfId="194"/>
    <cellStyle name="Comma 4 2 2" xfId="195"/>
    <cellStyle name="Comma 4 2 2 2" xfId="196"/>
    <cellStyle name="Comma 4 2 2 2 2" xfId="197"/>
    <cellStyle name="Comma 4 2 2 2 2 2" xfId="198"/>
    <cellStyle name="Comma 4 2 2 2 2 2 2" xfId="199"/>
    <cellStyle name="Comma 4 2 2 2 2 2 2 2" xfId="6490"/>
    <cellStyle name="Comma 4 2 2 2 2 2 3" xfId="4698"/>
    <cellStyle name="Comma 4 2 2 2 2 3" xfId="200"/>
    <cellStyle name="Comma 4 2 2 2 2 3 2" xfId="6460"/>
    <cellStyle name="Comma 4 2 2 2 2 4" xfId="4668"/>
    <cellStyle name="Comma 4 2 2 2 3" xfId="201"/>
    <cellStyle name="Comma 4 2 2 2 3 2" xfId="202"/>
    <cellStyle name="Comma 4 2 2 2 3 2 2" xfId="6491"/>
    <cellStyle name="Comma 4 2 2 2 3 3" xfId="4699"/>
    <cellStyle name="Comma 4 2 2 2 4" xfId="203"/>
    <cellStyle name="Comma 4 2 2 2 4 2" xfId="204"/>
    <cellStyle name="Comma 4 2 2 2 4 2 2" xfId="6489"/>
    <cellStyle name="Comma 4 2 2 2 4 3" xfId="4697"/>
    <cellStyle name="Comma 4 2 2 2 5" xfId="205"/>
    <cellStyle name="Comma 4 2 2 2 5 2" xfId="6391"/>
    <cellStyle name="Comma 4 2 2 2 6" xfId="4598"/>
    <cellStyle name="Comma 4 2 2 3" xfId="206"/>
    <cellStyle name="Comma 4 2 2 3 2" xfId="207"/>
    <cellStyle name="Comma 4 2 2 3 3" xfId="208"/>
    <cellStyle name="Comma 4 2 2 3 3 2" xfId="6448"/>
    <cellStyle name="Comma 4 2 2 3 4" xfId="4656"/>
    <cellStyle name="Comma 4 2 2 4" xfId="209"/>
    <cellStyle name="Comma 4 2 2 4 2" xfId="210"/>
    <cellStyle name="Comma 4 2 2 4 2 2" xfId="6488"/>
    <cellStyle name="Comma 4 2 2 4 3" xfId="4696"/>
    <cellStyle name="Comma 4 2 2 5" xfId="211"/>
    <cellStyle name="Comma 4 2 2 5 2" xfId="6379"/>
    <cellStyle name="Comma 4 2 2 6" xfId="4537"/>
    <cellStyle name="Comma 4 2 3" xfId="212"/>
    <cellStyle name="Comma 4 2 3 2" xfId="213"/>
    <cellStyle name="Comma 4 2 3 2 2" xfId="214"/>
    <cellStyle name="Comma 4 2 3 2 2 2" xfId="215"/>
    <cellStyle name="Comma 4 2 3 2 2 2 2" xfId="6492"/>
    <cellStyle name="Comma 4 2 3 2 2 3" xfId="4700"/>
    <cellStyle name="Comma 4 2 3 2 3" xfId="216"/>
    <cellStyle name="Comma 4 2 3 2 3 2" xfId="6439"/>
    <cellStyle name="Comma 4 2 3 2 4" xfId="4647"/>
    <cellStyle name="Comma 4 2 3 3" xfId="217"/>
    <cellStyle name="Comma 4 2 3 3 2" xfId="218"/>
    <cellStyle name="Comma 4 2 3 3 2 2" xfId="6493"/>
    <cellStyle name="Comma 4 2 3 3 3" xfId="4701"/>
    <cellStyle name="Comma 4 2 3 4" xfId="219"/>
    <cellStyle name="Comma 4 2 3 4 2" xfId="220"/>
    <cellStyle name="Comma 4 2 3 4 2 2" xfId="6494"/>
    <cellStyle name="Comma 4 2 3 4 3" xfId="4702"/>
    <cellStyle name="Comma 4 2 3 5" xfId="221"/>
    <cellStyle name="Comma 4 2 3 6" xfId="222"/>
    <cellStyle name="Comma 4 2 3 6 2" xfId="6370"/>
    <cellStyle name="Comma 4 2 3 7" xfId="4518"/>
    <cellStyle name="Comma 4 2 4" xfId="223"/>
    <cellStyle name="Comma 4 2 4 2" xfId="224"/>
    <cellStyle name="Comma 4 2 4 2 2" xfId="225"/>
    <cellStyle name="Comma 4 2 4 2 2 2" xfId="226"/>
    <cellStyle name="Comma 4 2 4 2 2 2 2" xfId="6496"/>
    <cellStyle name="Comma 4 2 4 2 2 3" xfId="4704"/>
    <cellStyle name="Comma 4 2 4 2 3" xfId="227"/>
    <cellStyle name="Comma 4 2 4 2 3 2" xfId="6451"/>
    <cellStyle name="Comma 4 2 4 2 4" xfId="4659"/>
    <cellStyle name="Comma 4 2 4 3" xfId="228"/>
    <cellStyle name="Comma 4 2 4 3 2" xfId="229"/>
    <cellStyle name="Comma 4 2 4 3 2 2" xfId="6497"/>
    <cellStyle name="Comma 4 2 4 3 3" xfId="4705"/>
    <cellStyle name="Comma 4 2 4 4" xfId="230"/>
    <cellStyle name="Comma 4 2 4 4 2" xfId="231"/>
    <cellStyle name="Comma 4 2 4 4 2 2" xfId="6495"/>
    <cellStyle name="Comma 4 2 4 4 3" xfId="4703"/>
    <cellStyle name="Comma 4 2 4 5" xfId="232"/>
    <cellStyle name="Comma 4 2 4 5 2" xfId="6382"/>
    <cellStyle name="Comma 4 2 4 6" xfId="4589"/>
    <cellStyle name="Comma 4 2 5" xfId="233"/>
    <cellStyle name="Comma 4 2 5 2" xfId="234"/>
    <cellStyle name="Comma 4 2 5 2 2" xfId="235"/>
    <cellStyle name="Comma 4 2 5 2 2 2" xfId="6499"/>
    <cellStyle name="Comma 4 2 5 2 3" xfId="4707"/>
    <cellStyle name="Comma 4 2 5 3" xfId="236"/>
    <cellStyle name="Comma 4 2 5 3 2" xfId="237"/>
    <cellStyle name="Comma 4 2 5 3 2 2" xfId="6500"/>
    <cellStyle name="Comma 4 2 5 3 3" xfId="4708"/>
    <cellStyle name="Comma 4 2 5 4" xfId="238"/>
    <cellStyle name="Comma 4 2 5 4 2" xfId="6498"/>
    <cellStyle name="Comma 4 2 5 5" xfId="4706"/>
    <cellStyle name="Comma 4 2 6" xfId="239"/>
    <cellStyle name="Comma 4 2 6 2" xfId="240"/>
    <cellStyle name="Comma 4 2 6 2 2" xfId="241"/>
    <cellStyle name="Comma 4 2 6 2 2 2" xfId="6502"/>
    <cellStyle name="Comma 4 2 6 2 3" xfId="4710"/>
    <cellStyle name="Comma 4 2 6 3" xfId="242"/>
    <cellStyle name="Comma 4 2 6 3 2" xfId="243"/>
    <cellStyle name="Comma 4 2 6 3 2 2" xfId="6503"/>
    <cellStyle name="Comma 4 2 6 3 3" xfId="4711"/>
    <cellStyle name="Comma 4 2 6 4" xfId="244"/>
    <cellStyle name="Comma 4 2 6 4 2" xfId="6501"/>
    <cellStyle name="Comma 4 2 6 5" xfId="4709"/>
    <cellStyle name="Comma 4 2 7" xfId="245"/>
    <cellStyle name="Comma 4 2 7 2" xfId="246"/>
    <cellStyle name="Comma 4 2 7 2 2" xfId="247"/>
    <cellStyle name="Comma 4 2 7 2 2 2" xfId="6505"/>
    <cellStyle name="Comma 4 2 7 2 3" xfId="4713"/>
    <cellStyle name="Comma 4 2 7 3" xfId="248"/>
    <cellStyle name="Comma 4 2 7 3 2" xfId="249"/>
    <cellStyle name="Comma 4 2 7 3 2 2" xfId="6506"/>
    <cellStyle name="Comma 4 2 7 3 3" xfId="4714"/>
    <cellStyle name="Comma 4 2 7 4" xfId="250"/>
    <cellStyle name="Comma 4 2 7 4 2" xfId="6504"/>
    <cellStyle name="Comma 4 2 7 5" xfId="4712"/>
    <cellStyle name="Comma 4 3" xfId="251"/>
    <cellStyle name="Comma 4 3 10" xfId="252"/>
    <cellStyle name="Comma 4 3 10 2" xfId="253"/>
    <cellStyle name="Comma 4 3 10 2 2" xfId="6507"/>
    <cellStyle name="Comma 4 3 10 3" xfId="4715"/>
    <cellStyle name="Comma 4 3 11" xfId="254"/>
    <cellStyle name="Comma 4 3 11 2" xfId="6371"/>
    <cellStyle name="Comma 4 3 12" xfId="4519"/>
    <cellStyle name="Comma 4 3 2" xfId="255"/>
    <cellStyle name="Comma 4 3 2 10" xfId="256"/>
    <cellStyle name="Comma 4 3 2 10 2" xfId="6383"/>
    <cellStyle name="Comma 4 3 2 11" xfId="4590"/>
    <cellStyle name="Comma 4 3 2 2" xfId="257"/>
    <cellStyle name="Comma 4 3 2 2 2" xfId="258"/>
    <cellStyle name="Comma 4 3 2 2 2 2" xfId="259"/>
    <cellStyle name="Comma 4 3 2 2 2 2 2" xfId="260"/>
    <cellStyle name="Comma 4 3 2 2 2 2 2 2" xfId="6511"/>
    <cellStyle name="Comma 4 3 2 2 2 2 3" xfId="4719"/>
    <cellStyle name="Comma 4 3 2 2 2 3" xfId="261"/>
    <cellStyle name="Comma 4 3 2 2 2 3 2" xfId="6510"/>
    <cellStyle name="Comma 4 3 2 2 2 4" xfId="4718"/>
    <cellStyle name="Comma 4 3 2 2 3" xfId="262"/>
    <cellStyle name="Comma 4 3 2 2 3 2" xfId="263"/>
    <cellStyle name="Comma 4 3 2 2 3 2 2" xfId="6512"/>
    <cellStyle name="Comma 4 3 2 2 3 3" xfId="4720"/>
    <cellStyle name="Comma 4 3 2 2 4" xfId="264"/>
    <cellStyle name="Comma 4 3 2 2 4 2" xfId="265"/>
    <cellStyle name="Comma 4 3 2 2 4 2 2" xfId="6513"/>
    <cellStyle name="Comma 4 3 2 2 4 3" xfId="4721"/>
    <cellStyle name="Comma 4 3 2 2 5" xfId="266"/>
    <cellStyle name="Comma 4 3 2 2 5 2" xfId="267"/>
    <cellStyle name="Comma 4 3 2 2 5 2 2" xfId="6509"/>
    <cellStyle name="Comma 4 3 2 2 5 3" xfId="4717"/>
    <cellStyle name="Comma 4 3 2 2 6" xfId="268"/>
    <cellStyle name="Comma 4 3 2 2 6 2" xfId="6452"/>
    <cellStyle name="Comma 4 3 2 2 7" xfId="4660"/>
    <cellStyle name="Comma 4 3 2 3" xfId="269"/>
    <cellStyle name="Comma 4 3 2 3 2" xfId="270"/>
    <cellStyle name="Comma 4 3 2 3 2 2" xfId="271"/>
    <cellStyle name="Comma 4 3 2 3 2 2 2" xfId="6515"/>
    <cellStyle name="Comma 4 3 2 3 2 3" xfId="4723"/>
    <cellStyle name="Comma 4 3 2 3 3" xfId="272"/>
    <cellStyle name="Comma 4 3 2 3 3 2" xfId="273"/>
    <cellStyle name="Comma 4 3 2 3 3 2 2" xfId="6516"/>
    <cellStyle name="Comma 4 3 2 3 3 3" xfId="4724"/>
    <cellStyle name="Comma 4 3 2 3 4" xfId="274"/>
    <cellStyle name="Comma 4 3 2 3 4 2" xfId="6514"/>
    <cellStyle name="Comma 4 3 2 3 5" xfId="4722"/>
    <cellStyle name="Comma 4 3 2 4" xfId="275"/>
    <cellStyle name="Comma 4 3 2 4 2" xfId="276"/>
    <cellStyle name="Comma 4 3 2 4 2 2" xfId="277"/>
    <cellStyle name="Comma 4 3 2 4 2 2 2" xfId="6518"/>
    <cellStyle name="Comma 4 3 2 4 2 3" xfId="4726"/>
    <cellStyle name="Comma 4 3 2 4 3" xfId="278"/>
    <cellStyle name="Comma 4 3 2 4 3 2" xfId="279"/>
    <cellStyle name="Comma 4 3 2 4 3 2 2" xfId="6519"/>
    <cellStyle name="Comma 4 3 2 4 3 3" xfId="4727"/>
    <cellStyle name="Comma 4 3 2 4 4" xfId="280"/>
    <cellStyle name="Comma 4 3 2 4 4 2" xfId="6517"/>
    <cellStyle name="Comma 4 3 2 4 5" xfId="4725"/>
    <cellStyle name="Comma 4 3 2 5" xfId="281"/>
    <cellStyle name="Comma 4 3 2 5 2" xfId="282"/>
    <cellStyle name="Comma 4 3 2 5 2 2" xfId="283"/>
    <cellStyle name="Comma 4 3 2 5 2 2 2" xfId="6521"/>
    <cellStyle name="Comma 4 3 2 5 2 3" xfId="4729"/>
    <cellStyle name="Comma 4 3 2 5 3" xfId="284"/>
    <cellStyle name="Comma 4 3 2 5 3 2" xfId="6520"/>
    <cellStyle name="Comma 4 3 2 5 4" xfId="4728"/>
    <cellStyle name="Comma 4 3 2 6" xfId="285"/>
    <cellStyle name="Comma 4 3 2 6 2" xfId="286"/>
    <cellStyle name="Comma 4 3 2 6 2 2" xfId="6522"/>
    <cellStyle name="Comma 4 3 2 6 3" xfId="4730"/>
    <cellStyle name="Comma 4 3 2 7" xfId="287"/>
    <cellStyle name="Comma 4 3 2 7 2" xfId="288"/>
    <cellStyle name="Comma 4 3 2 7 2 2" xfId="6523"/>
    <cellStyle name="Comma 4 3 2 7 3" xfId="4731"/>
    <cellStyle name="Comma 4 3 2 8" xfId="289"/>
    <cellStyle name="Comma 4 3 2 9" xfId="290"/>
    <cellStyle name="Comma 4 3 2 9 2" xfId="291"/>
    <cellStyle name="Comma 4 3 2 9 2 2" xfId="6508"/>
    <cellStyle name="Comma 4 3 2 9 3" xfId="4716"/>
    <cellStyle name="Comma 4 3 3" xfId="292"/>
    <cellStyle name="Comma 4 3 3 2" xfId="293"/>
    <cellStyle name="Comma 4 3 3 2 2" xfId="294"/>
    <cellStyle name="Comma 4 3 3 2 2 2" xfId="295"/>
    <cellStyle name="Comma 4 3 3 2 2 2 2" xfId="6526"/>
    <cellStyle name="Comma 4 3 3 2 2 3" xfId="4734"/>
    <cellStyle name="Comma 4 3 3 2 3" xfId="296"/>
    <cellStyle name="Comma 4 3 3 2 3 2" xfId="297"/>
    <cellStyle name="Comma 4 3 3 2 3 2 2" xfId="6527"/>
    <cellStyle name="Comma 4 3 3 2 3 3" xfId="4735"/>
    <cellStyle name="Comma 4 3 3 2 4" xfId="298"/>
    <cellStyle name="Comma 4 3 3 2 4 2" xfId="299"/>
    <cellStyle name="Comma 4 3 3 2 4 2 2" xfId="6525"/>
    <cellStyle name="Comma 4 3 3 2 4 3" xfId="4733"/>
    <cellStyle name="Comma 4 3 3 2 5" xfId="300"/>
    <cellStyle name="Comma 4 3 3 2 5 2" xfId="6476"/>
    <cellStyle name="Comma 4 3 3 2 6" xfId="4684"/>
    <cellStyle name="Comma 4 3 3 3" xfId="301"/>
    <cellStyle name="Comma 4 3 3 3 2" xfId="302"/>
    <cellStyle name="Comma 4 3 3 3 2 2" xfId="303"/>
    <cellStyle name="Comma 4 3 3 3 2 2 2" xfId="6529"/>
    <cellStyle name="Comma 4 3 3 3 2 3" xfId="4737"/>
    <cellStyle name="Comma 4 3 3 3 3" xfId="304"/>
    <cellStyle name="Comma 4 3 3 3 3 2" xfId="6528"/>
    <cellStyle name="Comma 4 3 3 3 4" xfId="4736"/>
    <cellStyle name="Comma 4 3 3 4" xfId="305"/>
    <cellStyle name="Comma 4 3 3 4 2" xfId="306"/>
    <cellStyle name="Comma 4 3 3 4 2 2" xfId="6530"/>
    <cellStyle name="Comma 4 3 3 4 3" xfId="4738"/>
    <cellStyle name="Comma 4 3 3 5" xfId="307"/>
    <cellStyle name="Comma 4 3 3 5 2" xfId="308"/>
    <cellStyle name="Comma 4 3 3 5 2 2" xfId="6531"/>
    <cellStyle name="Comma 4 3 3 5 3" xfId="4739"/>
    <cellStyle name="Comma 4 3 3 6" xfId="309"/>
    <cellStyle name="Comma 4 3 3 6 2" xfId="310"/>
    <cellStyle name="Comma 4 3 3 6 2 2" xfId="6524"/>
    <cellStyle name="Comma 4 3 3 6 3" xfId="4732"/>
    <cellStyle name="Comma 4 3 3 7" xfId="311"/>
    <cellStyle name="Comma 4 3 3 7 2" xfId="6407"/>
    <cellStyle name="Comma 4 3 3 8" xfId="4614"/>
    <cellStyle name="Comma 4 3 4" xfId="312"/>
    <cellStyle name="Comma 4 3 4 2" xfId="313"/>
    <cellStyle name="Comma 4 3 4 2 2" xfId="314"/>
    <cellStyle name="Comma 4 3 4 2 2 2" xfId="315"/>
    <cellStyle name="Comma 4 3 4 2 2 2 2" xfId="6534"/>
    <cellStyle name="Comma 4 3 4 2 2 3" xfId="4742"/>
    <cellStyle name="Comma 4 3 4 2 3" xfId="316"/>
    <cellStyle name="Comma 4 3 4 2 3 2" xfId="6533"/>
    <cellStyle name="Comma 4 3 4 2 4" xfId="4741"/>
    <cellStyle name="Comma 4 3 4 3" xfId="317"/>
    <cellStyle name="Comma 4 3 4 3 2" xfId="318"/>
    <cellStyle name="Comma 4 3 4 3 2 2" xfId="319"/>
    <cellStyle name="Comma 4 3 4 3 2 2 2" xfId="6536"/>
    <cellStyle name="Comma 4 3 4 3 2 3" xfId="4744"/>
    <cellStyle name="Comma 4 3 4 3 3" xfId="320"/>
    <cellStyle name="Comma 4 3 4 3 3 2" xfId="6535"/>
    <cellStyle name="Comma 4 3 4 3 4" xfId="4743"/>
    <cellStyle name="Comma 4 3 4 4" xfId="321"/>
    <cellStyle name="Comma 4 3 4 4 2" xfId="322"/>
    <cellStyle name="Comma 4 3 4 4 2 2" xfId="6537"/>
    <cellStyle name="Comma 4 3 4 4 3" xfId="4745"/>
    <cellStyle name="Comma 4 3 4 5" xfId="323"/>
    <cellStyle name="Comma 4 3 4 5 2" xfId="324"/>
    <cellStyle name="Comma 4 3 4 5 2 2" xfId="6532"/>
    <cellStyle name="Comma 4 3 4 5 3" xfId="4740"/>
    <cellStyle name="Comma 4 3 4 6" xfId="325"/>
    <cellStyle name="Comma 4 3 4 6 2" xfId="6440"/>
    <cellStyle name="Comma 4 3 4 7" xfId="4648"/>
    <cellStyle name="Comma 4 3 5" xfId="326"/>
    <cellStyle name="Comma 4 3 5 2" xfId="327"/>
    <cellStyle name="Comma 4 3 5 2 2" xfId="328"/>
    <cellStyle name="Comma 4 3 5 2 2 2" xfId="6539"/>
    <cellStyle name="Comma 4 3 5 2 3" xfId="4747"/>
    <cellStyle name="Comma 4 3 5 3" xfId="329"/>
    <cellStyle name="Comma 4 3 5 3 2" xfId="330"/>
    <cellStyle name="Comma 4 3 5 3 2 2" xfId="6540"/>
    <cellStyle name="Comma 4 3 5 3 3" xfId="4748"/>
    <cellStyle name="Comma 4 3 5 4" xfId="331"/>
    <cellStyle name="Comma 4 3 5 4 2" xfId="332"/>
    <cellStyle name="Comma 4 3 5 4 2 2" xfId="6541"/>
    <cellStyle name="Comma 4 3 5 4 3" xfId="4749"/>
    <cellStyle name="Comma 4 3 5 5" xfId="333"/>
    <cellStyle name="Comma 4 3 5 5 2" xfId="6538"/>
    <cellStyle name="Comma 4 3 5 6" xfId="4746"/>
    <cellStyle name="Comma 4 3 6" xfId="334"/>
    <cellStyle name="Comma 4 3 6 2" xfId="335"/>
    <cellStyle name="Comma 4 3 6 2 2" xfId="336"/>
    <cellStyle name="Comma 4 3 6 2 2 2" xfId="6543"/>
    <cellStyle name="Comma 4 3 6 2 3" xfId="4751"/>
    <cellStyle name="Comma 4 3 6 3" xfId="337"/>
    <cellStyle name="Comma 4 3 6 3 2" xfId="6542"/>
    <cellStyle name="Comma 4 3 6 4" xfId="4750"/>
    <cellStyle name="Comma 4 3 7" xfId="338"/>
    <cellStyle name="Comma 4 3 7 2" xfId="339"/>
    <cellStyle name="Comma 4 3 7 2 2" xfId="6544"/>
    <cellStyle name="Comma 4 3 7 3" xfId="4752"/>
    <cellStyle name="Comma 4 3 8" xfId="340"/>
    <cellStyle name="Comma 4 3 8 2" xfId="341"/>
    <cellStyle name="Comma 4 3 8 2 2" xfId="6545"/>
    <cellStyle name="Comma 4 3 8 3" xfId="4753"/>
    <cellStyle name="Comma 4 3 9" xfId="342"/>
    <cellStyle name="Comma 4 3 9 2" xfId="343"/>
    <cellStyle name="Comma 4 3 9 2 2" xfId="6546"/>
    <cellStyle name="Comma 4 3 9 3" xfId="4754"/>
    <cellStyle name="Comma 4 4" xfId="344"/>
    <cellStyle name="Comma 4 4 10" xfId="345"/>
    <cellStyle name="Comma 4 4 10 2" xfId="346"/>
    <cellStyle name="Comma 4 4 10 2 2" xfId="6547"/>
    <cellStyle name="Comma 4 4 10 3" xfId="4755"/>
    <cellStyle name="Comma 4 4 11" xfId="347"/>
    <cellStyle name="Comma 4 4 11 2" xfId="6372"/>
    <cellStyle name="Comma 4 4 12" xfId="4520"/>
    <cellStyle name="Comma 4 4 2" xfId="348"/>
    <cellStyle name="Comma 4 4 2 10" xfId="349"/>
    <cellStyle name="Comma 4 4 2 10 2" xfId="6384"/>
    <cellStyle name="Comma 4 4 2 11" xfId="4591"/>
    <cellStyle name="Comma 4 4 2 2" xfId="350"/>
    <cellStyle name="Comma 4 4 2 2 2" xfId="351"/>
    <cellStyle name="Comma 4 4 2 2 2 2" xfId="352"/>
    <cellStyle name="Comma 4 4 2 2 2 2 2" xfId="353"/>
    <cellStyle name="Comma 4 4 2 2 2 2 2 2" xfId="6551"/>
    <cellStyle name="Comma 4 4 2 2 2 2 3" xfId="4759"/>
    <cellStyle name="Comma 4 4 2 2 2 3" xfId="354"/>
    <cellStyle name="Comma 4 4 2 2 2 3 2" xfId="6550"/>
    <cellStyle name="Comma 4 4 2 2 2 4" xfId="4758"/>
    <cellStyle name="Comma 4 4 2 2 3" xfId="355"/>
    <cellStyle name="Comma 4 4 2 2 3 2" xfId="356"/>
    <cellStyle name="Comma 4 4 2 2 3 2 2" xfId="6552"/>
    <cellStyle name="Comma 4 4 2 2 3 3" xfId="4760"/>
    <cellStyle name="Comma 4 4 2 2 4" xfId="357"/>
    <cellStyle name="Comma 4 4 2 2 4 2" xfId="358"/>
    <cellStyle name="Comma 4 4 2 2 4 2 2" xfId="6553"/>
    <cellStyle name="Comma 4 4 2 2 4 3" xfId="4761"/>
    <cellStyle name="Comma 4 4 2 2 5" xfId="359"/>
    <cellStyle name="Comma 4 4 2 2 5 2" xfId="360"/>
    <cellStyle name="Comma 4 4 2 2 5 2 2" xfId="6549"/>
    <cellStyle name="Comma 4 4 2 2 5 3" xfId="4757"/>
    <cellStyle name="Comma 4 4 2 2 6" xfId="361"/>
    <cellStyle name="Comma 4 4 2 2 6 2" xfId="6453"/>
    <cellStyle name="Comma 4 4 2 2 7" xfId="4661"/>
    <cellStyle name="Comma 4 4 2 3" xfId="362"/>
    <cellStyle name="Comma 4 4 2 3 2" xfId="363"/>
    <cellStyle name="Comma 4 4 2 3 2 2" xfId="364"/>
    <cellStyle name="Comma 4 4 2 3 2 2 2" xfId="6555"/>
    <cellStyle name="Comma 4 4 2 3 2 3" xfId="4763"/>
    <cellStyle name="Comma 4 4 2 3 3" xfId="365"/>
    <cellStyle name="Comma 4 4 2 3 3 2" xfId="366"/>
    <cellStyle name="Comma 4 4 2 3 3 2 2" xfId="6556"/>
    <cellStyle name="Comma 4 4 2 3 3 3" xfId="4764"/>
    <cellStyle name="Comma 4 4 2 3 4" xfId="367"/>
    <cellStyle name="Comma 4 4 2 3 4 2" xfId="6554"/>
    <cellStyle name="Comma 4 4 2 3 5" xfId="4762"/>
    <cellStyle name="Comma 4 4 2 4" xfId="368"/>
    <cellStyle name="Comma 4 4 2 4 2" xfId="369"/>
    <cellStyle name="Comma 4 4 2 4 2 2" xfId="370"/>
    <cellStyle name="Comma 4 4 2 4 2 2 2" xfId="6558"/>
    <cellStyle name="Comma 4 4 2 4 2 3" xfId="4766"/>
    <cellStyle name="Comma 4 4 2 4 3" xfId="371"/>
    <cellStyle name="Comma 4 4 2 4 3 2" xfId="372"/>
    <cellStyle name="Comma 4 4 2 4 3 2 2" xfId="6559"/>
    <cellStyle name="Comma 4 4 2 4 3 3" xfId="4767"/>
    <cellStyle name="Comma 4 4 2 4 4" xfId="373"/>
    <cellStyle name="Comma 4 4 2 4 4 2" xfId="6557"/>
    <cellStyle name="Comma 4 4 2 4 5" xfId="4765"/>
    <cellStyle name="Comma 4 4 2 5" xfId="374"/>
    <cellStyle name="Comma 4 4 2 5 2" xfId="375"/>
    <cellStyle name="Comma 4 4 2 5 2 2" xfId="376"/>
    <cellStyle name="Comma 4 4 2 5 2 2 2" xfId="6561"/>
    <cellStyle name="Comma 4 4 2 5 2 3" xfId="4769"/>
    <cellStyle name="Comma 4 4 2 5 3" xfId="377"/>
    <cellStyle name="Comma 4 4 2 5 3 2" xfId="6560"/>
    <cellStyle name="Comma 4 4 2 5 4" xfId="4768"/>
    <cellStyle name="Comma 4 4 2 6" xfId="378"/>
    <cellStyle name="Comma 4 4 2 6 2" xfId="379"/>
    <cellStyle name="Comma 4 4 2 6 2 2" xfId="6562"/>
    <cellStyle name="Comma 4 4 2 6 3" xfId="4770"/>
    <cellStyle name="Comma 4 4 2 7" xfId="380"/>
    <cellStyle name="Comma 4 4 2 7 2" xfId="381"/>
    <cellStyle name="Comma 4 4 2 7 2 2" xfId="6563"/>
    <cellStyle name="Comma 4 4 2 7 3" xfId="4771"/>
    <cellStyle name="Comma 4 4 2 8" xfId="382"/>
    <cellStyle name="Comma 4 4 2 9" xfId="383"/>
    <cellStyle name="Comma 4 4 2 9 2" xfId="384"/>
    <cellStyle name="Comma 4 4 2 9 2 2" xfId="6548"/>
    <cellStyle name="Comma 4 4 2 9 3" xfId="4756"/>
    <cellStyle name="Comma 4 4 3" xfId="385"/>
    <cellStyle name="Comma 4 4 3 2" xfId="386"/>
    <cellStyle name="Comma 4 4 3 2 2" xfId="387"/>
    <cellStyle name="Comma 4 4 3 2 2 2" xfId="388"/>
    <cellStyle name="Comma 4 4 3 2 2 2 2" xfId="6566"/>
    <cellStyle name="Comma 4 4 3 2 2 3" xfId="4774"/>
    <cellStyle name="Comma 4 4 3 2 3" xfId="389"/>
    <cellStyle name="Comma 4 4 3 2 3 2" xfId="390"/>
    <cellStyle name="Comma 4 4 3 2 3 2 2" xfId="6567"/>
    <cellStyle name="Comma 4 4 3 2 3 3" xfId="4775"/>
    <cellStyle name="Comma 4 4 3 2 4" xfId="391"/>
    <cellStyle name="Comma 4 4 3 2 4 2" xfId="392"/>
    <cellStyle name="Comma 4 4 3 2 4 2 2" xfId="6565"/>
    <cellStyle name="Comma 4 4 3 2 4 3" xfId="4773"/>
    <cellStyle name="Comma 4 4 3 2 5" xfId="393"/>
    <cellStyle name="Comma 4 4 3 2 5 2" xfId="6477"/>
    <cellStyle name="Comma 4 4 3 2 6" xfId="4685"/>
    <cellStyle name="Comma 4 4 3 3" xfId="394"/>
    <cellStyle name="Comma 4 4 3 3 2" xfId="395"/>
    <cellStyle name="Comma 4 4 3 3 2 2" xfId="396"/>
    <cellStyle name="Comma 4 4 3 3 2 2 2" xfId="6569"/>
    <cellStyle name="Comma 4 4 3 3 2 3" xfId="4777"/>
    <cellStyle name="Comma 4 4 3 3 3" xfId="397"/>
    <cellStyle name="Comma 4 4 3 3 3 2" xfId="6568"/>
    <cellStyle name="Comma 4 4 3 3 4" xfId="4776"/>
    <cellStyle name="Comma 4 4 3 4" xfId="398"/>
    <cellStyle name="Comma 4 4 3 4 2" xfId="399"/>
    <cellStyle name="Comma 4 4 3 4 2 2" xfId="6570"/>
    <cellStyle name="Comma 4 4 3 4 3" xfId="4778"/>
    <cellStyle name="Comma 4 4 3 5" xfId="400"/>
    <cellStyle name="Comma 4 4 3 5 2" xfId="401"/>
    <cellStyle name="Comma 4 4 3 5 2 2" xfId="6571"/>
    <cellStyle name="Comma 4 4 3 5 3" xfId="4779"/>
    <cellStyle name="Comma 4 4 3 6" xfId="402"/>
    <cellStyle name="Comma 4 4 3 6 2" xfId="403"/>
    <cellStyle name="Comma 4 4 3 6 2 2" xfId="6564"/>
    <cellStyle name="Comma 4 4 3 6 3" xfId="4772"/>
    <cellStyle name="Comma 4 4 3 7" xfId="404"/>
    <cellStyle name="Comma 4 4 3 7 2" xfId="6408"/>
    <cellStyle name="Comma 4 4 3 8" xfId="4615"/>
    <cellStyle name="Comma 4 4 4" xfId="405"/>
    <cellStyle name="Comma 4 4 4 2" xfId="406"/>
    <cellStyle name="Comma 4 4 4 2 2" xfId="407"/>
    <cellStyle name="Comma 4 4 4 2 2 2" xfId="408"/>
    <cellStyle name="Comma 4 4 4 2 2 2 2" xfId="6574"/>
    <cellStyle name="Comma 4 4 4 2 2 3" xfId="4782"/>
    <cellStyle name="Comma 4 4 4 2 3" xfId="409"/>
    <cellStyle name="Comma 4 4 4 2 3 2" xfId="6573"/>
    <cellStyle name="Comma 4 4 4 2 4" xfId="4781"/>
    <cellStyle name="Comma 4 4 4 3" xfId="410"/>
    <cellStyle name="Comma 4 4 4 3 2" xfId="411"/>
    <cellStyle name="Comma 4 4 4 3 2 2" xfId="412"/>
    <cellStyle name="Comma 4 4 4 3 2 2 2" xfId="6576"/>
    <cellStyle name="Comma 4 4 4 3 2 3" xfId="4784"/>
    <cellStyle name="Comma 4 4 4 3 3" xfId="413"/>
    <cellStyle name="Comma 4 4 4 3 3 2" xfId="6575"/>
    <cellStyle name="Comma 4 4 4 3 4" xfId="4783"/>
    <cellStyle name="Comma 4 4 4 4" xfId="414"/>
    <cellStyle name="Comma 4 4 4 4 2" xfId="415"/>
    <cellStyle name="Comma 4 4 4 4 2 2" xfId="6577"/>
    <cellStyle name="Comma 4 4 4 4 3" xfId="4785"/>
    <cellStyle name="Comma 4 4 4 5" xfId="416"/>
    <cellStyle name="Comma 4 4 4 5 2" xfId="417"/>
    <cellStyle name="Comma 4 4 4 5 2 2" xfId="6572"/>
    <cellStyle name="Comma 4 4 4 5 3" xfId="4780"/>
    <cellStyle name="Comma 4 4 4 6" xfId="418"/>
    <cellStyle name="Comma 4 4 4 6 2" xfId="6441"/>
    <cellStyle name="Comma 4 4 4 7" xfId="4649"/>
    <cellStyle name="Comma 4 4 5" xfId="419"/>
    <cellStyle name="Comma 4 4 5 2" xfId="420"/>
    <cellStyle name="Comma 4 4 5 2 2" xfId="421"/>
    <cellStyle name="Comma 4 4 5 2 2 2" xfId="6579"/>
    <cellStyle name="Comma 4 4 5 2 3" xfId="4787"/>
    <cellStyle name="Comma 4 4 5 3" xfId="422"/>
    <cellStyle name="Comma 4 4 5 3 2" xfId="423"/>
    <cellStyle name="Comma 4 4 5 3 2 2" xfId="6580"/>
    <cellStyle name="Comma 4 4 5 3 3" xfId="4788"/>
    <cellStyle name="Comma 4 4 5 4" xfId="424"/>
    <cellStyle name="Comma 4 4 5 4 2" xfId="425"/>
    <cellStyle name="Comma 4 4 5 4 2 2" xfId="6581"/>
    <cellStyle name="Comma 4 4 5 4 3" xfId="4789"/>
    <cellStyle name="Comma 4 4 5 5" xfId="426"/>
    <cellStyle name="Comma 4 4 5 5 2" xfId="6578"/>
    <cellStyle name="Comma 4 4 5 6" xfId="4786"/>
    <cellStyle name="Comma 4 4 6" xfId="427"/>
    <cellStyle name="Comma 4 4 6 2" xfId="428"/>
    <cellStyle name="Comma 4 4 6 2 2" xfId="429"/>
    <cellStyle name="Comma 4 4 6 2 2 2" xfId="6583"/>
    <cellStyle name="Comma 4 4 6 2 3" xfId="4791"/>
    <cellStyle name="Comma 4 4 6 3" xfId="430"/>
    <cellStyle name="Comma 4 4 6 3 2" xfId="6582"/>
    <cellStyle name="Comma 4 4 6 4" xfId="4790"/>
    <cellStyle name="Comma 4 4 7" xfId="431"/>
    <cellStyle name="Comma 4 4 7 2" xfId="432"/>
    <cellStyle name="Comma 4 4 7 2 2" xfId="6584"/>
    <cellStyle name="Comma 4 4 7 3" xfId="4792"/>
    <cellStyle name="Comma 4 4 8" xfId="433"/>
    <cellStyle name="Comma 4 4 8 2" xfId="434"/>
    <cellStyle name="Comma 4 4 8 2 2" xfId="6585"/>
    <cellStyle name="Comma 4 4 8 3" xfId="4793"/>
    <cellStyle name="Comma 4 4 9" xfId="435"/>
    <cellStyle name="Comma 4 4 9 2" xfId="436"/>
    <cellStyle name="Comma 4 4 9 2 2" xfId="6586"/>
    <cellStyle name="Comma 4 4 9 3" xfId="4794"/>
    <cellStyle name="Comma 4 5" xfId="437"/>
    <cellStyle name="Comma 4 5 2" xfId="438"/>
    <cellStyle name="Comma 4 5 2 2" xfId="439"/>
    <cellStyle name="Comma 4 5 2 2 2" xfId="440"/>
    <cellStyle name="Comma 4 5 2 2 2 2" xfId="6589"/>
    <cellStyle name="Comma 4 5 2 2 3" xfId="4797"/>
    <cellStyle name="Comma 4 5 2 3" xfId="441"/>
    <cellStyle name="Comma 4 5 2 3 2" xfId="442"/>
    <cellStyle name="Comma 4 5 2 3 2 2" xfId="6590"/>
    <cellStyle name="Comma 4 5 2 3 3" xfId="4798"/>
    <cellStyle name="Comma 4 5 2 4" xfId="443"/>
    <cellStyle name="Comma 4 5 2 4 2" xfId="6588"/>
    <cellStyle name="Comma 4 5 2 5" xfId="4796"/>
    <cellStyle name="Comma 4 5 3" xfId="444"/>
    <cellStyle name="Comma 4 5 4" xfId="445"/>
    <cellStyle name="Comma 4 5 4 2" xfId="446"/>
    <cellStyle name="Comma 4 5 4 2 2" xfId="6587"/>
    <cellStyle name="Comma 4 5 4 3" xfId="4795"/>
    <cellStyle name="Comma 4 5 5" xfId="447"/>
    <cellStyle name="Comma 4 6" xfId="448"/>
    <cellStyle name="Comma 4 6 2" xfId="449"/>
    <cellStyle name="Comma 4 6 2 2" xfId="450"/>
    <cellStyle name="Comma 4 6 2 2 2" xfId="451"/>
    <cellStyle name="Comma 4 6 2 2 2 2" xfId="6591"/>
    <cellStyle name="Comma 4 6 2 2 3" xfId="4799"/>
    <cellStyle name="Comma 4 6 2 3" xfId="452"/>
    <cellStyle name="Comma 4 6 2 3 2" xfId="6438"/>
    <cellStyle name="Comma 4 6 2 4" xfId="4646"/>
    <cellStyle name="Comma 4 6 3" xfId="453"/>
    <cellStyle name="Comma 4 6 3 2" xfId="454"/>
    <cellStyle name="Comma 4 6 3 2 2" xfId="6592"/>
    <cellStyle name="Comma 4 6 3 3" xfId="4800"/>
    <cellStyle name="Comma 4 6 4" xfId="455"/>
    <cellStyle name="Comma 4 6 4 2" xfId="456"/>
    <cellStyle name="Comma 4 6 4 2 2" xfId="6593"/>
    <cellStyle name="Comma 4 6 4 3" xfId="4801"/>
    <cellStyle name="Comma 4 6 5" xfId="457"/>
    <cellStyle name="Comma 4 6 6" xfId="458"/>
    <cellStyle name="Comma 4 6 6 2" xfId="6369"/>
    <cellStyle name="Comma 4 6 7" xfId="4517"/>
    <cellStyle name="Comma 4 7" xfId="459"/>
    <cellStyle name="Comma 4 7 2" xfId="460"/>
    <cellStyle name="Comma 4 7 2 2" xfId="461"/>
    <cellStyle name="Comma 4 7 2 2 2" xfId="6450"/>
    <cellStyle name="Comma 4 7 2 3" xfId="4658"/>
    <cellStyle name="Comma 4 7 3" xfId="462"/>
    <cellStyle name="Comma 4 7 4" xfId="463"/>
    <cellStyle name="Comma 4 7 4 2" xfId="6381"/>
    <cellStyle name="Comma 4 7 5" xfId="4588"/>
    <cellStyle name="Comma 4 8" xfId="464"/>
    <cellStyle name="Comma 4 8 2" xfId="465"/>
    <cellStyle name="Comma 4 8 2 2" xfId="8074"/>
    <cellStyle name="Comma 4 8 3" xfId="6316"/>
    <cellStyle name="Comma 4 9" xfId="466"/>
    <cellStyle name="Comma 4 9 2" xfId="467"/>
    <cellStyle name="Comma 4 9 2 2" xfId="8073"/>
    <cellStyle name="Comma 4 9 3" xfId="6315"/>
    <cellStyle name="Comma 5" xfId="468"/>
    <cellStyle name="Comma 5 2" xfId="469"/>
    <cellStyle name="Comma 5 2 2" xfId="470"/>
    <cellStyle name="Comma 5 2 2 2" xfId="471"/>
    <cellStyle name="Comma 5 2 2 2 2" xfId="472"/>
    <cellStyle name="Comma 5 2 2 2 2 2" xfId="6596"/>
    <cellStyle name="Comma 5 2 2 2 3" xfId="4804"/>
    <cellStyle name="Comma 5 2 2 3" xfId="473"/>
    <cellStyle name="Comma 5 2 2 3 2" xfId="474"/>
    <cellStyle name="Comma 5 2 2 3 2 2" xfId="6597"/>
    <cellStyle name="Comma 5 2 2 3 3" xfId="4805"/>
    <cellStyle name="Comma 5 2 2 4" xfId="475"/>
    <cellStyle name="Comma 5 2 2 4 2" xfId="476"/>
    <cellStyle name="Comma 5 2 2 4 2 2" xfId="6595"/>
    <cellStyle name="Comma 5 2 2 4 3" xfId="4803"/>
    <cellStyle name="Comma 5 2 2 5" xfId="477"/>
    <cellStyle name="Comma 5 2 2 5 2" xfId="6442"/>
    <cellStyle name="Comma 5 2 2 6" xfId="4650"/>
    <cellStyle name="Comma 5 2 3" xfId="478"/>
    <cellStyle name="Comma 5 2 4" xfId="479"/>
    <cellStyle name="Comma 5 2 4 2" xfId="480"/>
    <cellStyle name="Comma 5 2 4 2 2" xfId="6594"/>
    <cellStyle name="Comma 5 2 4 3" xfId="4802"/>
    <cellStyle name="Comma 5 2 5" xfId="481"/>
    <cellStyle name="Comma 5 2 5 2" xfId="6373"/>
    <cellStyle name="Comma 5 2 6" xfId="4521"/>
    <cellStyle name="Comma 5 3" xfId="482"/>
    <cellStyle name="Comma 5 3 2" xfId="483"/>
    <cellStyle name="Comma 5 3 2 2" xfId="484"/>
    <cellStyle name="Comma 5 3 2 2 2" xfId="485"/>
    <cellStyle name="Comma 5 3 2 2 2 2" xfId="6598"/>
    <cellStyle name="Comma 5 3 2 2 3" xfId="4806"/>
    <cellStyle name="Comma 5 3 2 3" xfId="486"/>
    <cellStyle name="Comma 5 3 2 3 2" xfId="6454"/>
    <cellStyle name="Comma 5 3 2 4" xfId="4662"/>
    <cellStyle name="Comma 5 3 3" xfId="487"/>
    <cellStyle name="Comma 5 3 3 2" xfId="488"/>
    <cellStyle name="Comma 5 3 3 2 2" xfId="6599"/>
    <cellStyle name="Comma 5 3 3 3" xfId="4807"/>
    <cellStyle name="Comma 5 3 4" xfId="489"/>
    <cellStyle name="Comma 5 3 4 2" xfId="490"/>
    <cellStyle name="Comma 5 3 4 2 2" xfId="6600"/>
    <cellStyle name="Comma 5 3 4 3" xfId="4808"/>
    <cellStyle name="Comma 5 3 5" xfId="491"/>
    <cellStyle name="Comma 5 3 6" xfId="492"/>
    <cellStyle name="Comma 5 3 6 2" xfId="6385"/>
    <cellStyle name="Comma 5 3 7" xfId="4592"/>
    <cellStyle name="Comma 5 4" xfId="493"/>
    <cellStyle name="Comma 5 4 2" xfId="494"/>
    <cellStyle name="Comma 5 4 2 2" xfId="495"/>
    <cellStyle name="Comma 5 4 2 2 2" xfId="6602"/>
    <cellStyle name="Comma 5 4 2 3" xfId="4810"/>
    <cellStyle name="Comma 5 4 3" xfId="496"/>
    <cellStyle name="Comma 5 4 3 2" xfId="497"/>
    <cellStyle name="Comma 5 4 3 2 2" xfId="6603"/>
    <cellStyle name="Comma 5 4 3 3" xfId="4811"/>
    <cellStyle name="Comma 5 4 4" xfId="498"/>
    <cellStyle name="Comma 5 4 4 2" xfId="6601"/>
    <cellStyle name="Comma 5 4 5" xfId="4809"/>
    <cellStyle name="Comma 6" xfId="499"/>
    <cellStyle name="Comma 6 10" xfId="500"/>
    <cellStyle name="Comma 6 11" xfId="501"/>
    <cellStyle name="Comma 6 11 2" xfId="6380"/>
    <cellStyle name="Comma 6 12" xfId="502"/>
    <cellStyle name="Comma 6 13" xfId="4538"/>
    <cellStyle name="Comma 6 2" xfId="503"/>
    <cellStyle name="Comma 6 2 10" xfId="4599"/>
    <cellStyle name="Comma 6 2 2" xfId="504"/>
    <cellStyle name="Comma 6 2 2 2" xfId="505"/>
    <cellStyle name="Comma 6 2 2 2 2" xfId="506"/>
    <cellStyle name="Comma 6 2 2 2 2 2" xfId="507"/>
    <cellStyle name="Comma 6 2 2 2 2 2 2" xfId="6607"/>
    <cellStyle name="Comma 6 2 2 2 2 3" xfId="4815"/>
    <cellStyle name="Comma 6 2 2 2 3" xfId="508"/>
    <cellStyle name="Comma 6 2 2 2 3 2" xfId="6606"/>
    <cellStyle name="Comma 6 2 2 2 4" xfId="4814"/>
    <cellStyle name="Comma 6 2 2 3" xfId="509"/>
    <cellStyle name="Comma 6 2 2 3 2" xfId="510"/>
    <cellStyle name="Comma 6 2 2 3 2 2" xfId="6608"/>
    <cellStyle name="Comma 6 2 2 3 3" xfId="4816"/>
    <cellStyle name="Comma 6 2 2 4" xfId="511"/>
    <cellStyle name="Comma 6 2 2 4 2" xfId="512"/>
    <cellStyle name="Comma 6 2 2 4 2 2" xfId="6609"/>
    <cellStyle name="Comma 6 2 2 4 3" xfId="4817"/>
    <cellStyle name="Comma 6 2 2 5" xfId="513"/>
    <cellStyle name="Comma 6 2 2 5 2" xfId="514"/>
    <cellStyle name="Comma 6 2 2 5 2 2" xfId="6605"/>
    <cellStyle name="Comma 6 2 2 5 3" xfId="4813"/>
    <cellStyle name="Comma 6 2 2 6" xfId="515"/>
    <cellStyle name="Comma 6 2 2 6 2" xfId="6461"/>
    <cellStyle name="Comma 6 2 2 7" xfId="4669"/>
    <cellStyle name="Comma 6 2 3" xfId="516"/>
    <cellStyle name="Comma 6 2 3 2" xfId="517"/>
    <cellStyle name="Comma 6 2 3 2 2" xfId="518"/>
    <cellStyle name="Comma 6 2 3 2 2 2" xfId="6611"/>
    <cellStyle name="Comma 6 2 3 2 3" xfId="4819"/>
    <cellStyle name="Comma 6 2 3 3" xfId="519"/>
    <cellStyle name="Comma 6 2 3 3 2" xfId="520"/>
    <cellStyle name="Comma 6 2 3 3 2 2" xfId="6612"/>
    <cellStyle name="Comma 6 2 3 3 3" xfId="4820"/>
    <cellStyle name="Comma 6 2 3 4" xfId="521"/>
    <cellStyle name="Comma 6 2 3 4 2" xfId="6610"/>
    <cellStyle name="Comma 6 2 3 5" xfId="4818"/>
    <cellStyle name="Comma 6 2 4" xfId="522"/>
    <cellStyle name="Comma 6 2 4 2" xfId="523"/>
    <cellStyle name="Comma 6 2 4 2 2" xfId="524"/>
    <cellStyle name="Comma 6 2 4 2 2 2" xfId="6614"/>
    <cellStyle name="Comma 6 2 4 2 3" xfId="4822"/>
    <cellStyle name="Comma 6 2 4 3" xfId="525"/>
    <cellStyle name="Comma 6 2 4 3 2" xfId="6613"/>
    <cellStyle name="Comma 6 2 4 4" xfId="4821"/>
    <cellStyle name="Comma 6 2 5" xfId="526"/>
    <cellStyle name="Comma 6 2 5 2" xfId="527"/>
    <cellStyle name="Comma 6 2 5 2 2" xfId="6615"/>
    <cellStyle name="Comma 6 2 5 3" xfId="4823"/>
    <cellStyle name="Comma 6 2 6" xfId="528"/>
    <cellStyle name="Comma 6 2 6 2" xfId="529"/>
    <cellStyle name="Comma 6 2 6 2 2" xfId="6616"/>
    <cellStyle name="Comma 6 2 6 3" xfId="4824"/>
    <cellStyle name="Comma 6 2 7" xfId="530"/>
    <cellStyle name="Comma 6 2 8" xfId="531"/>
    <cellStyle name="Comma 6 2 8 2" xfId="532"/>
    <cellStyle name="Comma 6 2 8 2 2" xfId="6604"/>
    <cellStyle name="Comma 6 2 8 3" xfId="4812"/>
    <cellStyle name="Comma 6 2 9" xfId="533"/>
    <cellStyle name="Comma 6 2 9 2" xfId="6392"/>
    <cellStyle name="Comma 6 3" xfId="534"/>
    <cellStyle name="Comma 6 3 2" xfId="535"/>
    <cellStyle name="Comma 6 3 2 2" xfId="536"/>
    <cellStyle name="Comma 6 3 2 2 2" xfId="537"/>
    <cellStyle name="Comma 6 3 2 2 2 2" xfId="6619"/>
    <cellStyle name="Comma 6 3 2 2 3" xfId="4827"/>
    <cellStyle name="Comma 6 3 2 3" xfId="538"/>
    <cellStyle name="Comma 6 3 2 3 2" xfId="539"/>
    <cellStyle name="Comma 6 3 2 3 2 2" xfId="6620"/>
    <cellStyle name="Comma 6 3 2 3 3" xfId="4828"/>
    <cellStyle name="Comma 6 3 2 4" xfId="540"/>
    <cellStyle name="Comma 6 3 2 4 2" xfId="6618"/>
    <cellStyle name="Comma 6 3 2 5" xfId="4826"/>
    <cellStyle name="Comma 6 3 3" xfId="541"/>
    <cellStyle name="Comma 6 3 3 2" xfId="542"/>
    <cellStyle name="Comma 6 3 3 2 2" xfId="543"/>
    <cellStyle name="Comma 6 3 3 2 2 2" xfId="6622"/>
    <cellStyle name="Comma 6 3 3 2 3" xfId="4830"/>
    <cellStyle name="Comma 6 3 3 3" xfId="544"/>
    <cellStyle name="Comma 6 3 3 3 2" xfId="6621"/>
    <cellStyle name="Comma 6 3 3 4" xfId="4829"/>
    <cellStyle name="Comma 6 3 4" xfId="545"/>
    <cellStyle name="Comma 6 3 4 2" xfId="546"/>
    <cellStyle name="Comma 6 3 4 2 2" xfId="6623"/>
    <cellStyle name="Comma 6 3 4 3" xfId="4831"/>
    <cellStyle name="Comma 6 3 5" xfId="547"/>
    <cellStyle name="Comma 6 3 5 2" xfId="548"/>
    <cellStyle name="Comma 6 3 5 2 2" xfId="6624"/>
    <cellStyle name="Comma 6 3 5 3" xfId="4832"/>
    <cellStyle name="Comma 6 3 6" xfId="549"/>
    <cellStyle name="Comma 6 3 6 2" xfId="550"/>
    <cellStyle name="Comma 6 3 6 2 2" xfId="6617"/>
    <cellStyle name="Comma 6 3 6 3" xfId="4825"/>
    <cellStyle name="Comma 6 3 7" xfId="551"/>
    <cellStyle name="Comma 6 3 7 2" xfId="6449"/>
    <cellStyle name="Comma 6 3 8" xfId="4657"/>
    <cellStyle name="Comma 6 4" xfId="552"/>
    <cellStyle name="Comma 6 4 2" xfId="553"/>
    <cellStyle name="Comma 6 4 2 2" xfId="554"/>
    <cellStyle name="Comma 6 4 2 2 2" xfId="555"/>
    <cellStyle name="Comma 6 4 2 2 2 2" xfId="6627"/>
    <cellStyle name="Comma 6 4 2 2 3" xfId="4835"/>
    <cellStyle name="Comma 6 4 2 3" xfId="556"/>
    <cellStyle name="Comma 6 4 2 3 2" xfId="6626"/>
    <cellStyle name="Comma 6 4 2 4" xfId="4834"/>
    <cellStyle name="Comma 6 4 3" xfId="557"/>
    <cellStyle name="Comma 6 4 3 2" xfId="558"/>
    <cellStyle name="Comma 6 4 3 2 2" xfId="559"/>
    <cellStyle name="Comma 6 4 3 2 2 2" xfId="6629"/>
    <cellStyle name="Comma 6 4 3 2 3" xfId="4837"/>
    <cellStyle name="Comma 6 4 3 3" xfId="560"/>
    <cellStyle name="Comma 6 4 3 3 2" xfId="6628"/>
    <cellStyle name="Comma 6 4 3 4" xfId="4836"/>
    <cellStyle name="Comma 6 4 4" xfId="561"/>
    <cellStyle name="Comma 6 4 4 2" xfId="562"/>
    <cellStyle name="Comma 6 4 4 2 2" xfId="6630"/>
    <cellStyle name="Comma 6 4 4 3" xfId="4838"/>
    <cellStyle name="Comma 6 4 5" xfId="563"/>
    <cellStyle name="Comma 6 4 5 2" xfId="6625"/>
    <cellStyle name="Comma 6 4 6" xfId="4833"/>
    <cellStyle name="Comma 6 5" xfId="564"/>
    <cellStyle name="Comma 6 5 2" xfId="565"/>
    <cellStyle name="Comma 6 5 2 2" xfId="566"/>
    <cellStyle name="Comma 6 5 2 2 2" xfId="567"/>
    <cellStyle name="Comma 6 5 2 2 2 2" xfId="6633"/>
    <cellStyle name="Comma 6 5 2 2 3" xfId="4841"/>
    <cellStyle name="Comma 6 5 2 3" xfId="568"/>
    <cellStyle name="Comma 6 5 2 3 2" xfId="6632"/>
    <cellStyle name="Comma 6 5 2 4" xfId="4840"/>
    <cellStyle name="Comma 6 5 3" xfId="569"/>
    <cellStyle name="Comma 6 5 3 2" xfId="570"/>
    <cellStyle name="Comma 6 5 3 2 2" xfId="571"/>
    <cellStyle name="Comma 6 5 3 2 2 2" xfId="6635"/>
    <cellStyle name="Comma 6 5 3 2 3" xfId="4843"/>
    <cellStyle name="Comma 6 5 3 3" xfId="572"/>
    <cellStyle name="Comma 6 5 3 3 2" xfId="6634"/>
    <cellStyle name="Comma 6 5 3 4" xfId="4842"/>
    <cellStyle name="Comma 6 5 4" xfId="573"/>
    <cellStyle name="Comma 6 5 4 2" xfId="574"/>
    <cellStyle name="Comma 6 5 4 2 2" xfId="6636"/>
    <cellStyle name="Comma 6 5 4 3" xfId="4844"/>
    <cellStyle name="Comma 6 5 5" xfId="575"/>
    <cellStyle name="Comma 6 5 5 2" xfId="6631"/>
    <cellStyle name="Comma 6 5 6" xfId="4839"/>
    <cellStyle name="Comma 6 6" xfId="576"/>
    <cellStyle name="Comma 6 6 2" xfId="577"/>
    <cellStyle name="Comma 6 6 2 2" xfId="578"/>
    <cellStyle name="Comma 6 6 2 2 2" xfId="6638"/>
    <cellStyle name="Comma 6 6 2 3" xfId="4846"/>
    <cellStyle name="Comma 6 6 3" xfId="579"/>
    <cellStyle name="Comma 6 6 3 2" xfId="580"/>
    <cellStyle name="Comma 6 6 3 2 2" xfId="6639"/>
    <cellStyle name="Comma 6 6 3 3" xfId="4847"/>
    <cellStyle name="Comma 6 6 4" xfId="581"/>
    <cellStyle name="Comma 6 6 4 2" xfId="6637"/>
    <cellStyle name="Comma 6 6 5" xfId="4845"/>
    <cellStyle name="Comma 6 7" xfId="582"/>
    <cellStyle name="Comma 6 7 2" xfId="583"/>
    <cellStyle name="Comma 6 7 2 2" xfId="6640"/>
    <cellStyle name="Comma 6 7 3" xfId="4848"/>
    <cellStyle name="Comma 6 8" xfId="584"/>
    <cellStyle name="Comma 6 8 2" xfId="585"/>
    <cellStyle name="Comma 6 8 2 2" xfId="6641"/>
    <cellStyle name="Comma 6 8 3" xfId="4849"/>
    <cellStyle name="Comma 6 9" xfId="586"/>
    <cellStyle name="Comma 6 9 2" xfId="587"/>
    <cellStyle name="Comma 6 9 2 2" xfId="6642"/>
    <cellStyle name="Comma 6 9 3" xfId="4850"/>
    <cellStyle name="Comma 7" xfId="588"/>
    <cellStyle name="Comma 7 2" xfId="589"/>
    <cellStyle name="Comma 7 2 2" xfId="590"/>
    <cellStyle name="Comma 7 2 2 2" xfId="6643"/>
    <cellStyle name="Comma 7 2 3" xfId="4852"/>
    <cellStyle name="Comma 7 3" xfId="591"/>
    <cellStyle name="Comma 7 4" xfId="592"/>
    <cellStyle name="Comma 7 4 2" xfId="4851"/>
    <cellStyle name="Comma 8" xfId="593"/>
    <cellStyle name="Comma 8 2" xfId="594"/>
    <cellStyle name="Comma 8 2 2" xfId="595"/>
    <cellStyle name="Comma 8 2 2 2" xfId="6645"/>
    <cellStyle name="Comma 8 2 3" xfId="4854"/>
    <cellStyle name="Comma 8 3" xfId="596"/>
    <cellStyle name="Comma 8 4" xfId="597"/>
    <cellStyle name="Comma 8 4 2" xfId="598"/>
    <cellStyle name="Comma 8 4 2 2" xfId="6644"/>
    <cellStyle name="Comma 8 4 3" xfId="4853"/>
    <cellStyle name="Comma 9" xfId="599"/>
    <cellStyle name="Comma 9 2" xfId="600"/>
    <cellStyle name="Comma 9 3" xfId="601"/>
    <cellStyle name="Comma 9 3 2" xfId="602"/>
    <cellStyle name="Comma 9 3 2 2" xfId="6646"/>
    <cellStyle name="Comma 9 3 3" xfId="4855"/>
    <cellStyle name="Comma(2)" xfId="603"/>
    <cellStyle name="Comma(2) 2" xfId="604"/>
    <cellStyle name="Comma0 - Style2" xfId="605"/>
    <cellStyle name="Comma1 - Style1" xfId="606"/>
    <cellStyle name="Comments" xfId="607"/>
    <cellStyle name="Currency" xfId="8097" builtinId="4"/>
    <cellStyle name="Currency 10" xfId="608"/>
    <cellStyle name="Currency 10 2" xfId="609"/>
    <cellStyle name="Currency 10 2 2" xfId="610"/>
    <cellStyle name="Currency 10 2 2 2" xfId="6647"/>
    <cellStyle name="Currency 10 2 3" xfId="4856"/>
    <cellStyle name="Currency 10 3" xfId="611"/>
    <cellStyle name="Currency 2" xfId="612"/>
    <cellStyle name="Currency 2 2" xfId="613"/>
    <cellStyle name="Currency 2 2 2" xfId="614"/>
    <cellStyle name="Currency 2 2 2 2" xfId="615"/>
    <cellStyle name="Currency 2 2 2 2 2" xfId="6648"/>
    <cellStyle name="Currency 2 2 2 3" xfId="4857"/>
    <cellStyle name="Currency 2 2 3" xfId="616"/>
    <cellStyle name="Currency 2 2 3 2" xfId="617"/>
    <cellStyle name="Currency 2 2 4" xfId="618"/>
    <cellStyle name="Currency 2 3" xfId="619"/>
    <cellStyle name="Currency 2 3 2" xfId="620"/>
    <cellStyle name="Currency 2 3 2 2" xfId="621"/>
    <cellStyle name="Currency 2 3 2 2 2" xfId="6649"/>
    <cellStyle name="Currency 2 3 2 3" xfId="4858"/>
    <cellStyle name="Currency 2 3 3" xfId="622"/>
    <cellStyle name="Currency 2 4" xfId="623"/>
    <cellStyle name="Currency 2 4 2" xfId="624"/>
    <cellStyle name="Currency 2 4 2 2" xfId="625"/>
    <cellStyle name="Currency 2 4 2 2 2" xfId="6651"/>
    <cellStyle name="Currency 2 4 2 3" xfId="4860"/>
    <cellStyle name="Currency 2 4 3" xfId="626"/>
    <cellStyle name="Currency 2 4 3 2" xfId="6650"/>
    <cellStyle name="Currency 2 4 4" xfId="4859"/>
    <cellStyle name="Currency 2 5" xfId="627"/>
    <cellStyle name="Currency 2 5 2" xfId="628"/>
    <cellStyle name="Currency 2 5 2 2" xfId="6652"/>
    <cellStyle name="Currency 2 5 3" xfId="629"/>
    <cellStyle name="Currency 2 5 4" xfId="4861"/>
    <cellStyle name="Currency 2 6" xfId="630"/>
    <cellStyle name="Currency 3" xfId="631"/>
    <cellStyle name="Currency 3 10" xfId="632"/>
    <cellStyle name="Currency 3 10 2" xfId="633"/>
    <cellStyle name="Currency 3 10 2 2" xfId="6654"/>
    <cellStyle name="Currency 3 10 3" xfId="4863"/>
    <cellStyle name="Currency 3 11" xfId="634"/>
    <cellStyle name="Currency 3 11 2" xfId="635"/>
    <cellStyle name="Currency 3 11 2 2" xfId="6653"/>
    <cellStyle name="Currency 3 11 3" xfId="4862"/>
    <cellStyle name="Currency 3 12" xfId="636"/>
    <cellStyle name="Currency 3 12 2" xfId="6342"/>
    <cellStyle name="Currency 3 13" xfId="4483"/>
    <cellStyle name="Currency 3 2" xfId="637"/>
    <cellStyle name="Currency 3 2 10" xfId="638"/>
    <cellStyle name="Currency 3 2 10 2" xfId="639"/>
    <cellStyle name="Currency 3 2 10 2 2" xfId="6655"/>
    <cellStyle name="Currency 3 2 10 3" xfId="4864"/>
    <cellStyle name="Currency 3 2 11" xfId="640"/>
    <cellStyle name="Currency 3 2 11 2" xfId="6346"/>
    <cellStyle name="Currency 3 2 12" xfId="4487"/>
    <cellStyle name="Currency 3 2 2" xfId="641"/>
    <cellStyle name="Currency 3 2 2 10" xfId="642"/>
    <cellStyle name="Currency 3 2 2 10 2" xfId="6360"/>
    <cellStyle name="Currency 3 2 2 11" xfId="4506"/>
    <cellStyle name="Currency 3 2 2 2" xfId="643"/>
    <cellStyle name="Currency 3 2 2 2 2" xfId="644"/>
    <cellStyle name="Currency 3 2 2 2 2 2" xfId="645"/>
    <cellStyle name="Currency 3 2 2 2 2 2 2" xfId="646"/>
    <cellStyle name="Currency 3 2 2 2 2 2 2 2" xfId="6659"/>
    <cellStyle name="Currency 3 2 2 2 2 2 3" xfId="4868"/>
    <cellStyle name="Currency 3 2 2 2 2 3" xfId="647"/>
    <cellStyle name="Currency 3 2 2 2 2 3 2" xfId="648"/>
    <cellStyle name="Currency 3 2 2 2 2 3 2 2" xfId="6660"/>
    <cellStyle name="Currency 3 2 2 2 2 3 3" xfId="4869"/>
    <cellStyle name="Currency 3 2 2 2 2 4" xfId="649"/>
    <cellStyle name="Currency 3 2 2 2 2 4 2" xfId="6658"/>
    <cellStyle name="Currency 3 2 2 2 2 5" xfId="4867"/>
    <cellStyle name="Currency 3 2 2 2 3" xfId="650"/>
    <cellStyle name="Currency 3 2 2 2 3 2" xfId="651"/>
    <cellStyle name="Currency 3 2 2 2 3 2 2" xfId="652"/>
    <cellStyle name="Currency 3 2 2 2 3 2 2 2" xfId="6662"/>
    <cellStyle name="Currency 3 2 2 2 3 2 3" xfId="4871"/>
    <cellStyle name="Currency 3 2 2 2 3 3" xfId="653"/>
    <cellStyle name="Currency 3 2 2 2 3 3 2" xfId="6661"/>
    <cellStyle name="Currency 3 2 2 2 3 4" xfId="4870"/>
    <cellStyle name="Currency 3 2 2 2 4" xfId="654"/>
    <cellStyle name="Currency 3 2 2 2 4 2" xfId="655"/>
    <cellStyle name="Currency 3 2 2 2 4 2 2" xfId="6663"/>
    <cellStyle name="Currency 3 2 2 2 4 3" xfId="4872"/>
    <cellStyle name="Currency 3 2 2 2 5" xfId="656"/>
    <cellStyle name="Currency 3 2 2 2 5 2" xfId="657"/>
    <cellStyle name="Currency 3 2 2 2 5 2 2" xfId="6664"/>
    <cellStyle name="Currency 3 2 2 2 5 3" xfId="4873"/>
    <cellStyle name="Currency 3 2 2 2 6" xfId="658"/>
    <cellStyle name="Currency 3 2 2 2 6 2" xfId="659"/>
    <cellStyle name="Currency 3 2 2 2 6 2 2" xfId="6657"/>
    <cellStyle name="Currency 3 2 2 2 6 3" xfId="4866"/>
    <cellStyle name="Currency 3 2 2 2 7" xfId="660"/>
    <cellStyle name="Currency 3 2 2 2 7 2" xfId="6429"/>
    <cellStyle name="Currency 3 2 2 2 8" xfId="4637"/>
    <cellStyle name="Currency 3 2 2 3" xfId="661"/>
    <cellStyle name="Currency 3 2 2 3 2" xfId="662"/>
    <cellStyle name="Currency 3 2 2 3 2 2" xfId="663"/>
    <cellStyle name="Currency 3 2 2 3 2 2 2" xfId="664"/>
    <cellStyle name="Currency 3 2 2 3 2 2 2 2" xfId="6667"/>
    <cellStyle name="Currency 3 2 2 3 2 2 3" xfId="4876"/>
    <cellStyle name="Currency 3 2 2 3 2 3" xfId="665"/>
    <cellStyle name="Currency 3 2 2 3 2 3 2" xfId="6666"/>
    <cellStyle name="Currency 3 2 2 3 2 4" xfId="4875"/>
    <cellStyle name="Currency 3 2 2 3 3" xfId="666"/>
    <cellStyle name="Currency 3 2 2 3 3 2" xfId="667"/>
    <cellStyle name="Currency 3 2 2 3 3 2 2" xfId="668"/>
    <cellStyle name="Currency 3 2 2 3 3 2 2 2" xfId="6669"/>
    <cellStyle name="Currency 3 2 2 3 3 2 3" xfId="4878"/>
    <cellStyle name="Currency 3 2 2 3 3 3" xfId="669"/>
    <cellStyle name="Currency 3 2 2 3 3 3 2" xfId="6668"/>
    <cellStyle name="Currency 3 2 2 3 3 4" xfId="4877"/>
    <cellStyle name="Currency 3 2 2 3 4" xfId="670"/>
    <cellStyle name="Currency 3 2 2 3 4 2" xfId="671"/>
    <cellStyle name="Currency 3 2 2 3 4 2 2" xfId="6670"/>
    <cellStyle name="Currency 3 2 2 3 4 3" xfId="4879"/>
    <cellStyle name="Currency 3 2 2 3 5" xfId="672"/>
    <cellStyle name="Currency 3 2 2 3 5 2" xfId="6665"/>
    <cellStyle name="Currency 3 2 2 3 6" xfId="4874"/>
    <cellStyle name="Currency 3 2 2 4" xfId="673"/>
    <cellStyle name="Currency 3 2 2 4 2" xfId="674"/>
    <cellStyle name="Currency 3 2 2 4 2 2" xfId="675"/>
    <cellStyle name="Currency 3 2 2 4 2 2 2" xfId="6672"/>
    <cellStyle name="Currency 3 2 2 4 2 3" xfId="4881"/>
    <cellStyle name="Currency 3 2 2 4 3" xfId="676"/>
    <cellStyle name="Currency 3 2 2 4 3 2" xfId="677"/>
    <cellStyle name="Currency 3 2 2 4 3 2 2" xfId="6673"/>
    <cellStyle name="Currency 3 2 2 4 3 3" xfId="4882"/>
    <cellStyle name="Currency 3 2 2 4 4" xfId="678"/>
    <cellStyle name="Currency 3 2 2 4 4 2" xfId="679"/>
    <cellStyle name="Currency 3 2 2 4 4 2 2" xfId="6674"/>
    <cellStyle name="Currency 3 2 2 4 4 3" xfId="4883"/>
    <cellStyle name="Currency 3 2 2 4 5" xfId="680"/>
    <cellStyle name="Currency 3 2 2 4 5 2" xfId="6671"/>
    <cellStyle name="Currency 3 2 2 4 6" xfId="4880"/>
    <cellStyle name="Currency 3 2 2 5" xfId="681"/>
    <cellStyle name="Currency 3 2 2 5 2" xfId="682"/>
    <cellStyle name="Currency 3 2 2 5 2 2" xfId="683"/>
    <cellStyle name="Currency 3 2 2 5 2 2 2" xfId="6676"/>
    <cellStyle name="Currency 3 2 2 5 2 3" xfId="4885"/>
    <cellStyle name="Currency 3 2 2 5 3" xfId="684"/>
    <cellStyle name="Currency 3 2 2 5 3 2" xfId="685"/>
    <cellStyle name="Currency 3 2 2 5 3 2 2" xfId="6677"/>
    <cellStyle name="Currency 3 2 2 5 3 3" xfId="4886"/>
    <cellStyle name="Currency 3 2 2 5 4" xfId="686"/>
    <cellStyle name="Currency 3 2 2 5 4 2" xfId="6675"/>
    <cellStyle name="Currency 3 2 2 5 5" xfId="4884"/>
    <cellStyle name="Currency 3 2 2 6" xfId="687"/>
    <cellStyle name="Currency 3 2 2 6 2" xfId="688"/>
    <cellStyle name="Currency 3 2 2 6 2 2" xfId="6678"/>
    <cellStyle name="Currency 3 2 2 6 3" xfId="4887"/>
    <cellStyle name="Currency 3 2 2 7" xfId="689"/>
    <cellStyle name="Currency 3 2 2 7 2" xfId="690"/>
    <cellStyle name="Currency 3 2 2 7 2 2" xfId="6679"/>
    <cellStyle name="Currency 3 2 2 7 3" xfId="4888"/>
    <cellStyle name="Currency 3 2 2 8" xfId="691"/>
    <cellStyle name="Currency 3 2 2 8 2" xfId="692"/>
    <cellStyle name="Currency 3 2 2 8 2 2" xfId="6680"/>
    <cellStyle name="Currency 3 2 2 8 3" xfId="4889"/>
    <cellStyle name="Currency 3 2 2 9" xfId="693"/>
    <cellStyle name="Currency 3 2 2 9 2" xfId="694"/>
    <cellStyle name="Currency 3 2 2 9 2 2" xfId="6656"/>
    <cellStyle name="Currency 3 2 2 9 3" xfId="4865"/>
    <cellStyle name="Currency 3 2 3" xfId="695"/>
    <cellStyle name="Currency 3 2 3 2" xfId="696"/>
    <cellStyle name="Currency 3 2 3 2 2" xfId="697"/>
    <cellStyle name="Currency 3 2 3 2 2 2" xfId="698"/>
    <cellStyle name="Currency 3 2 3 2 2 2 2" xfId="6683"/>
    <cellStyle name="Currency 3 2 3 2 2 3" xfId="4892"/>
    <cellStyle name="Currency 3 2 3 2 3" xfId="699"/>
    <cellStyle name="Currency 3 2 3 2 3 2" xfId="700"/>
    <cellStyle name="Currency 3 2 3 2 3 2 2" xfId="6684"/>
    <cellStyle name="Currency 3 2 3 2 3 3" xfId="4893"/>
    <cellStyle name="Currency 3 2 3 2 4" xfId="701"/>
    <cellStyle name="Currency 3 2 3 2 4 2" xfId="6682"/>
    <cellStyle name="Currency 3 2 3 2 5" xfId="4891"/>
    <cellStyle name="Currency 3 2 3 3" xfId="702"/>
    <cellStyle name="Currency 3 2 3 3 2" xfId="703"/>
    <cellStyle name="Currency 3 2 3 3 2 2" xfId="704"/>
    <cellStyle name="Currency 3 2 3 3 2 2 2" xfId="6686"/>
    <cellStyle name="Currency 3 2 3 3 2 3" xfId="4895"/>
    <cellStyle name="Currency 3 2 3 3 3" xfId="705"/>
    <cellStyle name="Currency 3 2 3 3 3 2" xfId="6685"/>
    <cellStyle name="Currency 3 2 3 3 4" xfId="4894"/>
    <cellStyle name="Currency 3 2 3 4" xfId="706"/>
    <cellStyle name="Currency 3 2 3 4 2" xfId="707"/>
    <cellStyle name="Currency 3 2 3 4 2 2" xfId="6687"/>
    <cellStyle name="Currency 3 2 3 4 3" xfId="4896"/>
    <cellStyle name="Currency 3 2 3 5" xfId="708"/>
    <cellStyle name="Currency 3 2 3 5 2" xfId="709"/>
    <cellStyle name="Currency 3 2 3 5 2 2" xfId="6688"/>
    <cellStyle name="Currency 3 2 3 5 3" xfId="4897"/>
    <cellStyle name="Currency 3 2 3 6" xfId="710"/>
    <cellStyle name="Currency 3 2 3 6 2" xfId="711"/>
    <cellStyle name="Currency 3 2 3 6 2 2" xfId="6681"/>
    <cellStyle name="Currency 3 2 3 6 3" xfId="4890"/>
    <cellStyle name="Currency 3 2 3 7" xfId="712"/>
    <cellStyle name="Currency 3 2 4" xfId="713"/>
    <cellStyle name="Currency 3 2 4 2" xfId="714"/>
    <cellStyle name="Currency 3 2 4 2 2" xfId="715"/>
    <cellStyle name="Currency 3 2 4 2 2 2" xfId="716"/>
    <cellStyle name="Currency 3 2 4 2 2 2 2" xfId="6691"/>
    <cellStyle name="Currency 3 2 4 2 2 3" xfId="4900"/>
    <cellStyle name="Currency 3 2 4 2 3" xfId="717"/>
    <cellStyle name="Currency 3 2 4 2 3 2" xfId="718"/>
    <cellStyle name="Currency 3 2 4 2 3 2 2" xfId="6690"/>
    <cellStyle name="Currency 3 2 4 2 3 3" xfId="4899"/>
    <cellStyle name="Currency 3 2 4 2 4" xfId="719"/>
    <cellStyle name="Currency 3 2 4 2 4 2" xfId="6467"/>
    <cellStyle name="Currency 3 2 4 2 5" xfId="4675"/>
    <cellStyle name="Currency 3 2 4 3" xfId="720"/>
    <cellStyle name="Currency 3 2 4 3 2" xfId="721"/>
    <cellStyle name="Currency 3 2 4 3 2 2" xfId="722"/>
    <cellStyle name="Currency 3 2 4 3 2 2 2" xfId="6693"/>
    <cellStyle name="Currency 3 2 4 3 2 3" xfId="4902"/>
    <cellStyle name="Currency 3 2 4 3 3" xfId="723"/>
    <cellStyle name="Currency 3 2 4 3 3 2" xfId="6692"/>
    <cellStyle name="Currency 3 2 4 3 4" xfId="4901"/>
    <cellStyle name="Currency 3 2 4 4" xfId="724"/>
    <cellStyle name="Currency 3 2 4 4 2" xfId="725"/>
    <cellStyle name="Currency 3 2 4 4 2 2" xfId="6694"/>
    <cellStyle name="Currency 3 2 4 4 3" xfId="4903"/>
    <cellStyle name="Currency 3 2 4 5" xfId="726"/>
    <cellStyle name="Currency 3 2 4 5 2" xfId="727"/>
    <cellStyle name="Currency 3 2 4 5 2 2" xfId="6689"/>
    <cellStyle name="Currency 3 2 4 5 3" xfId="4898"/>
    <cellStyle name="Currency 3 2 4 6" xfId="728"/>
    <cellStyle name="Currency 3 2 4 6 2" xfId="6398"/>
    <cellStyle name="Currency 3 2 4 7" xfId="4605"/>
    <cellStyle name="Currency 3 2 5" xfId="729"/>
    <cellStyle name="Currency 3 2 5 2" xfId="730"/>
    <cellStyle name="Currency 3 2 5 2 2" xfId="731"/>
    <cellStyle name="Currency 3 2 5 2 2 2" xfId="6696"/>
    <cellStyle name="Currency 3 2 5 2 3" xfId="4905"/>
    <cellStyle name="Currency 3 2 5 3" xfId="732"/>
    <cellStyle name="Currency 3 2 5 3 2" xfId="733"/>
    <cellStyle name="Currency 3 2 5 3 2 2" xfId="6697"/>
    <cellStyle name="Currency 3 2 5 3 3" xfId="4906"/>
    <cellStyle name="Currency 3 2 5 4" xfId="734"/>
    <cellStyle name="Currency 3 2 5 4 2" xfId="735"/>
    <cellStyle name="Currency 3 2 5 4 2 2" xfId="6698"/>
    <cellStyle name="Currency 3 2 5 4 3" xfId="4907"/>
    <cellStyle name="Currency 3 2 5 5" xfId="736"/>
    <cellStyle name="Currency 3 2 5 5 2" xfId="737"/>
    <cellStyle name="Currency 3 2 5 5 2 2" xfId="6695"/>
    <cellStyle name="Currency 3 2 5 5 3" xfId="4904"/>
    <cellStyle name="Currency 3 2 5 6" xfId="738"/>
    <cellStyle name="Currency 3 2 5 6 2" xfId="6415"/>
    <cellStyle name="Currency 3 2 5 7" xfId="4623"/>
    <cellStyle name="Currency 3 2 6" xfId="739"/>
    <cellStyle name="Currency 3 2 6 2" xfId="740"/>
    <cellStyle name="Currency 3 2 6 2 2" xfId="741"/>
    <cellStyle name="Currency 3 2 6 2 2 2" xfId="6700"/>
    <cellStyle name="Currency 3 2 6 2 3" xfId="4909"/>
    <cellStyle name="Currency 3 2 6 3" xfId="742"/>
    <cellStyle name="Currency 3 2 6 3 2" xfId="743"/>
    <cellStyle name="Currency 3 2 6 3 2 2" xfId="6701"/>
    <cellStyle name="Currency 3 2 6 3 3" xfId="4910"/>
    <cellStyle name="Currency 3 2 6 4" xfId="744"/>
    <cellStyle name="Currency 3 2 6 4 2" xfId="6699"/>
    <cellStyle name="Currency 3 2 6 5" xfId="4908"/>
    <cellStyle name="Currency 3 2 7" xfId="745"/>
    <cellStyle name="Currency 3 2 7 2" xfId="746"/>
    <cellStyle name="Currency 3 2 7 2 2" xfId="6702"/>
    <cellStyle name="Currency 3 2 7 3" xfId="4911"/>
    <cellStyle name="Currency 3 2 8" xfId="747"/>
    <cellStyle name="Currency 3 2 8 2" xfId="748"/>
    <cellStyle name="Currency 3 2 8 2 2" xfId="6703"/>
    <cellStyle name="Currency 3 2 8 3" xfId="4912"/>
    <cellStyle name="Currency 3 2 9" xfId="749"/>
    <cellStyle name="Currency 3 2 9 2" xfId="750"/>
    <cellStyle name="Currency 3 2 9 2 2" xfId="6704"/>
    <cellStyle name="Currency 3 2 9 3" xfId="4913"/>
    <cellStyle name="Currency 3 3" xfId="751"/>
    <cellStyle name="Currency 3 3 10" xfId="4502"/>
    <cellStyle name="Currency 3 3 2" xfId="752"/>
    <cellStyle name="Currency 3 3 2 2" xfId="753"/>
    <cellStyle name="Currency 3 3 2 2 2" xfId="754"/>
    <cellStyle name="Currency 3 3 2 2 2 2" xfId="6706"/>
    <cellStyle name="Currency 3 3 2 2 3" xfId="4915"/>
    <cellStyle name="Currency 3 3 2 3" xfId="755"/>
    <cellStyle name="Currency 3 3 2 3 2" xfId="756"/>
    <cellStyle name="Currency 3 3 2 3 2 2" xfId="6707"/>
    <cellStyle name="Currency 3 3 2 3 3" xfId="4916"/>
    <cellStyle name="Currency 3 3 2 4" xfId="757"/>
    <cellStyle name="Currency 3 3 2 4 2" xfId="758"/>
    <cellStyle name="Currency 3 3 2 4 2 2" xfId="6705"/>
    <cellStyle name="Currency 3 3 2 4 3" xfId="4914"/>
    <cellStyle name="Currency 3 3 2 5" xfId="759"/>
    <cellStyle name="Currency 3 3 2 5 2" xfId="6425"/>
    <cellStyle name="Currency 3 3 2 6" xfId="4633"/>
    <cellStyle name="Currency 3 3 3" xfId="760"/>
    <cellStyle name="Currency 3 3 3 2" xfId="761"/>
    <cellStyle name="Currency 3 3 3 2 2" xfId="762"/>
    <cellStyle name="Currency 3 3 3 2 2 2" xfId="6709"/>
    <cellStyle name="Currency 3 3 3 2 3" xfId="4918"/>
    <cellStyle name="Currency 3 3 3 3" xfId="763"/>
    <cellStyle name="Currency 3 3 3 3 2" xfId="764"/>
    <cellStyle name="Currency 3 3 3 3 2 2" xfId="6710"/>
    <cellStyle name="Currency 3 3 3 3 3" xfId="4919"/>
    <cellStyle name="Currency 3 3 3 4" xfId="765"/>
    <cellStyle name="Currency 3 3 3 4 2" xfId="6708"/>
    <cellStyle name="Currency 3 3 3 5" xfId="4917"/>
    <cellStyle name="Currency 3 3 4" xfId="766"/>
    <cellStyle name="Currency 3 3 4 2" xfId="767"/>
    <cellStyle name="Currency 3 3 4 2 2" xfId="6711"/>
    <cellStyle name="Currency 3 3 4 3" xfId="4920"/>
    <cellStyle name="Currency 3 3 5" xfId="768"/>
    <cellStyle name="Currency 3 3 5 2" xfId="769"/>
    <cellStyle name="Currency 3 3 5 2 2" xfId="6712"/>
    <cellStyle name="Currency 3 3 5 3" xfId="4921"/>
    <cellStyle name="Currency 3 3 6" xfId="770"/>
    <cellStyle name="Currency 3 3 6 2" xfId="771"/>
    <cellStyle name="Currency 3 3 6 2 2" xfId="6713"/>
    <cellStyle name="Currency 3 3 6 3" xfId="4922"/>
    <cellStyle name="Currency 3 3 7" xfId="772"/>
    <cellStyle name="Currency 3 3 8" xfId="773"/>
    <cellStyle name="Currency 3 3 8 2" xfId="6356"/>
    <cellStyle name="Currency 3 3 9" xfId="774"/>
    <cellStyle name="Currency 3 4" xfId="775"/>
    <cellStyle name="Currency 3 4 2" xfId="776"/>
    <cellStyle name="Currency 3 4 2 2" xfId="777"/>
    <cellStyle name="Currency 3 4 2 2 2" xfId="778"/>
    <cellStyle name="Currency 3 4 2 2 2 2" xfId="779"/>
    <cellStyle name="Currency 3 4 2 2 2 2 2" xfId="6717"/>
    <cellStyle name="Currency 3 4 2 2 2 3" xfId="4926"/>
    <cellStyle name="Currency 3 4 2 2 3" xfId="780"/>
    <cellStyle name="Currency 3 4 2 2 3 2" xfId="6716"/>
    <cellStyle name="Currency 3 4 2 2 4" xfId="4925"/>
    <cellStyle name="Currency 3 4 2 3" xfId="781"/>
    <cellStyle name="Currency 3 4 2 3 2" xfId="782"/>
    <cellStyle name="Currency 3 4 2 3 2 2" xfId="6718"/>
    <cellStyle name="Currency 3 4 2 3 3" xfId="4927"/>
    <cellStyle name="Currency 3 4 2 4" xfId="783"/>
    <cellStyle name="Currency 3 4 2 4 2" xfId="784"/>
    <cellStyle name="Currency 3 4 2 4 2 2" xfId="6719"/>
    <cellStyle name="Currency 3 4 2 4 3" xfId="4928"/>
    <cellStyle name="Currency 3 4 2 5" xfId="785"/>
    <cellStyle name="Currency 3 4 2 5 2" xfId="786"/>
    <cellStyle name="Currency 3 4 2 5 2 2" xfId="6720"/>
    <cellStyle name="Currency 3 4 2 5 3" xfId="4929"/>
    <cellStyle name="Currency 3 4 2 6" xfId="787"/>
    <cellStyle name="Currency 3 4 2 6 2" xfId="6715"/>
    <cellStyle name="Currency 3 4 2 7" xfId="4924"/>
    <cellStyle name="Currency 3 4 3" xfId="788"/>
    <cellStyle name="Currency 3 4 3 2" xfId="789"/>
    <cellStyle name="Currency 3 4 3 2 2" xfId="790"/>
    <cellStyle name="Currency 3 4 3 2 2 2" xfId="6722"/>
    <cellStyle name="Currency 3 4 3 2 3" xfId="4931"/>
    <cellStyle name="Currency 3 4 3 3" xfId="791"/>
    <cellStyle name="Currency 3 4 3 3 2" xfId="792"/>
    <cellStyle name="Currency 3 4 3 3 2 2" xfId="6723"/>
    <cellStyle name="Currency 3 4 3 3 3" xfId="4932"/>
    <cellStyle name="Currency 3 4 3 4" xfId="793"/>
    <cellStyle name="Currency 3 4 3 4 2" xfId="6721"/>
    <cellStyle name="Currency 3 4 3 5" xfId="4930"/>
    <cellStyle name="Currency 3 4 4" xfId="794"/>
    <cellStyle name="Currency 3 4 4 2" xfId="795"/>
    <cellStyle name="Currency 3 4 4 2 2" xfId="796"/>
    <cellStyle name="Currency 3 4 4 2 2 2" xfId="6725"/>
    <cellStyle name="Currency 3 4 4 2 3" xfId="4934"/>
    <cellStyle name="Currency 3 4 4 3" xfId="797"/>
    <cellStyle name="Currency 3 4 4 3 2" xfId="6724"/>
    <cellStyle name="Currency 3 4 4 4" xfId="4933"/>
    <cellStyle name="Currency 3 4 5" xfId="798"/>
    <cellStyle name="Currency 3 4 5 2" xfId="799"/>
    <cellStyle name="Currency 3 4 5 2 2" xfId="6726"/>
    <cellStyle name="Currency 3 4 5 3" xfId="4935"/>
    <cellStyle name="Currency 3 4 6" xfId="800"/>
    <cellStyle name="Currency 3 4 6 2" xfId="801"/>
    <cellStyle name="Currency 3 4 6 2 2" xfId="6727"/>
    <cellStyle name="Currency 3 4 6 3" xfId="4936"/>
    <cellStyle name="Currency 3 4 7" xfId="802"/>
    <cellStyle name="Currency 3 4 8" xfId="803"/>
    <cellStyle name="Currency 3 4 8 2" xfId="804"/>
    <cellStyle name="Currency 3 4 8 2 2" xfId="6714"/>
    <cellStyle name="Currency 3 4 8 3" xfId="4923"/>
    <cellStyle name="Currency 3 4 9" xfId="805"/>
    <cellStyle name="Currency 3 5" xfId="806"/>
    <cellStyle name="Currency 3 5 10" xfId="4601"/>
    <cellStyle name="Currency 3 5 2" xfId="807"/>
    <cellStyle name="Currency 3 5 2 2" xfId="808"/>
    <cellStyle name="Currency 3 5 2 2 2" xfId="809"/>
    <cellStyle name="Currency 3 5 2 2 2 2" xfId="810"/>
    <cellStyle name="Currency 3 5 2 2 2 2 2" xfId="6731"/>
    <cellStyle name="Currency 3 5 2 2 2 3" xfId="4940"/>
    <cellStyle name="Currency 3 5 2 2 3" xfId="811"/>
    <cellStyle name="Currency 3 5 2 2 3 2" xfId="6730"/>
    <cellStyle name="Currency 3 5 2 2 4" xfId="4939"/>
    <cellStyle name="Currency 3 5 2 3" xfId="812"/>
    <cellStyle name="Currency 3 5 2 3 2" xfId="813"/>
    <cellStyle name="Currency 3 5 2 3 2 2" xfId="6732"/>
    <cellStyle name="Currency 3 5 2 3 3" xfId="4941"/>
    <cellStyle name="Currency 3 5 2 4" xfId="814"/>
    <cellStyle name="Currency 3 5 2 4 2" xfId="815"/>
    <cellStyle name="Currency 3 5 2 4 2 2" xfId="6733"/>
    <cellStyle name="Currency 3 5 2 4 3" xfId="4942"/>
    <cellStyle name="Currency 3 5 2 5" xfId="816"/>
    <cellStyle name="Currency 3 5 2 5 2" xfId="817"/>
    <cellStyle name="Currency 3 5 2 5 2 2" xfId="6729"/>
    <cellStyle name="Currency 3 5 2 5 3" xfId="4938"/>
    <cellStyle name="Currency 3 5 2 6" xfId="818"/>
    <cellStyle name="Currency 3 5 2 6 2" xfId="6463"/>
    <cellStyle name="Currency 3 5 2 7" xfId="4671"/>
    <cellStyle name="Currency 3 5 3" xfId="819"/>
    <cellStyle name="Currency 3 5 3 2" xfId="820"/>
    <cellStyle name="Currency 3 5 3 2 2" xfId="821"/>
    <cellStyle name="Currency 3 5 3 2 2 2" xfId="6735"/>
    <cellStyle name="Currency 3 5 3 2 3" xfId="4944"/>
    <cellStyle name="Currency 3 5 3 3" xfId="822"/>
    <cellStyle name="Currency 3 5 3 3 2" xfId="6734"/>
    <cellStyle name="Currency 3 5 3 4" xfId="4943"/>
    <cellStyle name="Currency 3 5 4" xfId="823"/>
    <cellStyle name="Currency 3 5 4 2" xfId="824"/>
    <cellStyle name="Currency 3 5 4 2 2" xfId="6736"/>
    <cellStyle name="Currency 3 5 4 3" xfId="4945"/>
    <cellStyle name="Currency 3 5 5" xfId="825"/>
    <cellStyle name="Currency 3 5 5 2" xfId="826"/>
    <cellStyle name="Currency 3 5 5 2 2" xfId="6737"/>
    <cellStyle name="Currency 3 5 5 3" xfId="4946"/>
    <cellStyle name="Currency 3 5 6" xfId="827"/>
    <cellStyle name="Currency 3 5 7" xfId="828"/>
    <cellStyle name="Currency 3 5 7 2" xfId="829"/>
    <cellStyle name="Currency 3 5 7 2 2" xfId="6728"/>
    <cellStyle name="Currency 3 5 7 3" xfId="4937"/>
    <cellStyle name="Currency 3 5 8" xfId="830"/>
    <cellStyle name="Currency 3 5 8 2" xfId="6394"/>
    <cellStyle name="Currency 3 5 9" xfId="831"/>
    <cellStyle name="Currency 3 6" xfId="832"/>
    <cellStyle name="Currency 3 6 2" xfId="833"/>
    <cellStyle name="Currency 3 6 2 2" xfId="834"/>
    <cellStyle name="Currency 3 6 2 2 2" xfId="6739"/>
    <cellStyle name="Currency 3 6 2 3" xfId="4948"/>
    <cellStyle name="Currency 3 6 3" xfId="835"/>
    <cellStyle name="Currency 3 6 3 2" xfId="836"/>
    <cellStyle name="Currency 3 6 3 2 2" xfId="6740"/>
    <cellStyle name="Currency 3 6 3 3" xfId="4949"/>
    <cellStyle name="Currency 3 6 4" xfId="837"/>
    <cellStyle name="Currency 3 6 4 2" xfId="838"/>
    <cellStyle name="Currency 3 6 4 2 2" xfId="6741"/>
    <cellStyle name="Currency 3 6 4 3" xfId="4950"/>
    <cellStyle name="Currency 3 6 5" xfId="839"/>
    <cellStyle name="Currency 3 6 5 2" xfId="840"/>
    <cellStyle name="Currency 3 6 5 2 2" xfId="6738"/>
    <cellStyle name="Currency 3 6 5 3" xfId="4947"/>
    <cellStyle name="Currency 3 6 6" xfId="841"/>
    <cellStyle name="Currency 3 6 6 2" xfId="6411"/>
    <cellStyle name="Currency 3 6 7" xfId="4619"/>
    <cellStyle name="Currency 3 7" xfId="842"/>
    <cellStyle name="Currency 3 7 2" xfId="843"/>
    <cellStyle name="Currency 3 7 2 2" xfId="844"/>
    <cellStyle name="Currency 3 7 2 2 2" xfId="6743"/>
    <cellStyle name="Currency 3 7 2 3" xfId="4952"/>
    <cellStyle name="Currency 3 7 3" xfId="845"/>
    <cellStyle name="Currency 3 7 3 2" xfId="846"/>
    <cellStyle name="Currency 3 7 3 2 2" xfId="6744"/>
    <cellStyle name="Currency 3 7 3 3" xfId="4953"/>
    <cellStyle name="Currency 3 7 4" xfId="847"/>
    <cellStyle name="Currency 3 7 4 2" xfId="6742"/>
    <cellStyle name="Currency 3 7 5" xfId="4951"/>
    <cellStyle name="Currency 3 8" xfId="848"/>
    <cellStyle name="Currency 3 8 2" xfId="849"/>
    <cellStyle name="Currency 3 8 2 2" xfId="6745"/>
    <cellStyle name="Currency 3 8 3" xfId="4954"/>
    <cellStyle name="Currency 3 9" xfId="850"/>
    <cellStyle name="Currency 3 9 2" xfId="851"/>
    <cellStyle name="Currency 3 9 2 2" xfId="6746"/>
    <cellStyle name="Currency 3 9 3" xfId="4955"/>
    <cellStyle name="Currency 4" xfId="852"/>
    <cellStyle name="Currency 4 2" xfId="853"/>
    <cellStyle name="Currency 4 2 2" xfId="854"/>
    <cellStyle name="Currency 4 2 3" xfId="855"/>
    <cellStyle name="Currency 4 3" xfId="856"/>
    <cellStyle name="Currency 4 3 2" xfId="857"/>
    <cellStyle name="Currency 4 4" xfId="858"/>
    <cellStyle name="Currency 4 4 2" xfId="859"/>
    <cellStyle name="Currency 4 4 2 2" xfId="8072"/>
    <cellStyle name="Currency 4 4 3" xfId="6314"/>
    <cellStyle name="Currency 4 5" xfId="860"/>
    <cellStyle name="Currency 4 5 2" xfId="861"/>
    <cellStyle name="Currency 4 5 2 2" xfId="8071"/>
    <cellStyle name="Currency 4 5 3" xfId="6313"/>
    <cellStyle name="Currency 4 6" xfId="862"/>
    <cellStyle name="Currency 4 6 2" xfId="863"/>
    <cellStyle name="Currency 4 6 2 2" xfId="8070"/>
    <cellStyle name="Currency 4 6 3" xfId="6312"/>
    <cellStyle name="Currency 4 7" xfId="864"/>
    <cellStyle name="Currency 4 7 2" xfId="865"/>
    <cellStyle name="Currency 4 7 2 2" xfId="8069"/>
    <cellStyle name="Currency 4 7 3" xfId="6311"/>
    <cellStyle name="Currency 5" xfId="866"/>
    <cellStyle name="Currency 5 2" xfId="867"/>
    <cellStyle name="Currency 5 2 10" xfId="4957"/>
    <cellStyle name="Currency 5 2 2" xfId="868"/>
    <cellStyle name="Currency 5 2 2 2" xfId="869"/>
    <cellStyle name="Currency 5 2 2 2 2" xfId="870"/>
    <cellStyle name="Currency 5 2 2 2 2 2" xfId="871"/>
    <cellStyle name="Currency 5 2 2 2 2 2 2" xfId="6751"/>
    <cellStyle name="Currency 5 2 2 2 2 3" xfId="4960"/>
    <cellStyle name="Currency 5 2 2 2 3" xfId="872"/>
    <cellStyle name="Currency 5 2 2 2 3 2" xfId="6750"/>
    <cellStyle name="Currency 5 2 2 2 4" xfId="4959"/>
    <cellStyle name="Currency 5 2 2 3" xfId="873"/>
    <cellStyle name="Currency 5 2 2 3 2" xfId="874"/>
    <cellStyle name="Currency 5 2 2 3 2 2" xfId="6752"/>
    <cellStyle name="Currency 5 2 2 3 3" xfId="4961"/>
    <cellStyle name="Currency 5 2 2 4" xfId="875"/>
    <cellStyle name="Currency 5 2 2 4 2" xfId="876"/>
    <cellStyle name="Currency 5 2 2 4 2 2" xfId="6753"/>
    <cellStyle name="Currency 5 2 2 4 3" xfId="4962"/>
    <cellStyle name="Currency 5 2 2 5" xfId="877"/>
    <cellStyle name="Currency 5 2 2 6" xfId="878"/>
    <cellStyle name="Currency 5 2 2 6 2" xfId="6749"/>
    <cellStyle name="Currency 5 2 2 7" xfId="879"/>
    <cellStyle name="Currency 5 2 2 8" xfId="4958"/>
    <cellStyle name="Currency 5 2 3" xfId="880"/>
    <cellStyle name="Currency 5 2 3 2" xfId="881"/>
    <cellStyle name="Currency 5 2 3 2 2" xfId="882"/>
    <cellStyle name="Currency 5 2 3 2 2 2" xfId="6755"/>
    <cellStyle name="Currency 5 2 3 2 3" xfId="4964"/>
    <cellStyle name="Currency 5 2 3 3" xfId="883"/>
    <cellStyle name="Currency 5 2 3 3 2" xfId="884"/>
    <cellStyle name="Currency 5 2 3 3 2 2" xfId="6756"/>
    <cellStyle name="Currency 5 2 3 3 3" xfId="4965"/>
    <cellStyle name="Currency 5 2 3 4" xfId="885"/>
    <cellStyle name="Currency 5 2 3 4 2" xfId="6754"/>
    <cellStyle name="Currency 5 2 3 5" xfId="4963"/>
    <cellStyle name="Currency 5 2 4" xfId="886"/>
    <cellStyle name="Currency 5 2 4 2" xfId="887"/>
    <cellStyle name="Currency 5 2 4 2 2" xfId="888"/>
    <cellStyle name="Currency 5 2 4 2 2 2" xfId="6758"/>
    <cellStyle name="Currency 5 2 4 2 3" xfId="4967"/>
    <cellStyle name="Currency 5 2 4 3" xfId="889"/>
    <cellStyle name="Currency 5 2 4 3 2" xfId="6757"/>
    <cellStyle name="Currency 5 2 4 4" xfId="4966"/>
    <cellStyle name="Currency 5 2 5" xfId="890"/>
    <cellStyle name="Currency 5 2 5 2" xfId="891"/>
    <cellStyle name="Currency 5 2 5 2 2" xfId="6759"/>
    <cellStyle name="Currency 5 2 5 3" xfId="4968"/>
    <cellStyle name="Currency 5 2 6" xfId="892"/>
    <cellStyle name="Currency 5 2 6 2" xfId="893"/>
    <cellStyle name="Currency 5 2 6 2 2" xfId="6760"/>
    <cellStyle name="Currency 5 2 6 3" xfId="4969"/>
    <cellStyle name="Currency 5 2 7" xfId="894"/>
    <cellStyle name="Currency 5 2 8" xfId="895"/>
    <cellStyle name="Currency 5 2 8 2" xfId="6748"/>
    <cellStyle name="Currency 5 2 9" xfId="896"/>
    <cellStyle name="Currency 5 3" xfId="897"/>
    <cellStyle name="Currency 5 3 2" xfId="898"/>
    <cellStyle name="Currency 5 3 2 2" xfId="899"/>
    <cellStyle name="Currency 5 3 2 2 2" xfId="900"/>
    <cellStyle name="Currency 5 3 2 2 2 2" xfId="6763"/>
    <cellStyle name="Currency 5 3 2 2 3" xfId="4972"/>
    <cellStyle name="Currency 5 3 2 3" xfId="901"/>
    <cellStyle name="Currency 5 3 2 4" xfId="902"/>
    <cellStyle name="Currency 5 3 2 4 2" xfId="6762"/>
    <cellStyle name="Currency 5 3 2 5" xfId="4971"/>
    <cellStyle name="Currency 5 3 3" xfId="903"/>
    <cellStyle name="Currency 5 3 3 2" xfId="904"/>
    <cellStyle name="Currency 5 3 3 3" xfId="905"/>
    <cellStyle name="Currency 5 3 3 3 2" xfId="6764"/>
    <cellStyle name="Currency 5 3 3 4" xfId="4973"/>
    <cellStyle name="Currency 5 3 4" xfId="906"/>
    <cellStyle name="Currency 5 3 4 2" xfId="907"/>
    <cellStyle name="Currency 5 3 4 2 2" xfId="908"/>
    <cellStyle name="Currency 5 3 4 2 2 2" xfId="6766"/>
    <cellStyle name="Currency 5 3 4 2 3" xfId="4975"/>
    <cellStyle name="Currency 5 3 4 3" xfId="909"/>
    <cellStyle name="Currency 5 3 4 3 2" xfId="6765"/>
    <cellStyle name="Currency 5 3 4 4" xfId="4974"/>
    <cellStyle name="Currency 5 3 5" xfId="910"/>
    <cellStyle name="Currency 5 3 5 2" xfId="911"/>
    <cellStyle name="Currency 5 3 5 2 2" xfId="6767"/>
    <cellStyle name="Currency 5 3 5 3" xfId="4976"/>
    <cellStyle name="Currency 5 3 6" xfId="912"/>
    <cellStyle name="Currency 5 3 6 2" xfId="6761"/>
    <cellStyle name="Currency 5 3 7" xfId="913"/>
    <cellStyle name="Currency 5 3 8" xfId="4970"/>
    <cellStyle name="Currency 5 4" xfId="914"/>
    <cellStyle name="Currency 5 4 2" xfId="915"/>
    <cellStyle name="Currency 5 4 2 2" xfId="916"/>
    <cellStyle name="Currency 5 4 2 2 2" xfId="917"/>
    <cellStyle name="Currency 5 4 2 2 2 2" xfId="6770"/>
    <cellStyle name="Currency 5 4 2 2 3" xfId="4979"/>
    <cellStyle name="Currency 5 4 2 3" xfId="918"/>
    <cellStyle name="Currency 5 4 2 3 2" xfId="6769"/>
    <cellStyle name="Currency 5 4 2 4" xfId="4978"/>
    <cellStyle name="Currency 5 4 3" xfId="919"/>
    <cellStyle name="Currency 5 4 3 2" xfId="920"/>
    <cellStyle name="Currency 5 4 3 2 2" xfId="921"/>
    <cellStyle name="Currency 5 4 3 2 2 2" xfId="6772"/>
    <cellStyle name="Currency 5 4 3 2 3" xfId="4981"/>
    <cellStyle name="Currency 5 4 3 3" xfId="922"/>
    <cellStyle name="Currency 5 4 3 3 2" xfId="6771"/>
    <cellStyle name="Currency 5 4 3 4" xfId="4980"/>
    <cellStyle name="Currency 5 4 4" xfId="923"/>
    <cellStyle name="Currency 5 4 4 2" xfId="924"/>
    <cellStyle name="Currency 5 4 4 2 2" xfId="6773"/>
    <cellStyle name="Currency 5 4 4 3" xfId="4982"/>
    <cellStyle name="Currency 5 4 5" xfId="925"/>
    <cellStyle name="Currency 5 4 5 2" xfId="6768"/>
    <cellStyle name="Currency 5 4 6" xfId="4977"/>
    <cellStyle name="Currency 5 5" xfId="926"/>
    <cellStyle name="Currency 5 5 2" xfId="927"/>
    <cellStyle name="Currency 5 5 2 2" xfId="928"/>
    <cellStyle name="Currency 5 5 2 2 2" xfId="929"/>
    <cellStyle name="Currency 5 5 2 2 2 2" xfId="6776"/>
    <cellStyle name="Currency 5 5 2 2 3" xfId="4985"/>
    <cellStyle name="Currency 5 5 2 3" xfId="930"/>
    <cellStyle name="Currency 5 5 2 3 2" xfId="6775"/>
    <cellStyle name="Currency 5 5 2 4" xfId="4984"/>
    <cellStyle name="Currency 5 5 3" xfId="931"/>
    <cellStyle name="Currency 5 5 3 2" xfId="932"/>
    <cellStyle name="Currency 5 5 3 2 2" xfId="6777"/>
    <cellStyle name="Currency 5 5 3 3" xfId="4986"/>
    <cellStyle name="Currency 5 5 4" xfId="933"/>
    <cellStyle name="Currency 5 5 4 2" xfId="934"/>
    <cellStyle name="Currency 5 5 4 2 2" xfId="6778"/>
    <cellStyle name="Currency 5 5 4 3" xfId="4987"/>
    <cellStyle name="Currency 5 5 5" xfId="935"/>
    <cellStyle name="Currency 5 5 5 2" xfId="6774"/>
    <cellStyle name="Currency 5 5 6" xfId="4983"/>
    <cellStyle name="Currency 5 6" xfId="936"/>
    <cellStyle name="Currency 5 6 2" xfId="937"/>
    <cellStyle name="Currency 5 6 2 2" xfId="938"/>
    <cellStyle name="Currency 5 6 2 2 2" xfId="6780"/>
    <cellStyle name="Currency 5 6 2 3" xfId="4989"/>
    <cellStyle name="Currency 5 6 3" xfId="939"/>
    <cellStyle name="Currency 5 6 3 2" xfId="6779"/>
    <cellStyle name="Currency 5 6 4" xfId="4988"/>
    <cellStyle name="Currency 5 7" xfId="940"/>
    <cellStyle name="Currency 5 7 2" xfId="941"/>
    <cellStyle name="Currency 5 7 2 2" xfId="6781"/>
    <cellStyle name="Currency 5 7 3" xfId="4990"/>
    <cellStyle name="Currency 5 8" xfId="942"/>
    <cellStyle name="Currency 5 8 2" xfId="943"/>
    <cellStyle name="Currency 5 8 2 2" xfId="6782"/>
    <cellStyle name="Currency 5 8 3" xfId="4991"/>
    <cellStyle name="Currency 5 9" xfId="944"/>
    <cellStyle name="Currency 5 9 2" xfId="945"/>
    <cellStyle name="Currency 5 9 2 2" xfId="6747"/>
    <cellStyle name="Currency 5 9 3" xfId="4956"/>
    <cellStyle name="Currency 6" xfId="946"/>
    <cellStyle name="Currency 6 2" xfId="947"/>
    <cellStyle name="Currency 6 2 2" xfId="948"/>
    <cellStyle name="Currency 6 2 2 2" xfId="949"/>
    <cellStyle name="Currency 6 2 2 2 2" xfId="6459"/>
    <cellStyle name="Currency 6 2 2 3" xfId="4667"/>
    <cellStyle name="Currency 6 2 3" xfId="950"/>
    <cellStyle name="Currency 6 2 4" xfId="951"/>
    <cellStyle name="Currency 6 2 4 2" xfId="6390"/>
    <cellStyle name="Currency 6 2 5" xfId="952"/>
    <cellStyle name="Currency 6 2 6" xfId="4597"/>
    <cellStyle name="Currency 6 3" xfId="953"/>
    <cellStyle name="Currency 6 3 2" xfId="954"/>
    <cellStyle name="Currency 6 3 3" xfId="955"/>
    <cellStyle name="Currency 6 3 4" xfId="956"/>
    <cellStyle name="Currency 6 3 4 2" xfId="6447"/>
    <cellStyle name="Currency 6 3 5" xfId="4655"/>
    <cellStyle name="Currency 6 4" xfId="957"/>
    <cellStyle name="Currency 6 5" xfId="958"/>
    <cellStyle name="Currency 6 5 2" xfId="4992"/>
    <cellStyle name="Currency 6 6" xfId="959"/>
    <cellStyle name="Currency 6 6 2" xfId="6378"/>
    <cellStyle name="Currency 6 7" xfId="960"/>
    <cellStyle name="Currency 6 8" xfId="4533"/>
    <cellStyle name="Currency 7" xfId="961"/>
    <cellStyle name="Currency 7 2" xfId="962"/>
    <cellStyle name="Currency 7 2 2" xfId="963"/>
    <cellStyle name="Currency 7 2 2 2" xfId="6784"/>
    <cellStyle name="Currency 7 2 3" xfId="964"/>
    <cellStyle name="Currency 7 2 4" xfId="4994"/>
    <cellStyle name="Currency 7 3" xfId="965"/>
    <cellStyle name="Currency 7 4" xfId="966"/>
    <cellStyle name="Currency 7 4 2" xfId="967"/>
    <cellStyle name="Currency 7 4 2 2" xfId="6783"/>
    <cellStyle name="Currency 7 4 3" xfId="4993"/>
    <cellStyle name="Currency 8" xfId="968"/>
    <cellStyle name="Currency 8 2" xfId="969"/>
    <cellStyle name="Currency 8 2 2" xfId="970"/>
    <cellStyle name="Currency 8 3" xfId="971"/>
    <cellStyle name="Currency 8 3 2" xfId="972"/>
    <cellStyle name="Currency 8 3 2 2" xfId="6786"/>
    <cellStyle name="Currency 8 3 3" xfId="4996"/>
    <cellStyle name="Currency 8 4" xfId="973"/>
    <cellStyle name="Currency 8 4 2" xfId="974"/>
    <cellStyle name="Currency 8 4 2 2" xfId="6787"/>
    <cellStyle name="Currency 8 4 3" xfId="4997"/>
    <cellStyle name="Currency 8 5" xfId="975"/>
    <cellStyle name="Currency 8 5 2" xfId="976"/>
    <cellStyle name="Currency 8 5 2 2" xfId="6785"/>
    <cellStyle name="Currency 8 5 3" xfId="4995"/>
    <cellStyle name="Currency 8 6" xfId="977"/>
    <cellStyle name="Currency 9" xfId="978"/>
    <cellStyle name="Currency 9 2" xfId="979"/>
    <cellStyle name="Currency 9 3" xfId="980"/>
    <cellStyle name="Currency 9 3 2" xfId="981"/>
    <cellStyle name="Currency 9 3 2 2" xfId="6789"/>
    <cellStyle name="Currency 9 3 3" xfId="4999"/>
    <cellStyle name="Currency 9 4" xfId="982"/>
    <cellStyle name="Currency 9 4 2" xfId="983"/>
    <cellStyle name="Currency 9 4 2 2" xfId="6788"/>
    <cellStyle name="Currency 9 4 3" xfId="4998"/>
    <cellStyle name="Currency 9 5" xfId="984"/>
    <cellStyle name="Custom - Style1" xfId="985"/>
    <cellStyle name="Custom - Style8" xfId="986"/>
    <cellStyle name="Data   - Style2" xfId="987"/>
    <cellStyle name="Data Enter" xfId="988"/>
    <cellStyle name="Explanatory Text" xfId="989" builtinId="53" customBuiltin="1"/>
    <cellStyle name="Explanatory Text 2" xfId="990"/>
    <cellStyle name="Explanatory Text 3" xfId="991"/>
    <cellStyle name="F9ReportControlStyle_ctpInquire" xfId="992"/>
    <cellStyle name="FactSheet" xfId="993"/>
    <cellStyle name="Good" xfId="994" builtinId="26" customBuiltin="1"/>
    <cellStyle name="Good 2" xfId="995"/>
    <cellStyle name="Good 2 2" xfId="996"/>
    <cellStyle name="Good 2 3" xfId="997"/>
    <cellStyle name="Good 3" xfId="998"/>
    <cellStyle name="Heading 1" xfId="999" builtinId="16" customBuiltin="1"/>
    <cellStyle name="Heading 1 2" xfId="1000"/>
    <cellStyle name="Heading 1 3" xfId="1001"/>
    <cellStyle name="Heading 2" xfId="1002" builtinId="17" customBuiltin="1"/>
    <cellStyle name="Heading 2 2" xfId="1003"/>
    <cellStyle name="Heading 2 3" xfId="1004"/>
    <cellStyle name="Heading 3" xfId="1005" builtinId="18" customBuiltin="1"/>
    <cellStyle name="Heading 3 2" xfId="1006"/>
    <cellStyle name="Heading 3 3" xfId="1007"/>
    <cellStyle name="Heading 4" xfId="1008" builtinId="19" customBuiltin="1"/>
    <cellStyle name="Heading 4 2" xfId="1009"/>
    <cellStyle name="Heading 4 2 2" xfId="1010"/>
    <cellStyle name="Heading 4 3" xfId="1011"/>
    <cellStyle name="Hyperlink 2" xfId="1012"/>
    <cellStyle name="Hyperlink 2 2" xfId="1013"/>
    <cellStyle name="Hyperlink 2 3" xfId="1014"/>
    <cellStyle name="Hyperlink 3" xfId="1015"/>
    <cellStyle name="Hyperlink 4" xfId="1016"/>
    <cellStyle name="Input" xfId="1017" builtinId="20" customBuiltin="1"/>
    <cellStyle name="Input 2" xfId="1018"/>
    <cellStyle name="Input 2 2" xfId="1019"/>
    <cellStyle name="Input 3" xfId="1020"/>
    <cellStyle name="input(0)" xfId="1021"/>
    <cellStyle name="Input(2)" xfId="1022"/>
    <cellStyle name="INT Paramter" xfId="1023"/>
    <cellStyle name="INT Paramter 10" xfId="1024"/>
    <cellStyle name="INT Paramter 10 2" xfId="1025"/>
    <cellStyle name="INT Paramter 10 2 2" xfId="6790"/>
    <cellStyle name="INT Paramter 10 3" xfId="5000"/>
    <cellStyle name="INT Paramter 11" xfId="1026"/>
    <cellStyle name="INT Paramter 11 2" xfId="6376"/>
    <cellStyle name="INT Paramter 12" xfId="4526"/>
    <cellStyle name="INT Paramter 2" xfId="1027"/>
    <cellStyle name="INT Paramter 2 10" xfId="1028"/>
    <cellStyle name="INT Paramter 2 10 2" xfId="6388"/>
    <cellStyle name="INT Paramter 2 11" xfId="4595"/>
    <cellStyle name="INT Paramter 2 2" xfId="1029"/>
    <cellStyle name="INT Paramter 2 2 2" xfId="1030"/>
    <cellStyle name="INT Paramter 2 2 2 2" xfId="1031"/>
    <cellStyle name="INT Paramter 2 2 2 2 2" xfId="1032"/>
    <cellStyle name="INT Paramter 2 2 2 2 2 2" xfId="6794"/>
    <cellStyle name="INT Paramter 2 2 2 2 3" xfId="5004"/>
    <cellStyle name="INT Paramter 2 2 2 3" xfId="1033"/>
    <cellStyle name="INT Paramter 2 2 2 3 2" xfId="6793"/>
    <cellStyle name="INT Paramter 2 2 2 4" xfId="5003"/>
    <cellStyle name="INT Paramter 2 2 3" xfId="1034"/>
    <cellStyle name="INT Paramter 2 2 3 2" xfId="1035"/>
    <cellStyle name="INT Paramter 2 2 3 2 2" xfId="6795"/>
    <cellStyle name="INT Paramter 2 2 3 3" xfId="5005"/>
    <cellStyle name="INT Paramter 2 2 4" xfId="1036"/>
    <cellStyle name="INT Paramter 2 2 4 2" xfId="1037"/>
    <cellStyle name="INT Paramter 2 2 4 2 2" xfId="6796"/>
    <cellStyle name="INT Paramter 2 2 4 3" xfId="5006"/>
    <cellStyle name="INT Paramter 2 2 5" xfId="1038"/>
    <cellStyle name="INT Paramter 2 2 5 2" xfId="1039"/>
    <cellStyle name="INT Paramter 2 2 5 2 2" xfId="6792"/>
    <cellStyle name="INT Paramter 2 2 5 3" xfId="5002"/>
    <cellStyle name="INT Paramter 2 2 6" xfId="1040"/>
    <cellStyle name="INT Paramter 2 2 6 2" xfId="6457"/>
    <cellStyle name="INT Paramter 2 2 7" xfId="4665"/>
    <cellStyle name="INT Paramter 2 3" xfId="1041"/>
    <cellStyle name="INT Paramter 2 3 2" xfId="1042"/>
    <cellStyle name="INT Paramter 2 3 2 2" xfId="1043"/>
    <cellStyle name="INT Paramter 2 3 2 2 2" xfId="6798"/>
    <cellStyle name="INT Paramter 2 3 2 3" xfId="5008"/>
    <cellStyle name="INT Paramter 2 3 3" xfId="1044"/>
    <cellStyle name="INT Paramter 2 3 3 2" xfId="1045"/>
    <cellStyle name="INT Paramter 2 3 3 2 2" xfId="6799"/>
    <cellStyle name="INT Paramter 2 3 3 3" xfId="5009"/>
    <cellStyle name="INT Paramter 2 3 4" xfId="1046"/>
    <cellStyle name="INT Paramter 2 3 4 2" xfId="6797"/>
    <cellStyle name="INT Paramter 2 3 5" xfId="5007"/>
    <cellStyle name="INT Paramter 2 4" xfId="1047"/>
    <cellStyle name="INT Paramter 2 4 2" xfId="1048"/>
    <cellStyle name="INT Paramter 2 4 2 2" xfId="1049"/>
    <cellStyle name="INT Paramter 2 4 2 2 2" xfId="6801"/>
    <cellStyle name="INT Paramter 2 4 2 3" xfId="5011"/>
    <cellStyle name="INT Paramter 2 4 3" xfId="1050"/>
    <cellStyle name="INT Paramter 2 4 3 2" xfId="1051"/>
    <cellStyle name="INT Paramter 2 4 3 2 2" xfId="6802"/>
    <cellStyle name="INT Paramter 2 4 3 3" xfId="5012"/>
    <cellStyle name="INT Paramter 2 4 4" xfId="1052"/>
    <cellStyle name="INT Paramter 2 4 4 2" xfId="6800"/>
    <cellStyle name="INT Paramter 2 4 5" xfId="5010"/>
    <cellStyle name="INT Paramter 2 5" xfId="1053"/>
    <cellStyle name="INT Paramter 2 5 2" xfId="1054"/>
    <cellStyle name="INT Paramter 2 5 2 2" xfId="1055"/>
    <cellStyle name="INT Paramter 2 5 2 2 2" xfId="6804"/>
    <cellStyle name="INT Paramter 2 5 2 3" xfId="5014"/>
    <cellStyle name="INT Paramter 2 5 3" xfId="1056"/>
    <cellStyle name="INT Paramter 2 5 3 2" xfId="6803"/>
    <cellStyle name="INT Paramter 2 5 4" xfId="5013"/>
    <cellStyle name="INT Paramter 2 6" xfId="1057"/>
    <cellStyle name="INT Paramter 2 6 2" xfId="1058"/>
    <cellStyle name="INT Paramter 2 6 2 2" xfId="6805"/>
    <cellStyle name="INT Paramter 2 6 3" xfId="5015"/>
    <cellStyle name="INT Paramter 2 7" xfId="1059"/>
    <cellStyle name="INT Paramter 2 7 2" xfId="1060"/>
    <cellStyle name="INT Paramter 2 7 2 2" xfId="6806"/>
    <cellStyle name="INT Paramter 2 7 3" xfId="5016"/>
    <cellStyle name="INT Paramter 2 8" xfId="1061"/>
    <cellStyle name="INT Paramter 2 8 2" xfId="1062"/>
    <cellStyle name="INT Paramter 2 8 2 2" xfId="6807"/>
    <cellStyle name="INT Paramter 2 8 3" xfId="5017"/>
    <cellStyle name="INT Paramter 2 9" xfId="1063"/>
    <cellStyle name="INT Paramter 2 9 2" xfId="1064"/>
    <cellStyle name="INT Paramter 2 9 2 2" xfId="6791"/>
    <cellStyle name="INT Paramter 2 9 3" xfId="5001"/>
    <cellStyle name="INT Paramter 3" xfId="1065"/>
    <cellStyle name="INT Paramter 3 2" xfId="1066"/>
    <cellStyle name="INT Paramter 3 2 2" xfId="1067"/>
    <cellStyle name="INT Paramter 3 2 2 2" xfId="1068"/>
    <cellStyle name="INT Paramter 3 2 2 2 2" xfId="6810"/>
    <cellStyle name="INT Paramter 3 2 2 3" xfId="5020"/>
    <cellStyle name="INT Paramter 3 2 3" xfId="1069"/>
    <cellStyle name="INT Paramter 3 2 3 2" xfId="1070"/>
    <cellStyle name="INT Paramter 3 2 3 2 2" xfId="6809"/>
    <cellStyle name="INT Paramter 3 2 3 3" xfId="5019"/>
    <cellStyle name="INT Paramter 3 2 4" xfId="1071"/>
    <cellStyle name="INT Paramter 3 2 4 2" xfId="6478"/>
    <cellStyle name="INT Paramter 3 2 5" xfId="4686"/>
    <cellStyle name="INT Paramter 3 3" xfId="1072"/>
    <cellStyle name="INT Paramter 3 3 2" xfId="1073"/>
    <cellStyle name="INT Paramter 3 3 2 2" xfId="6811"/>
    <cellStyle name="INT Paramter 3 3 3" xfId="5021"/>
    <cellStyle name="INT Paramter 3 4" xfId="1074"/>
    <cellStyle name="INT Paramter 3 4 2" xfId="1075"/>
    <cellStyle name="INT Paramter 3 4 2 2" xfId="6812"/>
    <cellStyle name="INT Paramter 3 4 3" xfId="5022"/>
    <cellStyle name="INT Paramter 3 5" xfId="1076"/>
    <cellStyle name="INT Paramter 3 5 2" xfId="1077"/>
    <cellStyle name="INT Paramter 3 5 2 2" xfId="6813"/>
    <cellStyle name="INT Paramter 3 5 3" xfId="5023"/>
    <cellStyle name="INT Paramter 3 6" xfId="1078"/>
    <cellStyle name="INT Paramter 3 6 2" xfId="1079"/>
    <cellStyle name="INT Paramter 3 6 2 2" xfId="6808"/>
    <cellStyle name="INT Paramter 3 6 3" xfId="5018"/>
    <cellStyle name="INT Paramter 3 7" xfId="1080"/>
    <cellStyle name="INT Paramter 3 7 2" xfId="6409"/>
    <cellStyle name="INT Paramter 3 8" xfId="4616"/>
    <cellStyle name="INT Paramter 4" xfId="1081"/>
    <cellStyle name="INT Paramter 4 2" xfId="1082"/>
    <cellStyle name="INT Paramter 4 2 2" xfId="1083"/>
    <cellStyle name="INT Paramter 4 2 2 2" xfId="6815"/>
    <cellStyle name="INT Paramter 4 2 3" xfId="5025"/>
    <cellStyle name="INT Paramter 4 3" xfId="1084"/>
    <cellStyle name="INT Paramter 4 3 2" xfId="1085"/>
    <cellStyle name="INT Paramter 4 3 2 2" xfId="6816"/>
    <cellStyle name="INT Paramter 4 3 3" xfId="5026"/>
    <cellStyle name="INT Paramter 4 4" xfId="1086"/>
    <cellStyle name="INT Paramter 4 4 2" xfId="1087"/>
    <cellStyle name="INT Paramter 4 4 2 2" xfId="6814"/>
    <cellStyle name="INT Paramter 4 4 3" xfId="5024"/>
    <cellStyle name="INT Paramter 4 5" xfId="1088"/>
    <cellStyle name="INT Paramter 4 5 2" xfId="6445"/>
    <cellStyle name="INT Paramter 4 6" xfId="4653"/>
    <cellStyle name="INT Paramter 5" xfId="1089"/>
    <cellStyle name="INT Paramter 5 2" xfId="1090"/>
    <cellStyle name="INT Paramter 5 2 2" xfId="1091"/>
    <cellStyle name="INT Paramter 5 2 2 2" xfId="6818"/>
    <cellStyle name="INT Paramter 5 2 3" xfId="5028"/>
    <cellStyle name="INT Paramter 5 3" xfId="1092"/>
    <cellStyle name="INT Paramter 5 3 2" xfId="1093"/>
    <cellStyle name="INT Paramter 5 3 2 2" xfId="6819"/>
    <cellStyle name="INT Paramter 5 3 3" xfId="5029"/>
    <cellStyle name="INT Paramter 5 4" xfId="1094"/>
    <cellStyle name="INT Paramter 5 4 2" xfId="6817"/>
    <cellStyle name="INT Paramter 5 5" xfId="5027"/>
    <cellStyle name="INT Paramter 6" xfId="1095"/>
    <cellStyle name="INT Paramter 6 2" xfId="1096"/>
    <cellStyle name="INT Paramter 6 2 2" xfId="1097"/>
    <cellStyle name="INT Paramter 6 2 2 2" xfId="6821"/>
    <cellStyle name="INT Paramter 6 2 3" xfId="5031"/>
    <cellStyle name="INT Paramter 6 3" xfId="1098"/>
    <cellStyle name="INT Paramter 6 3 2" xfId="6820"/>
    <cellStyle name="INT Paramter 6 4" xfId="5030"/>
    <cellStyle name="INT Paramter 7" xfId="1099"/>
    <cellStyle name="INT Paramter 7 2" xfId="1100"/>
    <cellStyle name="INT Paramter 7 2 2" xfId="6822"/>
    <cellStyle name="INT Paramter 7 3" xfId="5032"/>
    <cellStyle name="INT Paramter 8" xfId="1101"/>
    <cellStyle name="INT Paramter 8 2" xfId="1102"/>
    <cellStyle name="INT Paramter 8 2 2" xfId="6823"/>
    <cellStyle name="INT Paramter 8 3" xfId="5033"/>
    <cellStyle name="INT Paramter 9" xfId="1103"/>
    <cellStyle name="INT Paramter 9 2" xfId="1104"/>
    <cellStyle name="INT Paramter 9 2 2" xfId="6824"/>
    <cellStyle name="INT Paramter 9 3" xfId="5034"/>
    <cellStyle name="INT Paramter_13008" xfId="1105"/>
    <cellStyle name="Labels - Style3" xfId="1106"/>
    <cellStyle name="Linked Cell" xfId="1107" builtinId="24" customBuiltin="1"/>
    <cellStyle name="Linked Cell 2" xfId="1108"/>
    <cellStyle name="Linked Cell 3" xfId="1109"/>
    <cellStyle name="Neutral" xfId="1110" builtinId="28" customBuiltin="1"/>
    <cellStyle name="Neutral 2" xfId="1111"/>
    <cellStyle name="Neutral 3" xfId="1112"/>
    <cellStyle name="New_normal" xfId="1113"/>
    <cellStyle name="Normal" xfId="0" builtinId="0"/>
    <cellStyle name="Normal - Style1" xfId="1114"/>
    <cellStyle name="Normal - Style2" xfId="1115"/>
    <cellStyle name="Normal - Style3" xfId="1116"/>
    <cellStyle name="Normal - Style4" xfId="1117"/>
    <cellStyle name="Normal - Style5" xfId="1118"/>
    <cellStyle name="Normal - Style6" xfId="1119"/>
    <cellStyle name="Normal - Style7" xfId="1120"/>
    <cellStyle name="Normal - Style8" xfId="1121"/>
    <cellStyle name="Normal 10" xfId="1122"/>
    <cellStyle name="Normal 10 10" xfId="1123"/>
    <cellStyle name="Normal 10 10 2" xfId="1124"/>
    <cellStyle name="Normal 10 10 2 2" xfId="6825"/>
    <cellStyle name="Normal 10 10 3" xfId="5035"/>
    <cellStyle name="Normal 10 11" xfId="1125"/>
    <cellStyle name="Normal 10 11 2" xfId="6353"/>
    <cellStyle name="Normal 10 12" xfId="4494"/>
    <cellStyle name="Normal 10 2" xfId="1126"/>
    <cellStyle name="Normal 10 2 10" xfId="1127"/>
    <cellStyle name="Normal 10 2 10 2" xfId="1128"/>
    <cellStyle name="Normal 10 2 10 2 2" xfId="6826"/>
    <cellStyle name="Normal 10 2 10 3" xfId="5036"/>
    <cellStyle name="Normal 10 2 11" xfId="1129"/>
    <cellStyle name="Normal 10 2 11 2" xfId="6367"/>
    <cellStyle name="Normal 10 2 12" xfId="4513"/>
    <cellStyle name="Normal 10 2 2" xfId="1130"/>
    <cellStyle name="Normal 10 2 2 10" xfId="1131"/>
    <cellStyle name="Normal 10 2 2 2" xfId="1132"/>
    <cellStyle name="Normal 10 2 2 2 2" xfId="1133"/>
    <cellStyle name="Normal 10 2 2 2 2 2" xfId="1134"/>
    <cellStyle name="Normal 10 2 2 2 2 2 2" xfId="1135"/>
    <cellStyle name="Normal 10 2 2 2 2 2 2 2" xfId="6830"/>
    <cellStyle name="Normal 10 2 2 2 2 2 3" xfId="5040"/>
    <cellStyle name="Normal 10 2 2 2 2 3" xfId="1136"/>
    <cellStyle name="Normal 10 2 2 2 2 3 2" xfId="1137"/>
    <cellStyle name="Normal 10 2 2 2 2 3 2 2" xfId="6831"/>
    <cellStyle name="Normal 10 2 2 2 2 3 3" xfId="5041"/>
    <cellStyle name="Normal 10 2 2 2 2 4" xfId="1138"/>
    <cellStyle name="Normal 10 2 2 2 2 4 2" xfId="1139"/>
    <cellStyle name="Normal 10 2 2 2 2 4 2 2" xfId="6832"/>
    <cellStyle name="Normal 10 2 2 2 2 4 3" xfId="5042"/>
    <cellStyle name="Normal 10 2 2 2 2 5" xfId="1140"/>
    <cellStyle name="Normal 10 2 2 2 2 5 2" xfId="6829"/>
    <cellStyle name="Normal 10 2 2 2 2 6" xfId="5039"/>
    <cellStyle name="Normal 10 2 2 2 2_13008" xfId="1141"/>
    <cellStyle name="Normal 10 2 2 2 3" xfId="1142"/>
    <cellStyle name="Normal 10 2 2 2 3 2" xfId="1143"/>
    <cellStyle name="Normal 10 2 2 2 3 2 2" xfId="1144"/>
    <cellStyle name="Normal 10 2 2 2 3 2 2 2" xfId="6834"/>
    <cellStyle name="Normal 10 2 2 2 3 2 3" xfId="5044"/>
    <cellStyle name="Normal 10 2 2 2 3 3" xfId="1145"/>
    <cellStyle name="Normal 10 2 2 2 3 3 2" xfId="1146"/>
    <cellStyle name="Normal 10 2 2 2 3 3 2 2" xfId="6835"/>
    <cellStyle name="Normal 10 2 2 2 3 3 3" xfId="5045"/>
    <cellStyle name="Normal 10 2 2 2 3 4" xfId="1147"/>
    <cellStyle name="Normal 10 2 2 2 3 4 2" xfId="6833"/>
    <cellStyle name="Normal 10 2 2 2 3 5" xfId="5043"/>
    <cellStyle name="Normal 10 2 2 2 3_13008" xfId="1148"/>
    <cellStyle name="Normal 10 2 2 2 4" xfId="1149"/>
    <cellStyle name="Normal 10 2 2 2 4 2" xfId="1150"/>
    <cellStyle name="Normal 10 2 2 2 4 2 2" xfId="6836"/>
    <cellStyle name="Normal 10 2 2 2 4 3" xfId="5046"/>
    <cellStyle name="Normal 10 2 2 2 5" xfId="1151"/>
    <cellStyle name="Normal 10 2 2 2 5 2" xfId="1152"/>
    <cellStyle name="Normal 10 2 2 2 5 2 2" xfId="6837"/>
    <cellStyle name="Normal 10 2 2 2 5 3" xfId="5047"/>
    <cellStyle name="Normal 10 2 2 2 6" xfId="1153"/>
    <cellStyle name="Normal 10 2 2 2 6 2" xfId="1154"/>
    <cellStyle name="Normal 10 2 2 2 6 2 2" xfId="6838"/>
    <cellStyle name="Normal 10 2 2 2 6 3" xfId="5048"/>
    <cellStyle name="Normal 10 2 2 2 7" xfId="1155"/>
    <cellStyle name="Normal 10 2 2 2 7 2" xfId="6828"/>
    <cellStyle name="Normal 10 2 2 2 8" xfId="5038"/>
    <cellStyle name="Normal 10 2 2 2_13008" xfId="1156"/>
    <cellStyle name="Normal 10 2 2 3" xfId="1157"/>
    <cellStyle name="Normal 10 2 2 3 2" xfId="1158"/>
    <cellStyle name="Normal 10 2 2 3 2 2" xfId="1159"/>
    <cellStyle name="Normal 10 2 2 3 2 2 2" xfId="6840"/>
    <cellStyle name="Normal 10 2 2 3 2 3" xfId="5050"/>
    <cellStyle name="Normal 10 2 2 3 3" xfId="1160"/>
    <cellStyle name="Normal 10 2 2 3 3 2" xfId="1161"/>
    <cellStyle name="Normal 10 2 2 3 3 2 2" xfId="6841"/>
    <cellStyle name="Normal 10 2 2 3 3 3" xfId="5051"/>
    <cellStyle name="Normal 10 2 2 3 4" xfId="1162"/>
    <cellStyle name="Normal 10 2 2 3 4 2" xfId="1163"/>
    <cellStyle name="Normal 10 2 2 3 4 2 2" xfId="6842"/>
    <cellStyle name="Normal 10 2 2 3 4 3" xfId="5052"/>
    <cellStyle name="Normal 10 2 2 3 5" xfId="1164"/>
    <cellStyle name="Normal 10 2 2 3 5 2" xfId="6839"/>
    <cellStyle name="Normal 10 2 2 3 6" xfId="5049"/>
    <cellStyle name="Normal 10 2 2 3_13008" xfId="1165"/>
    <cellStyle name="Normal 10 2 2 4" xfId="1166"/>
    <cellStyle name="Normal 10 2 2 4 2" xfId="1167"/>
    <cellStyle name="Normal 10 2 2 4 2 2" xfId="1168"/>
    <cellStyle name="Normal 10 2 2 4 2 2 2" xfId="6844"/>
    <cellStyle name="Normal 10 2 2 4 2 3" xfId="5054"/>
    <cellStyle name="Normal 10 2 2 4 3" xfId="1169"/>
    <cellStyle name="Normal 10 2 2 4 3 2" xfId="1170"/>
    <cellStyle name="Normal 10 2 2 4 3 2 2" xfId="6845"/>
    <cellStyle name="Normal 10 2 2 4 3 3" xfId="5055"/>
    <cellStyle name="Normal 10 2 2 4 4" xfId="1171"/>
    <cellStyle name="Normal 10 2 2 4 4 2" xfId="1172"/>
    <cellStyle name="Normal 10 2 2 4 4 2 2" xfId="6846"/>
    <cellStyle name="Normal 10 2 2 4 4 3" xfId="5056"/>
    <cellStyle name="Normal 10 2 2 4 5" xfId="1173"/>
    <cellStyle name="Normal 10 2 2 4 5 2" xfId="6843"/>
    <cellStyle name="Normal 10 2 2 4 6" xfId="5053"/>
    <cellStyle name="Normal 10 2 2 4_13008" xfId="1174"/>
    <cellStyle name="Normal 10 2 2 5" xfId="1175"/>
    <cellStyle name="Normal 10 2 2 5 2" xfId="1176"/>
    <cellStyle name="Normal 10 2 2 5 2 2" xfId="1177"/>
    <cellStyle name="Normal 10 2 2 5 2 2 2" xfId="6848"/>
    <cellStyle name="Normal 10 2 2 5 2 3" xfId="5058"/>
    <cellStyle name="Normal 10 2 2 5 3" xfId="1178"/>
    <cellStyle name="Normal 10 2 2 5 3 2" xfId="1179"/>
    <cellStyle name="Normal 10 2 2 5 3 2 2" xfId="6849"/>
    <cellStyle name="Normal 10 2 2 5 3 3" xfId="5059"/>
    <cellStyle name="Normal 10 2 2 5 4" xfId="1180"/>
    <cellStyle name="Normal 10 2 2 5 4 2" xfId="6847"/>
    <cellStyle name="Normal 10 2 2 5 5" xfId="5057"/>
    <cellStyle name="Normal 10 2 2 5_13008" xfId="1181"/>
    <cellStyle name="Normal 10 2 2 6" xfId="1182"/>
    <cellStyle name="Normal 10 2 2 6 2" xfId="1183"/>
    <cellStyle name="Normal 10 2 2 6 2 2" xfId="6850"/>
    <cellStyle name="Normal 10 2 2 6 3" xfId="5060"/>
    <cellStyle name="Normal 10 2 2 7" xfId="1184"/>
    <cellStyle name="Normal 10 2 2 7 2" xfId="1185"/>
    <cellStyle name="Normal 10 2 2 7 2 2" xfId="6851"/>
    <cellStyle name="Normal 10 2 2 7 3" xfId="5061"/>
    <cellStyle name="Normal 10 2 2 8" xfId="1186"/>
    <cellStyle name="Normal 10 2 2 8 2" xfId="1187"/>
    <cellStyle name="Normal 10 2 2 8 2 2" xfId="6852"/>
    <cellStyle name="Normal 10 2 2 8 3" xfId="5062"/>
    <cellStyle name="Normal 10 2 2 9" xfId="1188"/>
    <cellStyle name="Normal 10 2 2 9 2" xfId="1189"/>
    <cellStyle name="Normal 10 2 2 9 2 2" xfId="6827"/>
    <cellStyle name="Normal 10 2 2 9 3" xfId="5037"/>
    <cellStyle name="Normal 10 2 2_13008" xfId="1190"/>
    <cellStyle name="Normal 10 2 3" xfId="1191"/>
    <cellStyle name="Normal 10 2 3 2" xfId="1192"/>
    <cellStyle name="Normal 10 2 3 2 2" xfId="1193"/>
    <cellStyle name="Normal 10 2 3 2 2 2" xfId="1194"/>
    <cellStyle name="Normal 10 2 3 2 2 2 2" xfId="6855"/>
    <cellStyle name="Normal 10 2 3 2 2 3" xfId="5065"/>
    <cellStyle name="Normal 10 2 3 2 3" xfId="1195"/>
    <cellStyle name="Normal 10 2 3 2 3 2" xfId="1196"/>
    <cellStyle name="Normal 10 2 3 2 3 2 2" xfId="6856"/>
    <cellStyle name="Normal 10 2 3 2 3 3" xfId="5066"/>
    <cellStyle name="Normal 10 2 3 2 4" xfId="1197"/>
    <cellStyle name="Normal 10 2 3 2 4 2" xfId="1198"/>
    <cellStyle name="Normal 10 2 3 2 4 2 2" xfId="6857"/>
    <cellStyle name="Normal 10 2 3 2 4 3" xfId="5067"/>
    <cellStyle name="Normal 10 2 3 2 5" xfId="1199"/>
    <cellStyle name="Normal 10 2 3 2 5 2" xfId="6854"/>
    <cellStyle name="Normal 10 2 3 2 6" xfId="5064"/>
    <cellStyle name="Normal 10 2 3 2_13008" xfId="1200"/>
    <cellStyle name="Normal 10 2 3 3" xfId="1201"/>
    <cellStyle name="Normal 10 2 3 3 2" xfId="1202"/>
    <cellStyle name="Normal 10 2 3 3 2 2" xfId="1203"/>
    <cellStyle name="Normal 10 2 3 3 2 2 2" xfId="6859"/>
    <cellStyle name="Normal 10 2 3 3 2 3" xfId="5069"/>
    <cellStyle name="Normal 10 2 3 3 3" xfId="1204"/>
    <cellStyle name="Normal 10 2 3 3 3 2" xfId="1205"/>
    <cellStyle name="Normal 10 2 3 3 3 2 2" xfId="6860"/>
    <cellStyle name="Normal 10 2 3 3 3 3" xfId="5070"/>
    <cellStyle name="Normal 10 2 3 3 4" xfId="1206"/>
    <cellStyle name="Normal 10 2 3 3 4 2" xfId="1207"/>
    <cellStyle name="Normal 10 2 3 3 4 2 2" xfId="6861"/>
    <cellStyle name="Normal 10 2 3 3 4 3" xfId="5071"/>
    <cellStyle name="Normal 10 2 3 3 5" xfId="1208"/>
    <cellStyle name="Normal 10 2 3 3 5 2" xfId="6858"/>
    <cellStyle name="Normal 10 2 3 3 6" xfId="5068"/>
    <cellStyle name="Normal 10 2 3 3_13008" xfId="1209"/>
    <cellStyle name="Normal 10 2 3 4" xfId="1210"/>
    <cellStyle name="Normal 10 2 3 4 2" xfId="1211"/>
    <cellStyle name="Normal 10 2 3 4 2 2" xfId="6862"/>
    <cellStyle name="Normal 10 2 3 4 3" xfId="5072"/>
    <cellStyle name="Normal 10 2 3 5" xfId="1212"/>
    <cellStyle name="Normal 10 2 3 5 2" xfId="1213"/>
    <cellStyle name="Normal 10 2 3 5 2 2" xfId="6863"/>
    <cellStyle name="Normal 10 2 3 5 3" xfId="5073"/>
    <cellStyle name="Normal 10 2 3 6" xfId="1214"/>
    <cellStyle name="Normal 10 2 3 6 2" xfId="1215"/>
    <cellStyle name="Normal 10 2 3 6 2 2" xfId="6864"/>
    <cellStyle name="Normal 10 2 3 6 3" xfId="5074"/>
    <cellStyle name="Normal 10 2 3 7" xfId="1216"/>
    <cellStyle name="Normal 10 2 3 7 2" xfId="1217"/>
    <cellStyle name="Normal 10 2 3 7 2 2" xfId="6853"/>
    <cellStyle name="Normal 10 2 3 7 3" xfId="5063"/>
    <cellStyle name="Normal 10 2 3 8" xfId="1218"/>
    <cellStyle name="Normal 10 2 3 8 2" xfId="6436"/>
    <cellStyle name="Normal 10 2 3 9" xfId="4644"/>
    <cellStyle name="Normal 10 2 3_13008" xfId="1219"/>
    <cellStyle name="Normal 10 2 4" xfId="1220"/>
    <cellStyle name="Normal 10 2 4 2" xfId="1221"/>
    <cellStyle name="Normal 10 2 4 2 2" xfId="1222"/>
    <cellStyle name="Normal 10 2 4 2 2 2" xfId="1223"/>
    <cellStyle name="Normal 10 2 4 2 2 2 2" xfId="6867"/>
    <cellStyle name="Normal 10 2 4 2 2 3" xfId="5077"/>
    <cellStyle name="Normal 10 2 4 2 3" xfId="1224"/>
    <cellStyle name="Normal 10 2 4 2 3 2" xfId="6866"/>
    <cellStyle name="Normal 10 2 4 2 4" xfId="5076"/>
    <cellStyle name="Normal 10 2 4 3" xfId="1225"/>
    <cellStyle name="Normal 10 2 4 3 2" xfId="1226"/>
    <cellStyle name="Normal 10 2 4 3 2 2" xfId="1227"/>
    <cellStyle name="Normal 10 2 4 3 2 2 2" xfId="6869"/>
    <cellStyle name="Normal 10 2 4 3 2 3" xfId="5079"/>
    <cellStyle name="Normal 10 2 4 3 3" xfId="1228"/>
    <cellStyle name="Normal 10 2 4 3 3 2" xfId="6868"/>
    <cellStyle name="Normal 10 2 4 3 4" xfId="5078"/>
    <cellStyle name="Normal 10 2 4 4" xfId="1229"/>
    <cellStyle name="Normal 10 2 4 4 2" xfId="1230"/>
    <cellStyle name="Normal 10 2 4 4 2 2" xfId="6870"/>
    <cellStyle name="Normal 10 2 4 4 3" xfId="5080"/>
    <cellStyle name="Normal 10 2 4 5" xfId="1231"/>
    <cellStyle name="Normal 10 2 4 5 2" xfId="6865"/>
    <cellStyle name="Normal 10 2 4 6" xfId="5075"/>
    <cellStyle name="Normal 10 2 4_13008" xfId="1232"/>
    <cellStyle name="Normal 10 2 5" xfId="1233"/>
    <cellStyle name="Normal 10 2 5 2" xfId="1234"/>
    <cellStyle name="Normal 10 2 5 2 2" xfId="1235"/>
    <cellStyle name="Normal 10 2 5 2 2 2" xfId="1236"/>
    <cellStyle name="Normal 10 2 5 2 2 2 2" xfId="6873"/>
    <cellStyle name="Normal 10 2 5 2 2 3" xfId="5083"/>
    <cellStyle name="Normal 10 2 5 2 3" xfId="1237"/>
    <cellStyle name="Normal 10 2 5 2 3 2" xfId="6872"/>
    <cellStyle name="Normal 10 2 5 2 4" xfId="5082"/>
    <cellStyle name="Normal 10 2 5 3" xfId="1238"/>
    <cellStyle name="Normal 10 2 5 3 2" xfId="1239"/>
    <cellStyle name="Normal 10 2 5 3 2 2" xfId="6874"/>
    <cellStyle name="Normal 10 2 5 3 3" xfId="5084"/>
    <cellStyle name="Normal 10 2 5 4" xfId="1240"/>
    <cellStyle name="Normal 10 2 5 4 2" xfId="1241"/>
    <cellStyle name="Normal 10 2 5 4 2 2" xfId="6875"/>
    <cellStyle name="Normal 10 2 5 4 3" xfId="5085"/>
    <cellStyle name="Normal 10 2 5 5" xfId="1242"/>
    <cellStyle name="Normal 10 2 5 5 2" xfId="6871"/>
    <cellStyle name="Normal 10 2 5 6" xfId="5081"/>
    <cellStyle name="Normal 10 2 5_13008" xfId="1243"/>
    <cellStyle name="Normal 10 2 6" xfId="1244"/>
    <cellStyle name="Normal 10 2 6 2" xfId="1245"/>
    <cellStyle name="Normal 10 2 6 2 2" xfId="1246"/>
    <cellStyle name="Normal 10 2 6 2 2 2" xfId="6877"/>
    <cellStyle name="Normal 10 2 6 2 3" xfId="5087"/>
    <cellStyle name="Normal 10 2 6 3" xfId="1247"/>
    <cellStyle name="Normal 10 2 6 3 2" xfId="1248"/>
    <cellStyle name="Normal 10 2 6 3 2 2" xfId="6878"/>
    <cellStyle name="Normal 10 2 6 3 3" xfId="5088"/>
    <cellStyle name="Normal 10 2 6 4" xfId="1249"/>
    <cellStyle name="Normal 10 2 6 4 2" xfId="1250"/>
    <cellStyle name="Normal 10 2 6 4 2 2" xfId="6879"/>
    <cellStyle name="Normal 10 2 6 4 3" xfId="5089"/>
    <cellStyle name="Normal 10 2 6 5" xfId="1251"/>
    <cellStyle name="Normal 10 2 6 5 2" xfId="6876"/>
    <cellStyle name="Normal 10 2 6 6" xfId="5086"/>
    <cellStyle name="Normal 10 2 6_13008" xfId="1252"/>
    <cellStyle name="Normal 10 2 7" xfId="1253"/>
    <cellStyle name="Normal 10 2 7 2" xfId="1254"/>
    <cellStyle name="Normal 10 2 7 2 2" xfId="1255"/>
    <cellStyle name="Normal 10 2 7 2 2 2" xfId="6881"/>
    <cellStyle name="Normal 10 2 7 2 3" xfId="5091"/>
    <cellStyle name="Normal 10 2 7 3" xfId="1256"/>
    <cellStyle name="Normal 10 2 7 3 2" xfId="6880"/>
    <cellStyle name="Normal 10 2 7 4" xfId="5090"/>
    <cellStyle name="Normal 10 2 8" xfId="1257"/>
    <cellStyle name="Normal 10 2 8 2" xfId="1258"/>
    <cellStyle name="Normal 10 2 8 2 2" xfId="6882"/>
    <cellStyle name="Normal 10 2 8 3" xfId="5092"/>
    <cellStyle name="Normal 10 2 9" xfId="1259"/>
    <cellStyle name="Normal 10 2 9 2" xfId="1260"/>
    <cellStyle name="Normal 10 2 9 2 2" xfId="6883"/>
    <cellStyle name="Normal 10 2 9 3" xfId="5093"/>
    <cellStyle name="Normal 10 2_13008" xfId="1261"/>
    <cellStyle name="Normal 10 3" xfId="1262"/>
    <cellStyle name="Normal 10 3 2" xfId="1263"/>
    <cellStyle name="Normal 10 3 2 2" xfId="1264"/>
    <cellStyle name="Normal 10 3 2 2 2" xfId="1265"/>
    <cellStyle name="Normal 10 3 2 2 2 2" xfId="1266"/>
    <cellStyle name="Normal 10 3 2 2 2 2 2" xfId="6887"/>
    <cellStyle name="Normal 10 3 2 2 2 3" xfId="5097"/>
    <cellStyle name="Normal 10 3 2 2 3" xfId="1267"/>
    <cellStyle name="Normal 10 3 2 2 3 2" xfId="6886"/>
    <cellStyle name="Normal 10 3 2 2 4" xfId="5096"/>
    <cellStyle name="Normal 10 3 2 3" xfId="1268"/>
    <cellStyle name="Normal 10 3 2 3 2" xfId="1269"/>
    <cellStyle name="Normal 10 3 2 3 2 2" xfId="6888"/>
    <cellStyle name="Normal 10 3 2 3 3" xfId="5098"/>
    <cellStyle name="Normal 10 3 2 4" xfId="1270"/>
    <cellStyle name="Normal 10 3 2 4 2" xfId="1271"/>
    <cellStyle name="Normal 10 3 2 4 2 2" xfId="6889"/>
    <cellStyle name="Normal 10 3 2 4 3" xfId="5099"/>
    <cellStyle name="Normal 10 3 2 5" xfId="1272"/>
    <cellStyle name="Normal 10 3 2 5 2" xfId="6885"/>
    <cellStyle name="Normal 10 3 2 6" xfId="5095"/>
    <cellStyle name="Normal 10 3 2_13008" xfId="1273"/>
    <cellStyle name="Normal 10 3 3" xfId="1274"/>
    <cellStyle name="Normal 10 3 3 2" xfId="1275"/>
    <cellStyle name="Normal 10 3 3 2 2" xfId="1276"/>
    <cellStyle name="Normal 10 3 3 2 2 2" xfId="6891"/>
    <cellStyle name="Normal 10 3 3 2 3" xfId="5101"/>
    <cellStyle name="Normal 10 3 3 3" xfId="1277"/>
    <cellStyle name="Normal 10 3 3 3 2" xfId="1278"/>
    <cellStyle name="Normal 10 3 3 3 2 2" xfId="6892"/>
    <cellStyle name="Normal 10 3 3 3 3" xfId="5102"/>
    <cellStyle name="Normal 10 3 3 4" xfId="1279"/>
    <cellStyle name="Normal 10 3 3 4 2" xfId="1280"/>
    <cellStyle name="Normal 10 3 3 4 2 2" xfId="6893"/>
    <cellStyle name="Normal 10 3 3 4 3" xfId="5103"/>
    <cellStyle name="Normal 10 3 3 5" xfId="1281"/>
    <cellStyle name="Normal 10 3 3 5 2" xfId="6890"/>
    <cellStyle name="Normal 10 3 3 6" xfId="5100"/>
    <cellStyle name="Normal 10 3 3_13008" xfId="1282"/>
    <cellStyle name="Normal 10 3 4" xfId="1283"/>
    <cellStyle name="Normal 10 3 4 2" xfId="1284"/>
    <cellStyle name="Normal 10 3 4 2 2" xfId="1285"/>
    <cellStyle name="Normal 10 3 4 2 2 2" xfId="6895"/>
    <cellStyle name="Normal 10 3 4 2 3" xfId="5105"/>
    <cellStyle name="Normal 10 3 4 3" xfId="1286"/>
    <cellStyle name="Normal 10 3 4 3 2" xfId="6894"/>
    <cellStyle name="Normal 10 3 4 4" xfId="5104"/>
    <cellStyle name="Normal 10 3 5" xfId="1287"/>
    <cellStyle name="Normal 10 3 5 2" xfId="1288"/>
    <cellStyle name="Normal 10 3 5 2 2" xfId="6896"/>
    <cellStyle name="Normal 10 3 5 3" xfId="5106"/>
    <cellStyle name="Normal 10 3 6" xfId="1289"/>
    <cellStyle name="Normal 10 3 6 2" xfId="1290"/>
    <cellStyle name="Normal 10 3 6 2 2" xfId="6897"/>
    <cellStyle name="Normal 10 3 6 3" xfId="5107"/>
    <cellStyle name="Normal 10 3 7" xfId="1291"/>
    <cellStyle name="Normal 10 3 7 2" xfId="1292"/>
    <cellStyle name="Normal 10 3 7 2 2" xfId="6884"/>
    <cellStyle name="Normal 10 3 7 3" xfId="5094"/>
    <cellStyle name="Normal 10 3 8" xfId="1293"/>
    <cellStyle name="Normal 10 3 9" xfId="4534"/>
    <cellStyle name="Normal 10 3_13008" xfId="1294"/>
    <cellStyle name="Normal 10 4" xfId="1295"/>
    <cellStyle name="Normal 10 4 2" xfId="1296"/>
    <cellStyle name="Normal 10 4 2 2" xfId="1297"/>
    <cellStyle name="Normal 10 4 2 3" xfId="1298"/>
    <cellStyle name="Normal 10 4 2 3 2" xfId="1299"/>
    <cellStyle name="Normal 10 4 2 3 2 2" xfId="6899"/>
    <cellStyle name="Normal 10 4 2 3 3" xfId="5109"/>
    <cellStyle name="Normal 10 4 2 4" xfId="1300"/>
    <cellStyle name="Normal 10 4 2 4 2" xfId="6474"/>
    <cellStyle name="Normal 10 4 2 5" xfId="4682"/>
    <cellStyle name="Normal 10 4 3" xfId="1301"/>
    <cellStyle name="Normal 10 4 3 2" xfId="1302"/>
    <cellStyle name="Normal 10 4 3 2 2" xfId="1303"/>
    <cellStyle name="Normal 10 4 3 2 2 2" xfId="6901"/>
    <cellStyle name="Normal 10 4 3 2 3" xfId="5111"/>
    <cellStyle name="Normal 10 4 3 3" xfId="1304"/>
    <cellStyle name="Normal 10 4 3 3 2" xfId="6900"/>
    <cellStyle name="Normal 10 4 3 4" xfId="5110"/>
    <cellStyle name="Normal 10 4 4" xfId="1305"/>
    <cellStyle name="Normal 10 4 4 2" xfId="1306"/>
    <cellStyle name="Normal 10 4 4 2 2" xfId="6902"/>
    <cellStyle name="Normal 10 4 4 3" xfId="5112"/>
    <cellStyle name="Normal 10 4 5" xfId="1307"/>
    <cellStyle name="Normal 10 4 5 2" xfId="1308"/>
    <cellStyle name="Normal 10 4 5 2 2" xfId="6898"/>
    <cellStyle name="Normal 10 4 5 3" xfId="5108"/>
    <cellStyle name="Normal 10 4 6" xfId="1309"/>
    <cellStyle name="Normal 10 4 6 2" xfId="6405"/>
    <cellStyle name="Normal 10 4 7" xfId="4612"/>
    <cellStyle name="Normal 10 4_13008" xfId="1310"/>
    <cellStyle name="Normal 10 5" xfId="1311"/>
    <cellStyle name="Normal 10 5 2" xfId="1312"/>
    <cellStyle name="Normal 10 5 2 2" xfId="1313"/>
    <cellStyle name="Normal 10 5 2 2 2" xfId="1314"/>
    <cellStyle name="Normal 10 5 2 2 2 2" xfId="6905"/>
    <cellStyle name="Normal 10 5 2 2 3" xfId="5115"/>
    <cellStyle name="Normal 10 5 2 3" xfId="1315"/>
    <cellStyle name="Normal 10 5 2 3 2" xfId="6904"/>
    <cellStyle name="Normal 10 5 2 4" xfId="5114"/>
    <cellStyle name="Normal 10 5 3" xfId="1316"/>
    <cellStyle name="Normal 10 5 3 2" xfId="1317"/>
    <cellStyle name="Normal 10 5 3 2 2" xfId="1318"/>
    <cellStyle name="Normal 10 5 3 2 2 2" xfId="6907"/>
    <cellStyle name="Normal 10 5 3 2 3" xfId="5117"/>
    <cellStyle name="Normal 10 5 3 3" xfId="1319"/>
    <cellStyle name="Normal 10 5 3 3 2" xfId="6906"/>
    <cellStyle name="Normal 10 5 3 4" xfId="5116"/>
    <cellStyle name="Normal 10 5 4" xfId="1320"/>
    <cellStyle name="Normal 10 5 4 2" xfId="1321"/>
    <cellStyle name="Normal 10 5 4 2 2" xfId="6908"/>
    <cellStyle name="Normal 10 5 4 3" xfId="5118"/>
    <cellStyle name="Normal 10 5 5" xfId="1322"/>
    <cellStyle name="Normal 10 5 5 2" xfId="1323"/>
    <cellStyle name="Normal 10 5 5 2 2" xfId="6903"/>
    <cellStyle name="Normal 10 5 5 3" xfId="5113"/>
    <cellStyle name="Normal 10 5 6" xfId="1324"/>
    <cellStyle name="Normal 10 5 6 2" xfId="6422"/>
    <cellStyle name="Normal 10 5 7" xfId="4630"/>
    <cellStyle name="Normal 10 5_13008" xfId="1325"/>
    <cellStyle name="Normal 10 6" xfId="1326"/>
    <cellStyle name="Normal 10 6 2" xfId="1327"/>
    <cellStyle name="Normal 10 6 2 2" xfId="1328"/>
    <cellStyle name="Normal 10 6 2 2 2" xfId="1329"/>
    <cellStyle name="Normal 10 6 2 2 2 2" xfId="6911"/>
    <cellStyle name="Normal 10 6 2 2 3" xfId="5121"/>
    <cellStyle name="Normal 10 6 2 3" xfId="1330"/>
    <cellStyle name="Normal 10 6 2 3 2" xfId="6910"/>
    <cellStyle name="Normal 10 6 2 4" xfId="5120"/>
    <cellStyle name="Normal 10 6 3" xfId="1331"/>
    <cellStyle name="Normal 10 6 3 2" xfId="1332"/>
    <cellStyle name="Normal 10 6 3 2 2" xfId="6912"/>
    <cellStyle name="Normal 10 6 3 3" xfId="5122"/>
    <cellStyle name="Normal 10 6 4" xfId="1333"/>
    <cellStyle name="Normal 10 6 4 2" xfId="1334"/>
    <cellStyle name="Normal 10 6 4 2 2" xfId="6913"/>
    <cellStyle name="Normal 10 6 4 3" xfId="5123"/>
    <cellStyle name="Normal 10 6 5" xfId="1335"/>
    <cellStyle name="Normal 10 6 5 2" xfId="6909"/>
    <cellStyle name="Normal 10 6 6" xfId="5119"/>
    <cellStyle name="Normal 10 6_13008" xfId="1336"/>
    <cellStyle name="Normal 10 7" xfId="1337"/>
    <cellStyle name="Normal 10 7 2" xfId="1338"/>
    <cellStyle name="Normal 10 7 2 2" xfId="1339"/>
    <cellStyle name="Normal 10 7 2 2 2" xfId="6915"/>
    <cellStyle name="Normal 10 7 2 3" xfId="5125"/>
    <cellStyle name="Normal 10 7 3" xfId="1340"/>
    <cellStyle name="Normal 10 7 3 2" xfId="6914"/>
    <cellStyle name="Normal 10 7 4" xfId="5124"/>
    <cellStyle name="Normal 10 8" xfId="1341"/>
    <cellStyle name="Normal 10 8 2" xfId="1342"/>
    <cellStyle name="Normal 10 8 2 2" xfId="1343"/>
    <cellStyle name="Normal 10 8 2 2 2" xfId="6917"/>
    <cellStyle name="Normal 10 8 2 3" xfId="5127"/>
    <cellStyle name="Normal 10 8 3" xfId="1344"/>
    <cellStyle name="Normal 10 8 3 2" xfId="6916"/>
    <cellStyle name="Normal 10 8 4" xfId="5126"/>
    <cellStyle name="Normal 10 9" xfId="1345"/>
    <cellStyle name="Normal 10 9 2" xfId="1346"/>
    <cellStyle name="Normal 10 9 2 2" xfId="6918"/>
    <cellStyle name="Normal 10 9 3" xfId="5128"/>
    <cellStyle name="Normal 10_13008" xfId="1347"/>
    <cellStyle name="Normal 100" xfId="1348"/>
    <cellStyle name="Normal 100 2" xfId="1349"/>
    <cellStyle name="Normal 101" xfId="1350"/>
    <cellStyle name="Normal 102" xfId="1351"/>
    <cellStyle name="Normal 102 2" xfId="1352"/>
    <cellStyle name="Normal 103" xfId="1353"/>
    <cellStyle name="Normal 104" xfId="1354"/>
    <cellStyle name="Normal 105" xfId="1355"/>
    <cellStyle name="Normal 106" xfId="1356"/>
    <cellStyle name="Normal 107" xfId="1357"/>
    <cellStyle name="Normal 108" xfId="1358"/>
    <cellStyle name="Normal 109" xfId="1359"/>
    <cellStyle name="Normal 11" xfId="1360"/>
    <cellStyle name="Normal 11 10" xfId="1361"/>
    <cellStyle name="Normal 11 10 2" xfId="1362"/>
    <cellStyle name="Normal 11 10 2 2" xfId="6920"/>
    <cellStyle name="Normal 11 10 3" xfId="5130"/>
    <cellStyle name="Normal 11 11" xfId="1363"/>
    <cellStyle name="Normal 11 11 2" xfId="1364"/>
    <cellStyle name="Normal 11 11 2 2" xfId="6921"/>
    <cellStyle name="Normal 11 11 3" xfId="5131"/>
    <cellStyle name="Normal 11 12" xfId="1365"/>
    <cellStyle name="Normal 11 12 2" xfId="1366"/>
    <cellStyle name="Normal 11 12 2 2" xfId="6922"/>
    <cellStyle name="Normal 11 12 3" xfId="5132"/>
    <cellStyle name="Normal 11 13" xfId="1367"/>
    <cellStyle name="Normal 11 13 2" xfId="1368"/>
    <cellStyle name="Normal 11 13 2 2" xfId="6919"/>
    <cellStyle name="Normal 11 13 3" xfId="5129"/>
    <cellStyle name="Normal 11 14" xfId="1369"/>
    <cellStyle name="Normal 11 14 2" xfId="6354"/>
    <cellStyle name="Normal 11 15" xfId="4495"/>
    <cellStyle name="Normal 11 2" xfId="1370"/>
    <cellStyle name="Normal 11 2 10" xfId="1371"/>
    <cellStyle name="Normal 11 2 10 2" xfId="6368"/>
    <cellStyle name="Normal 11 2 11" xfId="4514"/>
    <cellStyle name="Normal 11 2 2" xfId="1372"/>
    <cellStyle name="Normal 11 2 2 2" xfId="1373"/>
    <cellStyle name="Normal 11 2 2 2 2" xfId="1374"/>
    <cellStyle name="Normal 11 2 2 2 2 2" xfId="1375"/>
    <cellStyle name="Normal 11 2 2 2 2 2 2" xfId="1376"/>
    <cellStyle name="Normal 11 2 2 2 2 2 2 2" xfId="6927"/>
    <cellStyle name="Normal 11 2 2 2 2 2 3" xfId="5137"/>
    <cellStyle name="Normal 11 2 2 2 2 3" xfId="1377"/>
    <cellStyle name="Normal 11 2 2 2 2 3 2" xfId="6926"/>
    <cellStyle name="Normal 11 2 2 2 2 4" xfId="5136"/>
    <cellStyle name="Normal 11 2 2 2 3" xfId="1378"/>
    <cellStyle name="Normal 11 2 2 2 3 2" xfId="1379"/>
    <cellStyle name="Normal 11 2 2 2 3 2 2" xfId="6928"/>
    <cellStyle name="Normal 11 2 2 2 3 3" xfId="5138"/>
    <cellStyle name="Normal 11 2 2 2 4" xfId="1380"/>
    <cellStyle name="Normal 11 2 2 2 4 2" xfId="1381"/>
    <cellStyle name="Normal 11 2 2 2 4 2 2" xfId="6929"/>
    <cellStyle name="Normal 11 2 2 2 4 3" xfId="5139"/>
    <cellStyle name="Normal 11 2 2 2 5" xfId="1382"/>
    <cellStyle name="Normal 11 2 2 2 5 2" xfId="6925"/>
    <cellStyle name="Normal 11 2 2 2 6" xfId="5135"/>
    <cellStyle name="Normal 11 2 2 2_13008" xfId="1383"/>
    <cellStyle name="Normal 11 2 2 3" xfId="1384"/>
    <cellStyle name="Normal 11 2 2 3 2" xfId="1385"/>
    <cellStyle name="Normal 11 2 2 3 2 2" xfId="1386"/>
    <cellStyle name="Normal 11 2 2 3 2 2 2" xfId="6931"/>
    <cellStyle name="Normal 11 2 2 3 2 3" xfId="5141"/>
    <cellStyle name="Normal 11 2 2 3 3" xfId="1387"/>
    <cellStyle name="Normal 11 2 2 3 3 2" xfId="1388"/>
    <cellStyle name="Normal 11 2 2 3 3 2 2" xfId="6932"/>
    <cellStyle name="Normal 11 2 2 3 3 3" xfId="5142"/>
    <cellStyle name="Normal 11 2 2 3 4" xfId="1389"/>
    <cellStyle name="Normal 11 2 2 3 4 2" xfId="1390"/>
    <cellStyle name="Normal 11 2 2 3 4 2 2" xfId="6933"/>
    <cellStyle name="Normal 11 2 2 3 4 3" xfId="5143"/>
    <cellStyle name="Normal 11 2 2 3 5" xfId="1391"/>
    <cellStyle name="Normal 11 2 2 3 5 2" xfId="6930"/>
    <cellStyle name="Normal 11 2 2 3 6" xfId="5140"/>
    <cellStyle name="Normal 11 2 2 3_13008" xfId="1392"/>
    <cellStyle name="Normal 11 2 2 4" xfId="1393"/>
    <cellStyle name="Normal 11 2 2 4 2" xfId="1394"/>
    <cellStyle name="Normal 11 2 2 4 2 2" xfId="1395"/>
    <cellStyle name="Normal 11 2 2 4 2 2 2" xfId="6935"/>
    <cellStyle name="Normal 11 2 2 4 2 3" xfId="5145"/>
    <cellStyle name="Normal 11 2 2 4 3" xfId="1396"/>
    <cellStyle name="Normal 11 2 2 4 3 2" xfId="6934"/>
    <cellStyle name="Normal 11 2 2 4 4" xfId="5144"/>
    <cellStyle name="Normal 11 2 2 5" xfId="1397"/>
    <cellStyle name="Normal 11 2 2 5 2" xfId="1398"/>
    <cellStyle name="Normal 11 2 2 5 2 2" xfId="6936"/>
    <cellStyle name="Normal 11 2 2 5 3" xfId="5146"/>
    <cellStyle name="Normal 11 2 2 6" xfId="1399"/>
    <cellStyle name="Normal 11 2 2 6 2" xfId="1400"/>
    <cellStyle name="Normal 11 2 2 6 2 2" xfId="6937"/>
    <cellStyle name="Normal 11 2 2 6 3" xfId="5147"/>
    <cellStyle name="Normal 11 2 2 7" xfId="1401"/>
    <cellStyle name="Normal 11 2 2 7 2" xfId="1402"/>
    <cellStyle name="Normal 11 2 2 7 2 2" xfId="6924"/>
    <cellStyle name="Normal 11 2 2 7 3" xfId="5134"/>
    <cellStyle name="Normal 11 2 2 8" xfId="1403"/>
    <cellStyle name="Normal 11 2 2 8 2" xfId="6437"/>
    <cellStyle name="Normal 11 2 2 9" xfId="4645"/>
    <cellStyle name="Normal 11 2 2_13008" xfId="1404"/>
    <cellStyle name="Normal 11 2 3" xfId="1405"/>
    <cellStyle name="Normal 11 2 3 2" xfId="1406"/>
    <cellStyle name="Normal 11 2 3 2 2" xfId="1407"/>
    <cellStyle name="Normal 11 2 3 2 2 2" xfId="1408"/>
    <cellStyle name="Normal 11 2 3 2 2 2 2" xfId="6940"/>
    <cellStyle name="Normal 11 2 3 2 2 3" xfId="5150"/>
    <cellStyle name="Normal 11 2 3 2 3" xfId="1409"/>
    <cellStyle name="Normal 11 2 3 2 3 2" xfId="6939"/>
    <cellStyle name="Normal 11 2 3 2 4" xfId="5149"/>
    <cellStyle name="Normal 11 2 3 3" xfId="1410"/>
    <cellStyle name="Normal 11 2 3 3 2" xfId="1411"/>
    <cellStyle name="Normal 11 2 3 3 2 2" xfId="1412"/>
    <cellStyle name="Normal 11 2 3 3 2 2 2" xfId="6942"/>
    <cellStyle name="Normal 11 2 3 3 2 3" xfId="5152"/>
    <cellStyle name="Normal 11 2 3 3 3" xfId="1413"/>
    <cellStyle name="Normal 11 2 3 3 3 2" xfId="6941"/>
    <cellStyle name="Normal 11 2 3 3 4" xfId="5151"/>
    <cellStyle name="Normal 11 2 3 4" xfId="1414"/>
    <cellStyle name="Normal 11 2 3 4 2" xfId="1415"/>
    <cellStyle name="Normal 11 2 3 4 2 2" xfId="6943"/>
    <cellStyle name="Normal 11 2 3 4 3" xfId="5153"/>
    <cellStyle name="Normal 11 2 3 5" xfId="1416"/>
    <cellStyle name="Normal 11 2 3 5 2" xfId="6938"/>
    <cellStyle name="Normal 11 2 3 6" xfId="5148"/>
    <cellStyle name="Normal 11 2 3_13008" xfId="1417"/>
    <cellStyle name="Normal 11 2 4" xfId="1418"/>
    <cellStyle name="Normal 11 2 4 2" xfId="1419"/>
    <cellStyle name="Normal 11 2 4 2 2" xfId="1420"/>
    <cellStyle name="Normal 11 2 4 2 2 2" xfId="1421"/>
    <cellStyle name="Normal 11 2 4 2 2 2 2" xfId="6946"/>
    <cellStyle name="Normal 11 2 4 2 2 3" xfId="5156"/>
    <cellStyle name="Normal 11 2 4 2 3" xfId="1422"/>
    <cellStyle name="Normal 11 2 4 2 3 2" xfId="6945"/>
    <cellStyle name="Normal 11 2 4 2 4" xfId="5155"/>
    <cellStyle name="Normal 11 2 4 3" xfId="1423"/>
    <cellStyle name="Normal 11 2 4 3 2" xfId="1424"/>
    <cellStyle name="Normal 11 2 4 3 2 2" xfId="1425"/>
    <cellStyle name="Normal 11 2 4 3 2 2 2" xfId="6948"/>
    <cellStyle name="Normal 11 2 4 3 2 3" xfId="5158"/>
    <cellStyle name="Normal 11 2 4 3 3" xfId="1426"/>
    <cellStyle name="Normal 11 2 4 3 3 2" xfId="6947"/>
    <cellStyle name="Normal 11 2 4 3 4" xfId="5157"/>
    <cellStyle name="Normal 11 2 4 4" xfId="1427"/>
    <cellStyle name="Normal 11 2 4 4 2" xfId="1428"/>
    <cellStyle name="Normal 11 2 4 4 2 2" xfId="6949"/>
    <cellStyle name="Normal 11 2 4 4 3" xfId="5159"/>
    <cellStyle name="Normal 11 2 4 5" xfId="1429"/>
    <cellStyle name="Normal 11 2 4 5 2" xfId="6944"/>
    <cellStyle name="Normal 11 2 4 6" xfId="5154"/>
    <cellStyle name="Normal 11 2 4_13008" xfId="1430"/>
    <cellStyle name="Normal 11 2 5" xfId="1431"/>
    <cellStyle name="Normal 11 2 5 2" xfId="1432"/>
    <cellStyle name="Normal 11 2 5 2 2" xfId="1433"/>
    <cellStyle name="Normal 11 2 5 2 2 2" xfId="1434"/>
    <cellStyle name="Normal 11 2 5 2 2 2 2" xfId="6952"/>
    <cellStyle name="Normal 11 2 5 2 2 3" xfId="5162"/>
    <cellStyle name="Normal 11 2 5 2 3" xfId="1435"/>
    <cellStyle name="Normal 11 2 5 2 3 2" xfId="6951"/>
    <cellStyle name="Normal 11 2 5 2 4" xfId="5161"/>
    <cellStyle name="Normal 11 2 5 3" xfId="1436"/>
    <cellStyle name="Normal 11 2 5 3 2" xfId="1437"/>
    <cellStyle name="Normal 11 2 5 3 2 2" xfId="6953"/>
    <cellStyle name="Normal 11 2 5 3 3" xfId="5163"/>
    <cellStyle name="Normal 11 2 5 4" xfId="1438"/>
    <cellStyle name="Normal 11 2 5 4 2" xfId="1439"/>
    <cellStyle name="Normal 11 2 5 4 2 2" xfId="6954"/>
    <cellStyle name="Normal 11 2 5 4 3" xfId="5164"/>
    <cellStyle name="Normal 11 2 5 5" xfId="1440"/>
    <cellStyle name="Normal 11 2 5 5 2" xfId="6950"/>
    <cellStyle name="Normal 11 2 5 6" xfId="5160"/>
    <cellStyle name="Normal 11 2 5_13008" xfId="1441"/>
    <cellStyle name="Normal 11 2 6" xfId="1442"/>
    <cellStyle name="Normal 11 2 6 2" xfId="1443"/>
    <cellStyle name="Normal 11 2 6 2 2" xfId="1444"/>
    <cellStyle name="Normal 11 2 6 2 2 2" xfId="6956"/>
    <cellStyle name="Normal 11 2 6 2 3" xfId="5166"/>
    <cellStyle name="Normal 11 2 6 3" xfId="1445"/>
    <cellStyle name="Normal 11 2 6 3 2" xfId="6955"/>
    <cellStyle name="Normal 11 2 6 4" xfId="5165"/>
    <cellStyle name="Normal 11 2 7" xfId="1446"/>
    <cellStyle name="Normal 11 2 7 2" xfId="1447"/>
    <cellStyle name="Normal 11 2 7 2 2" xfId="1448"/>
    <cellStyle name="Normal 11 2 7 2 2 2" xfId="6958"/>
    <cellStyle name="Normal 11 2 7 2 3" xfId="5168"/>
    <cellStyle name="Normal 11 2 7 3" xfId="1449"/>
    <cellStyle name="Normal 11 2 7 3 2" xfId="6957"/>
    <cellStyle name="Normal 11 2 7 4" xfId="5167"/>
    <cellStyle name="Normal 11 2 8" xfId="1450"/>
    <cellStyle name="Normal 11 2 8 2" xfId="1451"/>
    <cellStyle name="Normal 11 2 8 2 2" xfId="6959"/>
    <cellStyle name="Normal 11 2 8 3" xfId="5169"/>
    <cellStyle name="Normal 11 2 9" xfId="1452"/>
    <cellStyle name="Normal 11 2 9 2" xfId="1453"/>
    <cellStyle name="Normal 11 2 9 2 2" xfId="6923"/>
    <cellStyle name="Normal 11 2 9 3" xfId="5133"/>
    <cellStyle name="Normal 11 2_13008" xfId="1454"/>
    <cellStyle name="Normal 11 3" xfId="1455"/>
    <cellStyle name="Normal 11 3 10" xfId="1456"/>
    <cellStyle name="Normal 11 3 2" xfId="1457"/>
    <cellStyle name="Normal 11 3 2 2" xfId="1458"/>
    <cellStyle name="Normal 11 3 2 2 2" xfId="1459"/>
    <cellStyle name="Normal 11 3 2 2 2 2" xfId="1460"/>
    <cellStyle name="Normal 11 3 2 2 2 2 2" xfId="6963"/>
    <cellStyle name="Normal 11 3 2 2 2 3" xfId="5173"/>
    <cellStyle name="Normal 11 3 2 2 3" xfId="1461"/>
    <cellStyle name="Normal 11 3 2 2 3 2" xfId="1462"/>
    <cellStyle name="Normal 11 3 2 2 3 2 2" xfId="6964"/>
    <cellStyle name="Normal 11 3 2 2 3 3" xfId="5174"/>
    <cellStyle name="Normal 11 3 2 2 4" xfId="1463"/>
    <cellStyle name="Normal 11 3 2 2 4 2" xfId="1464"/>
    <cellStyle name="Normal 11 3 2 2 4 2 2" xfId="6965"/>
    <cellStyle name="Normal 11 3 2 2 4 3" xfId="5175"/>
    <cellStyle name="Normal 11 3 2 2 5" xfId="1465"/>
    <cellStyle name="Normal 11 3 2 2 5 2" xfId="6962"/>
    <cellStyle name="Normal 11 3 2 2 6" xfId="5172"/>
    <cellStyle name="Normal 11 3 2 2_13008" xfId="1466"/>
    <cellStyle name="Normal 11 3 2 3" xfId="1467"/>
    <cellStyle name="Normal 11 3 2 3 2" xfId="1468"/>
    <cellStyle name="Normal 11 3 2 3 2 2" xfId="1469"/>
    <cellStyle name="Normal 11 3 2 3 2 2 2" xfId="6967"/>
    <cellStyle name="Normal 11 3 2 3 2 3" xfId="5177"/>
    <cellStyle name="Normal 11 3 2 3 3" xfId="1470"/>
    <cellStyle name="Normal 11 3 2 3 3 2" xfId="1471"/>
    <cellStyle name="Normal 11 3 2 3 3 2 2" xfId="6968"/>
    <cellStyle name="Normal 11 3 2 3 3 3" xfId="5178"/>
    <cellStyle name="Normal 11 3 2 3 4" xfId="1472"/>
    <cellStyle name="Normal 11 3 2 3 4 2" xfId="6966"/>
    <cellStyle name="Normal 11 3 2 3 5" xfId="5176"/>
    <cellStyle name="Normal 11 3 2 3_13008" xfId="1473"/>
    <cellStyle name="Normal 11 3 2 4" xfId="1474"/>
    <cellStyle name="Normal 11 3 2 4 2" xfId="1475"/>
    <cellStyle name="Normal 11 3 2 4 2 2" xfId="6969"/>
    <cellStyle name="Normal 11 3 2 4 3" xfId="5179"/>
    <cellStyle name="Normal 11 3 2 5" xfId="1476"/>
    <cellStyle name="Normal 11 3 2 5 2" xfId="1477"/>
    <cellStyle name="Normal 11 3 2 5 2 2" xfId="6970"/>
    <cellStyle name="Normal 11 3 2 5 3" xfId="5180"/>
    <cellStyle name="Normal 11 3 2 6" xfId="1478"/>
    <cellStyle name="Normal 11 3 2 6 2" xfId="1479"/>
    <cellStyle name="Normal 11 3 2 6 2 2" xfId="6971"/>
    <cellStyle name="Normal 11 3 2 6 3" xfId="5181"/>
    <cellStyle name="Normal 11 3 2 7" xfId="1480"/>
    <cellStyle name="Normal 11 3 2 7 2" xfId="6961"/>
    <cellStyle name="Normal 11 3 2 8" xfId="5171"/>
    <cellStyle name="Normal 11 3 2_13008" xfId="1481"/>
    <cellStyle name="Normal 11 3 3" xfId="1482"/>
    <cellStyle name="Normal 11 3 3 2" xfId="1483"/>
    <cellStyle name="Normal 11 3 3 2 2" xfId="1484"/>
    <cellStyle name="Normal 11 3 3 2 2 2" xfId="6973"/>
    <cellStyle name="Normal 11 3 3 2 3" xfId="5183"/>
    <cellStyle name="Normal 11 3 3 3" xfId="1485"/>
    <cellStyle name="Normal 11 3 3 3 2" xfId="1486"/>
    <cellStyle name="Normal 11 3 3 3 2 2" xfId="6974"/>
    <cellStyle name="Normal 11 3 3 3 3" xfId="5184"/>
    <cellStyle name="Normal 11 3 3 4" xfId="1487"/>
    <cellStyle name="Normal 11 3 3 4 2" xfId="1488"/>
    <cellStyle name="Normal 11 3 3 4 2 2" xfId="6975"/>
    <cellStyle name="Normal 11 3 3 4 3" xfId="5185"/>
    <cellStyle name="Normal 11 3 3 5" xfId="1489"/>
    <cellStyle name="Normal 11 3 3 5 2" xfId="6972"/>
    <cellStyle name="Normal 11 3 3 6" xfId="5182"/>
    <cellStyle name="Normal 11 3 3_13008" xfId="1490"/>
    <cellStyle name="Normal 11 3 4" xfId="1491"/>
    <cellStyle name="Normal 11 3 4 2" xfId="1492"/>
    <cellStyle name="Normal 11 3 4 2 2" xfId="1493"/>
    <cellStyle name="Normal 11 3 4 2 2 2" xfId="6977"/>
    <cellStyle name="Normal 11 3 4 2 3" xfId="5187"/>
    <cellStyle name="Normal 11 3 4 3" xfId="1494"/>
    <cellStyle name="Normal 11 3 4 3 2" xfId="1495"/>
    <cellStyle name="Normal 11 3 4 3 2 2" xfId="6978"/>
    <cellStyle name="Normal 11 3 4 3 3" xfId="5188"/>
    <cellStyle name="Normal 11 3 4 4" xfId="1496"/>
    <cellStyle name="Normal 11 3 4 4 2" xfId="1497"/>
    <cellStyle name="Normal 11 3 4 4 2 2" xfId="6979"/>
    <cellStyle name="Normal 11 3 4 4 3" xfId="5189"/>
    <cellStyle name="Normal 11 3 4 5" xfId="1498"/>
    <cellStyle name="Normal 11 3 4 5 2" xfId="6976"/>
    <cellStyle name="Normal 11 3 4 6" xfId="5186"/>
    <cellStyle name="Normal 11 3 4_13008" xfId="1499"/>
    <cellStyle name="Normal 11 3 5" xfId="1500"/>
    <cellStyle name="Normal 11 3 5 2" xfId="1501"/>
    <cellStyle name="Normal 11 3 5 2 2" xfId="1502"/>
    <cellStyle name="Normal 11 3 5 2 2 2" xfId="6981"/>
    <cellStyle name="Normal 11 3 5 2 3" xfId="5191"/>
    <cellStyle name="Normal 11 3 5 3" xfId="1503"/>
    <cellStyle name="Normal 11 3 5 3 2" xfId="1504"/>
    <cellStyle name="Normal 11 3 5 3 2 2" xfId="6982"/>
    <cellStyle name="Normal 11 3 5 3 3" xfId="5192"/>
    <cellStyle name="Normal 11 3 5 4" xfId="1505"/>
    <cellStyle name="Normal 11 3 5 4 2" xfId="6980"/>
    <cellStyle name="Normal 11 3 5 5" xfId="5190"/>
    <cellStyle name="Normal 11 3 5_13008" xfId="1506"/>
    <cellStyle name="Normal 11 3 6" xfId="1507"/>
    <cellStyle name="Normal 11 3 6 2" xfId="1508"/>
    <cellStyle name="Normal 11 3 6 2 2" xfId="6983"/>
    <cellStyle name="Normal 11 3 6 3" xfId="5193"/>
    <cellStyle name="Normal 11 3 7" xfId="1509"/>
    <cellStyle name="Normal 11 3 7 2" xfId="1510"/>
    <cellStyle name="Normal 11 3 7 2 2" xfId="6984"/>
    <cellStyle name="Normal 11 3 7 3" xfId="5194"/>
    <cellStyle name="Normal 11 3 8" xfId="1511"/>
    <cellStyle name="Normal 11 3 8 2" xfId="1512"/>
    <cellStyle name="Normal 11 3 8 2 2" xfId="6985"/>
    <cellStyle name="Normal 11 3 8 3" xfId="5195"/>
    <cellStyle name="Normal 11 3 9" xfId="1513"/>
    <cellStyle name="Normal 11 3 9 2" xfId="1514"/>
    <cellStyle name="Normal 11 3 9 2 2" xfId="6960"/>
    <cellStyle name="Normal 11 3 9 3" xfId="5170"/>
    <cellStyle name="Normal 11 3_13008" xfId="1515"/>
    <cellStyle name="Normal 11 4" xfId="1516"/>
    <cellStyle name="Normal 11 4 10" xfId="1517"/>
    <cellStyle name="Normal 11 4 10 2" xfId="1518"/>
    <cellStyle name="Normal 11 4 10 2 2" xfId="6987"/>
    <cellStyle name="Normal 11 4 10 3" xfId="5197"/>
    <cellStyle name="Normal 11 4 11" xfId="1519"/>
    <cellStyle name="Normal 11 4 11 2" xfId="1520"/>
    <cellStyle name="Normal 11 4 11 2 2" xfId="6986"/>
    <cellStyle name="Normal 11 4 11 3" xfId="5196"/>
    <cellStyle name="Normal 11 4 12" xfId="1521"/>
    <cellStyle name="Normal 11 4 12 2" xfId="6406"/>
    <cellStyle name="Normal 11 4 13" xfId="4613"/>
    <cellStyle name="Normal 11 4 2" xfId="1522"/>
    <cellStyle name="Normal 11 4 2 10" xfId="1523"/>
    <cellStyle name="Normal 11 4 2 10 2" xfId="6475"/>
    <cellStyle name="Normal 11 4 2 11" xfId="4683"/>
    <cellStyle name="Normal 11 4 2 2" xfId="1524"/>
    <cellStyle name="Normal 11 4 2 2 2" xfId="1525"/>
    <cellStyle name="Normal 11 4 2 2 2 2" xfId="1526"/>
    <cellStyle name="Normal 11 4 2 2 2 2 2" xfId="1527"/>
    <cellStyle name="Normal 11 4 2 2 2 2 2 2" xfId="6991"/>
    <cellStyle name="Normal 11 4 2 2 2 2 3" xfId="5201"/>
    <cellStyle name="Normal 11 4 2 2 2 3" xfId="1528"/>
    <cellStyle name="Normal 11 4 2 2 2 3 2" xfId="1529"/>
    <cellStyle name="Normal 11 4 2 2 2 3 2 2" xfId="6992"/>
    <cellStyle name="Normal 11 4 2 2 2 3 3" xfId="5202"/>
    <cellStyle name="Normal 11 4 2 2 2 4" xfId="1530"/>
    <cellStyle name="Normal 11 4 2 2 2 4 2" xfId="6990"/>
    <cellStyle name="Normal 11 4 2 2 2 5" xfId="5200"/>
    <cellStyle name="Normal 11 4 2 2 2_13008" xfId="1531"/>
    <cellStyle name="Normal 11 4 2 2 3" xfId="1532"/>
    <cellStyle name="Normal 11 4 2 2 3 2" xfId="1533"/>
    <cellStyle name="Normal 11 4 2 2 3 2 2" xfId="1534"/>
    <cellStyle name="Normal 11 4 2 2 3 2 2 2" xfId="6994"/>
    <cellStyle name="Normal 11 4 2 2 3 2 3" xfId="5204"/>
    <cellStyle name="Normal 11 4 2 2 3 3" xfId="1535"/>
    <cellStyle name="Normal 11 4 2 2 3 3 2" xfId="1536"/>
    <cellStyle name="Normal 11 4 2 2 3 3 2 2" xfId="6995"/>
    <cellStyle name="Normal 11 4 2 2 3 3 3" xfId="5205"/>
    <cellStyle name="Normal 11 4 2 2 3 4" xfId="1537"/>
    <cellStyle name="Normal 11 4 2 2 3 4 2" xfId="6993"/>
    <cellStyle name="Normal 11 4 2 2 3 5" xfId="5203"/>
    <cellStyle name="Normal 11 4 2 2 3_13008" xfId="1538"/>
    <cellStyle name="Normal 11 4 2 2 4" xfId="1539"/>
    <cellStyle name="Normal 11 4 2 2 4 2" xfId="1540"/>
    <cellStyle name="Normal 11 4 2 2 4 2 2" xfId="6996"/>
    <cellStyle name="Normal 11 4 2 2 4 3" xfId="5206"/>
    <cellStyle name="Normal 11 4 2 2 5" xfId="1541"/>
    <cellStyle name="Normal 11 4 2 2 5 2" xfId="1542"/>
    <cellStyle name="Normal 11 4 2 2 5 2 2" xfId="6997"/>
    <cellStyle name="Normal 11 4 2 2 5 3" xfId="5207"/>
    <cellStyle name="Normal 11 4 2 2 6" xfId="1543"/>
    <cellStyle name="Normal 11 4 2 2 6 2" xfId="6989"/>
    <cellStyle name="Normal 11 4 2 2 7" xfId="5199"/>
    <cellStyle name="Normal 11 4 2 2_13008" xfId="1544"/>
    <cellStyle name="Normal 11 4 2 3" xfId="1545"/>
    <cellStyle name="Normal 11 4 2 3 2" xfId="1546"/>
    <cellStyle name="Normal 11 4 2 3 2 2" xfId="1547"/>
    <cellStyle name="Normal 11 4 2 3 2 2 2" xfId="6999"/>
    <cellStyle name="Normal 11 4 2 3 2 3" xfId="5209"/>
    <cellStyle name="Normal 11 4 2 3 3" xfId="1548"/>
    <cellStyle name="Normal 11 4 2 3 3 2" xfId="1549"/>
    <cellStyle name="Normal 11 4 2 3 3 2 2" xfId="7000"/>
    <cellStyle name="Normal 11 4 2 3 3 3" xfId="5210"/>
    <cellStyle name="Normal 11 4 2 3 4" xfId="1550"/>
    <cellStyle name="Normal 11 4 2 3 4 2" xfId="6998"/>
    <cellStyle name="Normal 11 4 2 3 5" xfId="5208"/>
    <cellStyle name="Normal 11 4 2 3_13008" xfId="1551"/>
    <cellStyle name="Normal 11 4 2 4" xfId="1552"/>
    <cellStyle name="Normal 11 4 2 4 2" xfId="1553"/>
    <cellStyle name="Normal 11 4 2 4 2 2" xfId="1554"/>
    <cellStyle name="Normal 11 4 2 4 2 2 2" xfId="7002"/>
    <cellStyle name="Normal 11 4 2 4 2 3" xfId="5212"/>
    <cellStyle name="Normal 11 4 2 4 3" xfId="1555"/>
    <cellStyle name="Normal 11 4 2 4 3 2" xfId="1556"/>
    <cellStyle name="Normal 11 4 2 4 3 2 2" xfId="7003"/>
    <cellStyle name="Normal 11 4 2 4 3 3" xfId="5213"/>
    <cellStyle name="Normal 11 4 2 4 4" xfId="1557"/>
    <cellStyle name="Normal 11 4 2 4 4 2" xfId="7001"/>
    <cellStyle name="Normal 11 4 2 4 5" xfId="5211"/>
    <cellStyle name="Normal 11 4 2 4_13008" xfId="1558"/>
    <cellStyle name="Normal 11 4 2 5" xfId="1559"/>
    <cellStyle name="Normal 11 4 2 5 2" xfId="1560"/>
    <cellStyle name="Normal 11 4 2 5 2 2" xfId="1561"/>
    <cellStyle name="Normal 11 4 2 5 2 2 2" xfId="7005"/>
    <cellStyle name="Normal 11 4 2 5 2 3" xfId="5215"/>
    <cellStyle name="Normal 11 4 2 5 3" xfId="1562"/>
    <cellStyle name="Normal 11 4 2 5 3 2" xfId="1563"/>
    <cellStyle name="Normal 11 4 2 5 3 2 2" xfId="7006"/>
    <cellStyle name="Normal 11 4 2 5 3 3" xfId="5216"/>
    <cellStyle name="Normal 11 4 2 5 4" xfId="1564"/>
    <cellStyle name="Normal 11 4 2 5 4 2" xfId="7004"/>
    <cellStyle name="Normal 11 4 2 5 5" xfId="5214"/>
    <cellStyle name="Normal 11 4 2 5_13008" xfId="1565"/>
    <cellStyle name="Normal 11 4 2 6" xfId="1566"/>
    <cellStyle name="Normal 11 4 2 6 2" xfId="1567"/>
    <cellStyle name="Normal 11 4 2 6 2 2" xfId="7007"/>
    <cellStyle name="Normal 11 4 2 6 3" xfId="5217"/>
    <cellStyle name="Normal 11 4 2 7" xfId="1568"/>
    <cellStyle name="Normal 11 4 2 7 2" xfId="1569"/>
    <cellStyle name="Normal 11 4 2 7 2 2" xfId="7008"/>
    <cellStyle name="Normal 11 4 2 7 3" xfId="5218"/>
    <cellStyle name="Normal 11 4 2 8" xfId="1570"/>
    <cellStyle name="Normal 11 4 2 8 2" xfId="1571"/>
    <cellStyle name="Normal 11 4 2 8 2 2" xfId="7009"/>
    <cellStyle name="Normal 11 4 2 8 3" xfId="5219"/>
    <cellStyle name="Normal 11 4 2 9" xfId="1572"/>
    <cellStyle name="Normal 11 4 2 9 2" xfId="1573"/>
    <cellStyle name="Normal 11 4 2 9 2 2" xfId="6988"/>
    <cellStyle name="Normal 11 4 2 9 3" xfId="5198"/>
    <cellStyle name="Normal 11 4 2_13008" xfId="1574"/>
    <cellStyle name="Normal 11 4 3" xfId="1575"/>
    <cellStyle name="Normal 11 4 3 10" xfId="1576"/>
    <cellStyle name="Normal 11 4 3 10 2" xfId="1577"/>
    <cellStyle name="Normal 11 4 3 10 2 2" xfId="1578"/>
    <cellStyle name="Normal 11 4 3 10 2 2 2" xfId="7012"/>
    <cellStyle name="Normal 11 4 3 10 2 3" xfId="5222"/>
    <cellStyle name="Normal 11 4 3 10 3" xfId="1579"/>
    <cellStyle name="Normal 11 4 3 10 3 2" xfId="1580"/>
    <cellStyle name="Normal 11 4 3 10 3 2 2" xfId="7013"/>
    <cellStyle name="Normal 11 4 3 10 3 3" xfId="5223"/>
    <cellStyle name="Normal 11 4 3 10 4" xfId="1581"/>
    <cellStyle name="Normal 11 4 3 10 4 2" xfId="7011"/>
    <cellStyle name="Normal 11 4 3 10 5" xfId="5221"/>
    <cellStyle name="Normal 11 4 3 10_13008" xfId="1582"/>
    <cellStyle name="Normal 11 4 3 11" xfId="1583"/>
    <cellStyle name="Normal 11 4 3 11 2" xfId="1584"/>
    <cellStyle name="Normal 11 4 3 11 2 2" xfId="1585"/>
    <cellStyle name="Normal 11 4 3 11 2 2 2" xfId="7015"/>
    <cellStyle name="Normal 11 4 3 11 2 3" xfId="5225"/>
    <cellStyle name="Normal 11 4 3 11 3" xfId="1586"/>
    <cellStyle name="Normal 11 4 3 11 3 2" xfId="1587"/>
    <cellStyle name="Normal 11 4 3 11 3 2 2" xfId="7016"/>
    <cellStyle name="Normal 11 4 3 11 3 3" xfId="5226"/>
    <cellStyle name="Normal 11 4 3 11 4" xfId="1588"/>
    <cellStyle name="Normal 11 4 3 11 4 2" xfId="7014"/>
    <cellStyle name="Normal 11 4 3 11 5" xfId="5224"/>
    <cellStyle name="Normal 11 4 3 11_13008" xfId="1589"/>
    <cellStyle name="Normal 11 4 3 12" xfId="1590"/>
    <cellStyle name="Normal 11 4 3 12 2" xfId="1591"/>
    <cellStyle name="Normal 11 4 3 12 2 2" xfId="7017"/>
    <cellStyle name="Normal 11 4 3 12 3" xfId="5227"/>
    <cellStyle name="Normal 11 4 3 13" xfId="1592"/>
    <cellStyle name="Normal 11 4 3 13 2" xfId="1593"/>
    <cellStyle name="Normal 11 4 3 13 2 2" xfId="7018"/>
    <cellStyle name="Normal 11 4 3 13 3" xfId="5228"/>
    <cellStyle name="Normal 11 4 3 14" xfId="1594"/>
    <cellStyle name="Normal 11 4 3 14 2" xfId="1595"/>
    <cellStyle name="Normal 11 4 3 14 2 2" xfId="7019"/>
    <cellStyle name="Normal 11 4 3 14 3" xfId="5229"/>
    <cellStyle name="Normal 11 4 3 15" xfId="1596"/>
    <cellStyle name="Normal 11 4 3 15 2" xfId="1597"/>
    <cellStyle name="Normal 11 4 3 15 2 2" xfId="7020"/>
    <cellStyle name="Normal 11 4 3 15 3" xfId="5230"/>
    <cellStyle name="Normal 11 4 3 16" xfId="1598"/>
    <cellStyle name="Normal 11 4 3 16 2" xfId="1599"/>
    <cellStyle name="Normal 11 4 3 16 2 2" xfId="7021"/>
    <cellStyle name="Normal 11 4 3 16 3" xfId="5231"/>
    <cellStyle name="Normal 11 4 3 17" xfId="1600"/>
    <cellStyle name="Normal 11 4 3 17 2" xfId="7010"/>
    <cellStyle name="Normal 11 4 3 18" xfId="5220"/>
    <cellStyle name="Normal 11 4 3 2" xfId="1601"/>
    <cellStyle name="Normal 11 4 3 2 2" xfId="1602"/>
    <cellStyle name="Normal 11 4 3 2 2 2" xfId="1603"/>
    <cellStyle name="Normal 11 4 3 2 2 2 2" xfId="1604"/>
    <cellStyle name="Normal 11 4 3 2 2 2 2 2" xfId="7024"/>
    <cellStyle name="Normal 11 4 3 2 2 2 3" xfId="5234"/>
    <cellStyle name="Normal 11 4 3 2 2 3" xfId="1605"/>
    <cellStyle name="Normal 11 4 3 2 2 3 2" xfId="1606"/>
    <cellStyle name="Normal 11 4 3 2 2 3 2 2" xfId="7025"/>
    <cellStyle name="Normal 11 4 3 2 2 3 3" xfId="5235"/>
    <cellStyle name="Normal 11 4 3 2 2 4" xfId="1607"/>
    <cellStyle name="Normal 11 4 3 2 2 4 2" xfId="7023"/>
    <cellStyle name="Normal 11 4 3 2 2 5" xfId="5233"/>
    <cellStyle name="Normal 11 4 3 2 2_13008" xfId="1608"/>
    <cellStyle name="Normal 11 4 3 2 3" xfId="1609"/>
    <cellStyle name="Normal 11 4 3 2 3 2" xfId="1610"/>
    <cellStyle name="Normal 11 4 3 2 3 2 2" xfId="1611"/>
    <cellStyle name="Normal 11 4 3 2 3 2 2 2" xfId="7027"/>
    <cellStyle name="Normal 11 4 3 2 3 2 3" xfId="5237"/>
    <cellStyle name="Normal 11 4 3 2 3 3" xfId="1612"/>
    <cellStyle name="Normal 11 4 3 2 3 3 2" xfId="1613"/>
    <cellStyle name="Normal 11 4 3 2 3 3 2 2" xfId="7028"/>
    <cellStyle name="Normal 11 4 3 2 3 3 3" xfId="5238"/>
    <cellStyle name="Normal 11 4 3 2 3 4" xfId="1614"/>
    <cellStyle name="Normal 11 4 3 2 3 4 2" xfId="7026"/>
    <cellStyle name="Normal 11 4 3 2 3 5" xfId="5236"/>
    <cellStyle name="Normal 11 4 3 2 3_13008" xfId="1615"/>
    <cellStyle name="Normal 11 4 3 2 4" xfId="1616"/>
    <cellStyle name="Normal 11 4 3 2 4 2" xfId="1617"/>
    <cellStyle name="Normal 11 4 3 2 4 2 2" xfId="7029"/>
    <cellStyle name="Normal 11 4 3 2 4 3" xfId="5239"/>
    <cellStyle name="Normal 11 4 3 2 5" xfId="1618"/>
    <cellStyle name="Normal 11 4 3 2 5 2" xfId="1619"/>
    <cellStyle name="Normal 11 4 3 2 5 2 2" xfId="7030"/>
    <cellStyle name="Normal 11 4 3 2 5 3" xfId="5240"/>
    <cellStyle name="Normal 11 4 3 2 6" xfId="1620"/>
    <cellStyle name="Normal 11 4 3 2 6 2" xfId="7022"/>
    <cellStyle name="Normal 11 4 3 2 7" xfId="5232"/>
    <cellStyle name="Normal 11 4 3 2_13008" xfId="1621"/>
    <cellStyle name="Normal 11 4 3 3" xfId="1622"/>
    <cellStyle name="Normal 11 4 3 3 2" xfId="1623"/>
    <cellStyle name="Normal 11 4 3 3 2 2" xfId="1624"/>
    <cellStyle name="Normal 11 4 3 3 2 2 2" xfId="1625"/>
    <cellStyle name="Normal 11 4 3 3 2 2 2 2" xfId="7033"/>
    <cellStyle name="Normal 11 4 3 3 2 2 3" xfId="5243"/>
    <cellStyle name="Normal 11 4 3 3 2 3" xfId="1626"/>
    <cellStyle name="Normal 11 4 3 3 2 3 2" xfId="1627"/>
    <cellStyle name="Normal 11 4 3 3 2 3 2 2" xfId="7034"/>
    <cellStyle name="Normal 11 4 3 3 2 3 3" xfId="5244"/>
    <cellStyle name="Normal 11 4 3 3 2 4" xfId="1628"/>
    <cellStyle name="Normal 11 4 3 3 2 4 2" xfId="7032"/>
    <cellStyle name="Normal 11 4 3 3 2 5" xfId="5242"/>
    <cellStyle name="Normal 11 4 3 3 2_13008" xfId="1629"/>
    <cellStyle name="Normal 11 4 3 3 3" xfId="1630"/>
    <cellStyle name="Normal 11 4 3 3 3 2" xfId="1631"/>
    <cellStyle name="Normal 11 4 3 3 3 2 2" xfId="1632"/>
    <cellStyle name="Normal 11 4 3 3 3 2 2 2" xfId="7036"/>
    <cellStyle name="Normal 11 4 3 3 3 2 3" xfId="5246"/>
    <cellStyle name="Normal 11 4 3 3 3 3" xfId="1633"/>
    <cellStyle name="Normal 11 4 3 3 3 3 2" xfId="1634"/>
    <cellStyle name="Normal 11 4 3 3 3 3 2 2" xfId="7037"/>
    <cellStyle name="Normal 11 4 3 3 3 3 3" xfId="5247"/>
    <cellStyle name="Normal 11 4 3 3 3 4" xfId="1635"/>
    <cellStyle name="Normal 11 4 3 3 3 4 2" xfId="7035"/>
    <cellStyle name="Normal 11 4 3 3 3 5" xfId="5245"/>
    <cellStyle name="Normal 11 4 3 3 3_13008" xfId="1636"/>
    <cellStyle name="Normal 11 4 3 3 4" xfId="1637"/>
    <cellStyle name="Normal 11 4 3 3 4 2" xfId="1638"/>
    <cellStyle name="Normal 11 4 3 3 4 2 2" xfId="7038"/>
    <cellStyle name="Normal 11 4 3 3 4 3" xfId="5248"/>
    <cellStyle name="Normal 11 4 3 3 5" xfId="1639"/>
    <cellStyle name="Normal 11 4 3 3 5 2" xfId="1640"/>
    <cellStyle name="Normal 11 4 3 3 5 2 2" xfId="7039"/>
    <cellStyle name="Normal 11 4 3 3 5 3" xfId="5249"/>
    <cellStyle name="Normal 11 4 3 3 6" xfId="1641"/>
    <cellStyle name="Normal 11 4 3 3 6 2" xfId="7031"/>
    <cellStyle name="Normal 11 4 3 3 7" xfId="5241"/>
    <cellStyle name="Normal 11 4 3 3_13008" xfId="1642"/>
    <cellStyle name="Normal 11 4 3 4" xfId="1643"/>
    <cellStyle name="Normal 11 4 3 4 2" xfId="1644"/>
    <cellStyle name="Normal 11 4 3 4 2 2" xfId="1645"/>
    <cellStyle name="Normal 11 4 3 4 2 2 2" xfId="7041"/>
    <cellStyle name="Normal 11 4 3 4 2 3" xfId="5251"/>
    <cellStyle name="Normal 11 4 3 4 3" xfId="1646"/>
    <cellStyle name="Normal 11 4 3 4 3 2" xfId="1647"/>
    <cellStyle name="Normal 11 4 3 4 3 2 2" xfId="7042"/>
    <cellStyle name="Normal 11 4 3 4 3 3" xfId="5252"/>
    <cellStyle name="Normal 11 4 3 4 4" xfId="1648"/>
    <cellStyle name="Normal 11 4 3 4 4 2" xfId="7040"/>
    <cellStyle name="Normal 11 4 3 4 5" xfId="5250"/>
    <cellStyle name="Normal 11 4 3 4_13008" xfId="1649"/>
    <cellStyle name="Normal 11 4 3 5" xfId="1650"/>
    <cellStyle name="Normal 11 4 3 5 2" xfId="1651"/>
    <cellStyle name="Normal 11 4 3 5 2 2" xfId="1652"/>
    <cellStyle name="Normal 11 4 3 5 2 2 2" xfId="7044"/>
    <cellStyle name="Normal 11 4 3 5 2 3" xfId="5254"/>
    <cellStyle name="Normal 11 4 3 5 3" xfId="1653"/>
    <cellStyle name="Normal 11 4 3 5 3 2" xfId="1654"/>
    <cellStyle name="Normal 11 4 3 5 3 2 2" xfId="7045"/>
    <cellStyle name="Normal 11 4 3 5 3 3" xfId="5255"/>
    <cellStyle name="Normal 11 4 3 5 4" xfId="1655"/>
    <cellStyle name="Normal 11 4 3 5 4 2" xfId="7043"/>
    <cellStyle name="Normal 11 4 3 5 5" xfId="5253"/>
    <cellStyle name="Normal 11 4 3 5_13008" xfId="1656"/>
    <cellStyle name="Normal 11 4 3 6" xfId="1657"/>
    <cellStyle name="Normal 11 4 3 6 2" xfId="1658"/>
    <cellStyle name="Normal 11 4 3 6 2 2" xfId="1659"/>
    <cellStyle name="Normal 11 4 3 6 2 2 2" xfId="7047"/>
    <cellStyle name="Normal 11 4 3 6 2 3" xfId="5257"/>
    <cellStyle name="Normal 11 4 3 6 3" xfId="1660"/>
    <cellStyle name="Normal 11 4 3 6 3 2" xfId="1661"/>
    <cellStyle name="Normal 11 4 3 6 3 2 2" xfId="7048"/>
    <cellStyle name="Normal 11 4 3 6 3 3" xfId="5258"/>
    <cellStyle name="Normal 11 4 3 6 4" xfId="1662"/>
    <cellStyle name="Normal 11 4 3 6 4 2" xfId="7046"/>
    <cellStyle name="Normal 11 4 3 6 5" xfId="5256"/>
    <cellStyle name="Normal 11 4 3 6_13008" xfId="1663"/>
    <cellStyle name="Normal 11 4 3 7" xfId="1664"/>
    <cellStyle name="Normal 11 4 3 7 2" xfId="1665"/>
    <cellStyle name="Normal 11 4 3 7 2 2" xfId="1666"/>
    <cellStyle name="Normal 11 4 3 7 2 2 2" xfId="7050"/>
    <cellStyle name="Normal 11 4 3 7 2 3" xfId="5260"/>
    <cellStyle name="Normal 11 4 3 7 3" xfId="1667"/>
    <cellStyle name="Normal 11 4 3 7 3 2" xfId="1668"/>
    <cellStyle name="Normal 11 4 3 7 3 2 2" xfId="7051"/>
    <cellStyle name="Normal 11 4 3 7 3 3" xfId="5261"/>
    <cellStyle name="Normal 11 4 3 7 4" xfId="1669"/>
    <cellStyle name="Normal 11 4 3 7 4 2" xfId="7049"/>
    <cellStyle name="Normal 11 4 3 7 5" xfId="5259"/>
    <cellStyle name="Normal 11 4 3 7_13008" xfId="1670"/>
    <cellStyle name="Normal 11 4 3 8" xfId="1671"/>
    <cellStyle name="Normal 11 4 3 8 2" xfId="1672"/>
    <cellStyle name="Normal 11 4 3 8 2 2" xfId="1673"/>
    <cellStyle name="Normal 11 4 3 8 2 2 2" xfId="7053"/>
    <cellStyle name="Normal 11 4 3 8 2 3" xfId="5263"/>
    <cellStyle name="Normal 11 4 3 8 3" xfId="1674"/>
    <cellStyle name="Normal 11 4 3 8 3 2" xfId="1675"/>
    <cellStyle name="Normal 11 4 3 8 3 2 2" xfId="7054"/>
    <cellStyle name="Normal 11 4 3 8 3 3" xfId="5264"/>
    <cellStyle name="Normal 11 4 3 8 4" xfId="1676"/>
    <cellStyle name="Normal 11 4 3 8 4 2" xfId="7052"/>
    <cellStyle name="Normal 11 4 3 8 5" xfId="5262"/>
    <cellStyle name="Normal 11 4 3 8_13008" xfId="1677"/>
    <cellStyle name="Normal 11 4 3 9" xfId="1678"/>
    <cellStyle name="Normal 11 4 3 9 2" xfId="1679"/>
    <cellStyle name="Normal 11 4 3 9 2 2" xfId="1680"/>
    <cellStyle name="Normal 11 4 3 9 2 2 2" xfId="7056"/>
    <cellStyle name="Normal 11 4 3 9 2 3" xfId="5266"/>
    <cellStyle name="Normal 11 4 3 9 3" xfId="1681"/>
    <cellStyle name="Normal 11 4 3 9 3 2" xfId="1682"/>
    <cellStyle name="Normal 11 4 3 9 3 2 2" xfId="7057"/>
    <cellStyle name="Normal 11 4 3 9 3 3" xfId="5267"/>
    <cellStyle name="Normal 11 4 3 9 4" xfId="1683"/>
    <cellStyle name="Normal 11 4 3 9 4 2" xfId="7055"/>
    <cellStyle name="Normal 11 4 3 9 5" xfId="5265"/>
    <cellStyle name="Normal 11 4 3 9_13008" xfId="1684"/>
    <cellStyle name="Normal 11 4 3_13008" xfId="1685"/>
    <cellStyle name="Normal 11 4 4" xfId="1686"/>
    <cellStyle name="Normal 11 4 4 2" xfId="1687"/>
    <cellStyle name="Normal 11 4 4 2 2" xfId="1688"/>
    <cellStyle name="Normal 11 4 4 2 2 2" xfId="1689"/>
    <cellStyle name="Normal 11 4 4 2 2 2 2" xfId="7060"/>
    <cellStyle name="Normal 11 4 4 2 2 3" xfId="5270"/>
    <cellStyle name="Normal 11 4 4 2 3" xfId="1690"/>
    <cellStyle name="Normal 11 4 4 2 3 2" xfId="1691"/>
    <cellStyle name="Normal 11 4 4 2 3 2 2" xfId="7061"/>
    <cellStyle name="Normal 11 4 4 2 3 3" xfId="5271"/>
    <cellStyle name="Normal 11 4 4 2 4" xfId="1692"/>
    <cellStyle name="Normal 11 4 4 2 4 2" xfId="7059"/>
    <cellStyle name="Normal 11 4 4 2 5" xfId="5269"/>
    <cellStyle name="Normal 11 4 4 2_13008" xfId="1693"/>
    <cellStyle name="Normal 11 4 4 3" xfId="1694"/>
    <cellStyle name="Normal 11 4 4 3 2" xfId="1695"/>
    <cellStyle name="Normal 11 4 4 3 2 2" xfId="1696"/>
    <cellStyle name="Normal 11 4 4 3 2 2 2" xfId="7063"/>
    <cellStyle name="Normal 11 4 4 3 2 3" xfId="5273"/>
    <cellStyle name="Normal 11 4 4 3 3" xfId="1697"/>
    <cellStyle name="Normal 11 4 4 3 3 2" xfId="1698"/>
    <cellStyle name="Normal 11 4 4 3 3 2 2" xfId="7064"/>
    <cellStyle name="Normal 11 4 4 3 3 3" xfId="5274"/>
    <cellStyle name="Normal 11 4 4 3 4" xfId="1699"/>
    <cellStyle name="Normal 11 4 4 3 4 2" xfId="7062"/>
    <cellStyle name="Normal 11 4 4 3 5" xfId="5272"/>
    <cellStyle name="Normal 11 4 4 3_13008" xfId="1700"/>
    <cellStyle name="Normal 11 4 4 4" xfId="1701"/>
    <cellStyle name="Normal 11 4 4 4 2" xfId="1702"/>
    <cellStyle name="Normal 11 4 4 4 2 2" xfId="7065"/>
    <cellStyle name="Normal 11 4 4 4 3" xfId="5275"/>
    <cellStyle name="Normal 11 4 4 5" xfId="1703"/>
    <cellStyle name="Normal 11 4 4 5 2" xfId="1704"/>
    <cellStyle name="Normal 11 4 4 5 2 2" xfId="7066"/>
    <cellStyle name="Normal 11 4 4 5 3" xfId="5276"/>
    <cellStyle name="Normal 11 4 4 6" xfId="1705"/>
    <cellStyle name="Normal 11 4 4 6 2" xfId="7058"/>
    <cellStyle name="Normal 11 4 4 7" xfId="5268"/>
    <cellStyle name="Normal 11 4 4_13008" xfId="1706"/>
    <cellStyle name="Normal 11 4 5" xfId="1707"/>
    <cellStyle name="Normal 11 4 5 2" xfId="1708"/>
    <cellStyle name="Normal 11 4 5 2 2" xfId="1709"/>
    <cellStyle name="Normal 11 4 5 2 2 2" xfId="7068"/>
    <cellStyle name="Normal 11 4 5 2 3" xfId="5278"/>
    <cellStyle name="Normal 11 4 5 3" xfId="1710"/>
    <cellStyle name="Normal 11 4 5 3 2" xfId="1711"/>
    <cellStyle name="Normal 11 4 5 3 2 2" xfId="7069"/>
    <cellStyle name="Normal 11 4 5 3 3" xfId="5279"/>
    <cellStyle name="Normal 11 4 5 4" xfId="1712"/>
    <cellStyle name="Normal 11 4 5 4 2" xfId="7067"/>
    <cellStyle name="Normal 11 4 5 5" xfId="5277"/>
    <cellStyle name="Normal 11 4 5_13008" xfId="1713"/>
    <cellStyle name="Normal 11 4 6" xfId="1714"/>
    <cellStyle name="Normal 11 4 6 2" xfId="1715"/>
    <cellStyle name="Normal 11 4 6 2 2" xfId="1716"/>
    <cellStyle name="Normal 11 4 6 2 2 2" xfId="7071"/>
    <cellStyle name="Normal 11 4 6 2 3" xfId="5281"/>
    <cellStyle name="Normal 11 4 6 3" xfId="1717"/>
    <cellStyle name="Normal 11 4 6 3 2" xfId="1718"/>
    <cellStyle name="Normal 11 4 6 3 2 2" xfId="7072"/>
    <cellStyle name="Normal 11 4 6 3 3" xfId="5282"/>
    <cellStyle name="Normal 11 4 6 4" xfId="1719"/>
    <cellStyle name="Normal 11 4 6 4 2" xfId="7070"/>
    <cellStyle name="Normal 11 4 6 5" xfId="5280"/>
    <cellStyle name="Normal 11 4 6_13008" xfId="1720"/>
    <cellStyle name="Normal 11 4 7" xfId="1721"/>
    <cellStyle name="Normal 11 4 7 2" xfId="1722"/>
    <cellStyle name="Normal 11 4 7 2 2" xfId="1723"/>
    <cellStyle name="Normal 11 4 7 2 2 2" xfId="7074"/>
    <cellStyle name="Normal 11 4 7 2 3" xfId="5284"/>
    <cellStyle name="Normal 11 4 7 3" xfId="1724"/>
    <cellStyle name="Normal 11 4 7 3 2" xfId="1725"/>
    <cellStyle name="Normal 11 4 7 3 2 2" xfId="7075"/>
    <cellStyle name="Normal 11 4 7 3 3" xfId="5285"/>
    <cellStyle name="Normal 11 4 7 4" xfId="1726"/>
    <cellStyle name="Normal 11 4 7 4 2" xfId="7073"/>
    <cellStyle name="Normal 11 4 7 5" xfId="5283"/>
    <cellStyle name="Normal 11 4 7_13008" xfId="1727"/>
    <cellStyle name="Normal 11 4 8" xfId="1728"/>
    <cellStyle name="Normal 11 4 8 2" xfId="1729"/>
    <cellStyle name="Normal 11 4 8 2 2" xfId="7076"/>
    <cellStyle name="Normal 11 4 8 3" xfId="5286"/>
    <cellStyle name="Normal 11 4 9" xfId="1730"/>
    <cellStyle name="Normal 11 4 9 2" xfId="1731"/>
    <cellStyle name="Normal 11 4 9 2 2" xfId="7077"/>
    <cellStyle name="Normal 11 4 9 3" xfId="5287"/>
    <cellStyle name="Normal 11 4_13008" xfId="1732"/>
    <cellStyle name="Normal 11 5" xfId="1733"/>
    <cellStyle name="Normal 11 5 10" xfId="1734"/>
    <cellStyle name="Normal 11 5 10 2" xfId="1735"/>
    <cellStyle name="Normal 11 5 10 2 2" xfId="1736"/>
    <cellStyle name="Normal 11 5 10 2 2 2" xfId="7080"/>
    <cellStyle name="Normal 11 5 10 2 3" xfId="5290"/>
    <cellStyle name="Normal 11 5 10 3" xfId="1737"/>
    <cellStyle name="Normal 11 5 10 3 2" xfId="1738"/>
    <cellStyle name="Normal 11 5 10 3 2 2" xfId="7081"/>
    <cellStyle name="Normal 11 5 10 3 3" xfId="5291"/>
    <cellStyle name="Normal 11 5 10 4" xfId="1739"/>
    <cellStyle name="Normal 11 5 10 4 2" xfId="7079"/>
    <cellStyle name="Normal 11 5 10 5" xfId="5289"/>
    <cellStyle name="Normal 11 5 10_13008" xfId="1740"/>
    <cellStyle name="Normal 11 5 11" xfId="1741"/>
    <cellStyle name="Normal 11 5 11 2" xfId="1742"/>
    <cellStyle name="Normal 11 5 11 2 2" xfId="1743"/>
    <cellStyle name="Normal 11 5 11 2 2 2" xfId="7083"/>
    <cellStyle name="Normal 11 5 11 2 3" xfId="5293"/>
    <cellStyle name="Normal 11 5 11 3" xfId="1744"/>
    <cellStyle name="Normal 11 5 11 3 2" xfId="1745"/>
    <cellStyle name="Normal 11 5 11 3 2 2" xfId="7084"/>
    <cellStyle name="Normal 11 5 11 3 3" xfId="5294"/>
    <cellStyle name="Normal 11 5 11 4" xfId="1746"/>
    <cellStyle name="Normal 11 5 11 4 2" xfId="7082"/>
    <cellStyle name="Normal 11 5 11 5" xfId="5292"/>
    <cellStyle name="Normal 11 5 11_13008" xfId="1747"/>
    <cellStyle name="Normal 11 5 12" xfId="1748"/>
    <cellStyle name="Normal 11 5 12 2" xfId="1749"/>
    <cellStyle name="Normal 11 5 12 2 2" xfId="7085"/>
    <cellStyle name="Normal 11 5 12 3" xfId="5295"/>
    <cellStyle name="Normal 11 5 13" xfId="1750"/>
    <cellStyle name="Normal 11 5 13 2" xfId="1751"/>
    <cellStyle name="Normal 11 5 13 2 2" xfId="7086"/>
    <cellStyle name="Normal 11 5 13 3" xfId="5296"/>
    <cellStyle name="Normal 11 5 14" xfId="1752"/>
    <cellStyle name="Normal 11 5 14 2" xfId="1753"/>
    <cellStyle name="Normal 11 5 14 2 2" xfId="7087"/>
    <cellStyle name="Normal 11 5 14 3" xfId="5297"/>
    <cellStyle name="Normal 11 5 15" xfId="1754"/>
    <cellStyle name="Normal 11 5 15 2" xfId="1755"/>
    <cellStyle name="Normal 11 5 15 2 2" xfId="7078"/>
    <cellStyle name="Normal 11 5 15 3" xfId="5288"/>
    <cellStyle name="Normal 11 5 16" xfId="1756"/>
    <cellStyle name="Normal 11 5 16 2" xfId="6423"/>
    <cellStyle name="Normal 11 5 17" xfId="4631"/>
    <cellStyle name="Normal 11 5 19" xfId="1757"/>
    <cellStyle name="Normal 11 5 19 2" xfId="1758"/>
    <cellStyle name="Normal 11 5 19 2 2" xfId="1759"/>
    <cellStyle name="Normal 11 5 19 2 2 2" xfId="7089"/>
    <cellStyle name="Normal 11 5 19 2 3" xfId="5299"/>
    <cellStyle name="Normal 11 5 19 3" xfId="1760"/>
    <cellStyle name="Normal 11 5 19 3 2" xfId="7088"/>
    <cellStyle name="Normal 11 5 19 4" xfId="5298"/>
    <cellStyle name="Normal 11 5 19_13008" xfId="1761"/>
    <cellStyle name="Normal 11 5 2" xfId="1762"/>
    <cellStyle name="Normal 11 5 2 10" xfId="5300"/>
    <cellStyle name="Normal 11 5 2 2" xfId="1763"/>
    <cellStyle name="Normal 11 5 2 2 2" xfId="1764"/>
    <cellStyle name="Normal 11 5 2 2 2 2" xfId="1765"/>
    <cellStyle name="Normal 11 5 2 2 2 2 2" xfId="1766"/>
    <cellStyle name="Normal 11 5 2 2 2 2 2 2" xfId="7093"/>
    <cellStyle name="Normal 11 5 2 2 2 2 3" xfId="5303"/>
    <cellStyle name="Normal 11 5 2 2 2 3" xfId="1767"/>
    <cellStyle name="Normal 11 5 2 2 2 3 2" xfId="1768"/>
    <cellStyle name="Normal 11 5 2 2 2 3 2 2" xfId="7094"/>
    <cellStyle name="Normal 11 5 2 2 2 3 3" xfId="5304"/>
    <cellStyle name="Normal 11 5 2 2 2 4" xfId="1769"/>
    <cellStyle name="Normal 11 5 2 2 2 4 2" xfId="7092"/>
    <cellStyle name="Normal 11 5 2 2 2 5" xfId="5302"/>
    <cellStyle name="Normal 11 5 2 2 2_13008" xfId="1770"/>
    <cellStyle name="Normal 11 5 2 2 3" xfId="1771"/>
    <cellStyle name="Normal 11 5 2 2 3 2" xfId="1772"/>
    <cellStyle name="Normal 11 5 2 2 3 2 2" xfId="1773"/>
    <cellStyle name="Normal 11 5 2 2 3 2 2 2" xfId="7096"/>
    <cellStyle name="Normal 11 5 2 2 3 2 3" xfId="5306"/>
    <cellStyle name="Normal 11 5 2 2 3 3" xfId="1774"/>
    <cellStyle name="Normal 11 5 2 2 3 3 2" xfId="1775"/>
    <cellStyle name="Normal 11 5 2 2 3 3 2 2" xfId="7097"/>
    <cellStyle name="Normal 11 5 2 2 3 3 3" xfId="5307"/>
    <cellStyle name="Normal 11 5 2 2 3 4" xfId="1776"/>
    <cellStyle name="Normal 11 5 2 2 3 4 2" xfId="7095"/>
    <cellStyle name="Normal 11 5 2 2 3 5" xfId="5305"/>
    <cellStyle name="Normal 11 5 2 2 3_13008" xfId="1777"/>
    <cellStyle name="Normal 11 5 2 2 4" xfId="1778"/>
    <cellStyle name="Normal 11 5 2 2 4 2" xfId="1779"/>
    <cellStyle name="Normal 11 5 2 2 4 2 2" xfId="7098"/>
    <cellStyle name="Normal 11 5 2 2 4 3" xfId="5308"/>
    <cellStyle name="Normal 11 5 2 2 5" xfId="1780"/>
    <cellStyle name="Normal 11 5 2 2 5 2" xfId="1781"/>
    <cellStyle name="Normal 11 5 2 2 5 2 2" xfId="7099"/>
    <cellStyle name="Normal 11 5 2 2 5 3" xfId="5309"/>
    <cellStyle name="Normal 11 5 2 2 6" xfId="1782"/>
    <cellStyle name="Normal 11 5 2 2 6 2" xfId="7091"/>
    <cellStyle name="Normal 11 5 2 2 7" xfId="5301"/>
    <cellStyle name="Normal 11 5 2 2_13008" xfId="1783"/>
    <cellStyle name="Normal 11 5 2 3" xfId="1784"/>
    <cellStyle name="Normal 11 5 2 3 2" xfId="1785"/>
    <cellStyle name="Normal 11 5 2 3 2 2" xfId="1786"/>
    <cellStyle name="Normal 11 5 2 3 2 2 2" xfId="7101"/>
    <cellStyle name="Normal 11 5 2 3 2 3" xfId="5311"/>
    <cellStyle name="Normal 11 5 2 3 3" xfId="1787"/>
    <cellStyle name="Normal 11 5 2 3 3 2" xfId="1788"/>
    <cellStyle name="Normal 11 5 2 3 3 2 2" xfId="7102"/>
    <cellStyle name="Normal 11 5 2 3 3 3" xfId="5312"/>
    <cellStyle name="Normal 11 5 2 3 4" xfId="1789"/>
    <cellStyle name="Normal 11 5 2 3 4 2" xfId="7100"/>
    <cellStyle name="Normal 11 5 2 3 5" xfId="5310"/>
    <cellStyle name="Normal 11 5 2 3_13008" xfId="1790"/>
    <cellStyle name="Normal 11 5 2 4" xfId="1791"/>
    <cellStyle name="Normal 11 5 2 4 2" xfId="1792"/>
    <cellStyle name="Normal 11 5 2 4 2 2" xfId="1793"/>
    <cellStyle name="Normal 11 5 2 4 2 2 2" xfId="7104"/>
    <cellStyle name="Normal 11 5 2 4 2 3" xfId="5314"/>
    <cellStyle name="Normal 11 5 2 4 3" xfId="1794"/>
    <cellStyle name="Normal 11 5 2 4 3 2" xfId="1795"/>
    <cellStyle name="Normal 11 5 2 4 3 2 2" xfId="7105"/>
    <cellStyle name="Normal 11 5 2 4 3 3" xfId="5315"/>
    <cellStyle name="Normal 11 5 2 4 4" xfId="1796"/>
    <cellStyle name="Normal 11 5 2 4 4 2" xfId="7103"/>
    <cellStyle name="Normal 11 5 2 4 5" xfId="5313"/>
    <cellStyle name="Normal 11 5 2 4_13008" xfId="1797"/>
    <cellStyle name="Normal 11 5 2 5" xfId="1798"/>
    <cellStyle name="Normal 11 5 2 5 2" xfId="1799"/>
    <cellStyle name="Normal 11 5 2 5 2 2" xfId="1800"/>
    <cellStyle name="Normal 11 5 2 5 2 2 2" xfId="7107"/>
    <cellStyle name="Normal 11 5 2 5 2 3" xfId="5317"/>
    <cellStyle name="Normal 11 5 2 5 3" xfId="1801"/>
    <cellStyle name="Normal 11 5 2 5 3 2" xfId="1802"/>
    <cellStyle name="Normal 11 5 2 5 3 2 2" xfId="7108"/>
    <cellStyle name="Normal 11 5 2 5 3 3" xfId="5318"/>
    <cellStyle name="Normal 11 5 2 5 4" xfId="1803"/>
    <cellStyle name="Normal 11 5 2 5 4 2" xfId="7106"/>
    <cellStyle name="Normal 11 5 2 5 5" xfId="5316"/>
    <cellStyle name="Normal 11 5 2 5_13008" xfId="1804"/>
    <cellStyle name="Normal 11 5 2 6" xfId="1805"/>
    <cellStyle name="Normal 11 5 2 6 2" xfId="1806"/>
    <cellStyle name="Normal 11 5 2 6 2 2" xfId="7109"/>
    <cellStyle name="Normal 11 5 2 6 3" xfId="5319"/>
    <cellStyle name="Normal 11 5 2 7" xfId="1807"/>
    <cellStyle name="Normal 11 5 2 7 2" xfId="1808"/>
    <cellStyle name="Normal 11 5 2 7 2 2" xfId="7110"/>
    <cellStyle name="Normal 11 5 2 7 3" xfId="5320"/>
    <cellStyle name="Normal 11 5 2 8" xfId="1809"/>
    <cellStyle name="Normal 11 5 2 8 2" xfId="1810"/>
    <cellStyle name="Normal 11 5 2 8 2 2" xfId="7111"/>
    <cellStyle name="Normal 11 5 2 8 3" xfId="5321"/>
    <cellStyle name="Normal 11 5 2 9" xfId="1811"/>
    <cellStyle name="Normal 11 5 2 9 2" xfId="7090"/>
    <cellStyle name="Normal 11 5 2_13008" xfId="1812"/>
    <cellStyle name="Normal 11 5 3" xfId="1813"/>
    <cellStyle name="Normal 11 5 3 2" xfId="1814"/>
    <cellStyle name="Normal 11 5 3 2 2" xfId="1815"/>
    <cellStyle name="Normal 11 5 3 2 2 2" xfId="1816"/>
    <cellStyle name="Normal 11 5 3 2 2 2 2" xfId="7114"/>
    <cellStyle name="Normal 11 5 3 2 2 3" xfId="5324"/>
    <cellStyle name="Normal 11 5 3 2 3" xfId="1817"/>
    <cellStyle name="Normal 11 5 3 2 3 2" xfId="1818"/>
    <cellStyle name="Normal 11 5 3 2 3 2 2" xfId="7115"/>
    <cellStyle name="Normal 11 5 3 2 3 3" xfId="5325"/>
    <cellStyle name="Normal 11 5 3 2 4" xfId="1819"/>
    <cellStyle name="Normal 11 5 3 2 4 2" xfId="7113"/>
    <cellStyle name="Normal 11 5 3 2 5" xfId="5323"/>
    <cellStyle name="Normal 11 5 3 2_13008" xfId="1820"/>
    <cellStyle name="Normal 11 5 3 3" xfId="1821"/>
    <cellStyle name="Normal 11 5 3 3 2" xfId="1822"/>
    <cellStyle name="Normal 11 5 3 3 2 2" xfId="1823"/>
    <cellStyle name="Normal 11 5 3 3 2 2 2" xfId="7117"/>
    <cellStyle name="Normal 11 5 3 3 2 3" xfId="5327"/>
    <cellStyle name="Normal 11 5 3 3 3" xfId="1824"/>
    <cellStyle name="Normal 11 5 3 3 3 2" xfId="1825"/>
    <cellStyle name="Normal 11 5 3 3 3 2 2" xfId="7118"/>
    <cellStyle name="Normal 11 5 3 3 3 3" xfId="5328"/>
    <cellStyle name="Normal 11 5 3 3 4" xfId="1826"/>
    <cellStyle name="Normal 11 5 3 3 4 2" xfId="7116"/>
    <cellStyle name="Normal 11 5 3 3 5" xfId="5326"/>
    <cellStyle name="Normal 11 5 3 3_13008" xfId="1827"/>
    <cellStyle name="Normal 11 5 3 4" xfId="1828"/>
    <cellStyle name="Normal 11 5 3 4 2" xfId="1829"/>
    <cellStyle name="Normal 11 5 3 4 2 2" xfId="7119"/>
    <cellStyle name="Normal 11 5 3 4 3" xfId="5329"/>
    <cellStyle name="Normal 11 5 3 5" xfId="1830"/>
    <cellStyle name="Normal 11 5 3 5 2" xfId="1831"/>
    <cellStyle name="Normal 11 5 3 5 2 2" xfId="7120"/>
    <cellStyle name="Normal 11 5 3 5 3" xfId="5330"/>
    <cellStyle name="Normal 11 5 3 6" xfId="1832"/>
    <cellStyle name="Normal 11 5 3 6 2" xfId="1833"/>
    <cellStyle name="Normal 11 5 3 6 2 2" xfId="7121"/>
    <cellStyle name="Normal 11 5 3 6 3" xfId="5331"/>
    <cellStyle name="Normal 11 5 3 7" xfId="1834"/>
    <cellStyle name="Normal 11 5 3 7 2" xfId="7112"/>
    <cellStyle name="Normal 11 5 3 8" xfId="5322"/>
    <cellStyle name="Normal 11 5 3_13008" xfId="1835"/>
    <cellStyle name="Normal 11 5 4" xfId="1836"/>
    <cellStyle name="Normal 11 5 4 2" xfId="1837"/>
    <cellStyle name="Normal 11 5 4 2 2" xfId="1838"/>
    <cellStyle name="Normal 11 5 4 2 2 2" xfId="7123"/>
    <cellStyle name="Normal 11 5 4 2 3" xfId="5333"/>
    <cellStyle name="Normal 11 5 4 3" xfId="1839"/>
    <cellStyle name="Normal 11 5 4 3 2" xfId="1840"/>
    <cellStyle name="Normal 11 5 4 3 2 2" xfId="7124"/>
    <cellStyle name="Normal 11 5 4 3 3" xfId="5334"/>
    <cellStyle name="Normal 11 5 4 4" xfId="1841"/>
    <cellStyle name="Normal 11 5 4 4 2" xfId="7122"/>
    <cellStyle name="Normal 11 5 4 5" xfId="5332"/>
    <cellStyle name="Normal 11 5 4_13008" xfId="1842"/>
    <cellStyle name="Normal 11 5 5" xfId="1843"/>
    <cellStyle name="Normal 11 5 5 2" xfId="1844"/>
    <cellStyle name="Normal 11 5 5 2 2" xfId="1845"/>
    <cellStyle name="Normal 11 5 5 2 2 2" xfId="7126"/>
    <cellStyle name="Normal 11 5 5 2 3" xfId="5336"/>
    <cellStyle name="Normal 11 5 5 3" xfId="1846"/>
    <cellStyle name="Normal 11 5 5 3 2" xfId="1847"/>
    <cellStyle name="Normal 11 5 5 3 2 2" xfId="7127"/>
    <cellStyle name="Normal 11 5 5 3 3" xfId="5337"/>
    <cellStyle name="Normal 11 5 5 4" xfId="1848"/>
    <cellStyle name="Normal 11 5 5 4 2" xfId="7125"/>
    <cellStyle name="Normal 11 5 5 5" xfId="5335"/>
    <cellStyle name="Normal 11 5 5_13008" xfId="1849"/>
    <cellStyle name="Normal 11 5 6" xfId="1850"/>
    <cellStyle name="Normal 11 5 6 2" xfId="1851"/>
    <cellStyle name="Normal 11 5 6 2 2" xfId="1852"/>
    <cellStyle name="Normal 11 5 6 2 2 2" xfId="7129"/>
    <cellStyle name="Normal 11 5 6 2 3" xfId="5339"/>
    <cellStyle name="Normal 11 5 6 3" xfId="1853"/>
    <cellStyle name="Normal 11 5 6 3 2" xfId="1854"/>
    <cellStyle name="Normal 11 5 6 3 2 2" xfId="7130"/>
    <cellStyle name="Normal 11 5 6 3 3" xfId="5340"/>
    <cellStyle name="Normal 11 5 6 4" xfId="1855"/>
    <cellStyle name="Normal 11 5 6 4 2" xfId="7128"/>
    <cellStyle name="Normal 11 5 6 5" xfId="5338"/>
    <cellStyle name="Normal 11 5 6_13008" xfId="1856"/>
    <cellStyle name="Normal 11 5 7" xfId="1857"/>
    <cellStyle name="Normal 11 5 7 2" xfId="1858"/>
    <cellStyle name="Normal 11 5 7 2 2" xfId="1859"/>
    <cellStyle name="Normal 11 5 7 2 2 2" xfId="7132"/>
    <cellStyle name="Normal 11 5 7 2 3" xfId="5342"/>
    <cellStyle name="Normal 11 5 7 3" xfId="1860"/>
    <cellStyle name="Normal 11 5 7 3 2" xfId="1861"/>
    <cellStyle name="Normal 11 5 7 3 2 2" xfId="7133"/>
    <cellStyle name="Normal 11 5 7 3 3" xfId="5343"/>
    <cellStyle name="Normal 11 5 7 4" xfId="1862"/>
    <cellStyle name="Normal 11 5 7 4 2" xfId="7131"/>
    <cellStyle name="Normal 11 5 7 5" xfId="5341"/>
    <cellStyle name="Normal 11 5 7_13008" xfId="1863"/>
    <cellStyle name="Normal 11 5 8" xfId="1864"/>
    <cellStyle name="Normal 11 5 8 2" xfId="1865"/>
    <cellStyle name="Normal 11 5 8 2 2" xfId="1866"/>
    <cellStyle name="Normal 11 5 8 2 2 2" xfId="7135"/>
    <cellStyle name="Normal 11 5 8 2 3" xfId="5345"/>
    <cellStyle name="Normal 11 5 8 3" xfId="1867"/>
    <cellStyle name="Normal 11 5 8 3 2" xfId="1868"/>
    <cellStyle name="Normal 11 5 8 3 2 2" xfId="7136"/>
    <cellStyle name="Normal 11 5 8 3 3" xfId="5346"/>
    <cellStyle name="Normal 11 5 8 4" xfId="1869"/>
    <cellStyle name="Normal 11 5 8 4 2" xfId="7134"/>
    <cellStyle name="Normal 11 5 8 5" xfId="5344"/>
    <cellStyle name="Normal 11 5 8_13008" xfId="1870"/>
    <cellStyle name="Normal 11 5 9" xfId="1871"/>
    <cellStyle name="Normal 11 5 9 2" xfId="1872"/>
    <cellStyle name="Normal 11 5 9 2 2" xfId="1873"/>
    <cellStyle name="Normal 11 5 9 2 2 2" xfId="7138"/>
    <cellStyle name="Normal 11 5 9 2 3" xfId="5348"/>
    <cellStyle name="Normal 11 5 9 3" xfId="1874"/>
    <cellStyle name="Normal 11 5 9 3 2" xfId="1875"/>
    <cellStyle name="Normal 11 5 9 3 2 2" xfId="7139"/>
    <cellStyle name="Normal 11 5 9 3 3" xfId="5349"/>
    <cellStyle name="Normal 11 5 9 4" xfId="1876"/>
    <cellStyle name="Normal 11 5 9 4 2" xfId="7137"/>
    <cellStyle name="Normal 11 5 9 5" xfId="5347"/>
    <cellStyle name="Normal 11 5 9_13008" xfId="1877"/>
    <cellStyle name="Normal 11 5_10070" xfId="1878"/>
    <cellStyle name="Normal 11 6" xfId="1879"/>
    <cellStyle name="Normal 11 6 2" xfId="1880"/>
    <cellStyle name="Normal 11 6 2 2" xfId="1881"/>
    <cellStyle name="Normal 11 6 2 2 2" xfId="1882"/>
    <cellStyle name="Normal 11 6 2 2 2 2" xfId="7142"/>
    <cellStyle name="Normal 11 6 2 2 3" xfId="5352"/>
    <cellStyle name="Normal 11 6 2 3" xfId="1883"/>
    <cellStyle name="Normal 11 6 2 3 2" xfId="1884"/>
    <cellStyle name="Normal 11 6 2 3 2 2" xfId="7143"/>
    <cellStyle name="Normal 11 6 2 3 3" xfId="5353"/>
    <cellStyle name="Normal 11 6 2 4" xfId="1885"/>
    <cellStyle name="Normal 11 6 2 4 2" xfId="1886"/>
    <cellStyle name="Normal 11 6 2 4 2 2" xfId="7144"/>
    <cellStyle name="Normal 11 6 2 4 3" xfId="5354"/>
    <cellStyle name="Normal 11 6 2 5" xfId="1887"/>
    <cellStyle name="Normal 11 6 2 5 2" xfId="7141"/>
    <cellStyle name="Normal 11 6 2 6" xfId="5351"/>
    <cellStyle name="Normal 11 6 2_13008" xfId="1888"/>
    <cellStyle name="Normal 11 6 3" xfId="1889"/>
    <cellStyle name="Normal 11 6 3 2" xfId="1890"/>
    <cellStyle name="Normal 11 6 3 2 2" xfId="1891"/>
    <cellStyle name="Normal 11 6 3 2 2 2" xfId="7146"/>
    <cellStyle name="Normal 11 6 3 2 3" xfId="5356"/>
    <cellStyle name="Normal 11 6 3 3" xfId="1892"/>
    <cellStyle name="Normal 11 6 3 3 2" xfId="1893"/>
    <cellStyle name="Normal 11 6 3 3 2 2" xfId="7147"/>
    <cellStyle name="Normal 11 6 3 3 3" xfId="5357"/>
    <cellStyle name="Normal 11 6 3 4" xfId="1894"/>
    <cellStyle name="Normal 11 6 3 4 2" xfId="7145"/>
    <cellStyle name="Normal 11 6 3 5" xfId="5355"/>
    <cellStyle name="Normal 11 6 3_13008" xfId="1895"/>
    <cellStyle name="Normal 11 6 4" xfId="1896"/>
    <cellStyle name="Normal 11 6 4 2" xfId="1897"/>
    <cellStyle name="Normal 11 6 4 2 2" xfId="7148"/>
    <cellStyle name="Normal 11 6 4 3" xfId="5358"/>
    <cellStyle name="Normal 11 6 5" xfId="1898"/>
    <cellStyle name="Normal 11 6 5 2" xfId="1899"/>
    <cellStyle name="Normal 11 6 5 2 2" xfId="7149"/>
    <cellStyle name="Normal 11 6 5 3" xfId="5359"/>
    <cellStyle name="Normal 11 6 6" xfId="1900"/>
    <cellStyle name="Normal 11 6 6 2" xfId="1901"/>
    <cellStyle name="Normal 11 6 6 2 2" xfId="7150"/>
    <cellStyle name="Normal 11 6 6 3" xfId="5360"/>
    <cellStyle name="Normal 11 6 7" xfId="1902"/>
    <cellStyle name="Normal 11 6 7 2" xfId="7140"/>
    <cellStyle name="Normal 11 6 8" xfId="5350"/>
    <cellStyle name="Normal 11 6_13008" xfId="1903"/>
    <cellStyle name="Normal 11 7" xfId="1904"/>
    <cellStyle name="Normal 11 7 2" xfId="1905"/>
    <cellStyle name="Normal 11 7 3" xfId="1906"/>
    <cellStyle name="Normal 11 7 3 2" xfId="1907"/>
    <cellStyle name="Normal 11 7 3 2 2" xfId="7152"/>
    <cellStyle name="Normal 11 7 3 3" xfId="5362"/>
    <cellStyle name="Normal 11 7 4" xfId="1908"/>
    <cellStyle name="Normal 11 7 4 2" xfId="1909"/>
    <cellStyle name="Normal 11 7 4 2 2" xfId="7153"/>
    <cellStyle name="Normal 11 7 4 3" xfId="5363"/>
    <cellStyle name="Normal 11 7 5" xfId="1910"/>
    <cellStyle name="Normal 11 7 5 2" xfId="7151"/>
    <cellStyle name="Normal 11 7 6" xfId="5361"/>
    <cellStyle name="Normal 11 7_13008" xfId="1911"/>
    <cellStyle name="Normal 11 8" xfId="1912"/>
    <cellStyle name="Normal 11 8 2" xfId="1913"/>
    <cellStyle name="Normal 11 8 2 2" xfId="1914"/>
    <cellStyle name="Normal 11 8 2 2 2" xfId="7155"/>
    <cellStyle name="Normal 11 8 2 3" xfId="5365"/>
    <cellStyle name="Normal 11 8 3" xfId="1915"/>
    <cellStyle name="Normal 11 8 3 2" xfId="1916"/>
    <cellStyle name="Normal 11 8 3 2 2" xfId="7156"/>
    <cellStyle name="Normal 11 8 3 3" xfId="5366"/>
    <cellStyle name="Normal 11 8 4" xfId="1917"/>
    <cellStyle name="Normal 11 8 4 2" xfId="1918"/>
    <cellStyle name="Normal 11 8 4 2 2" xfId="7157"/>
    <cellStyle name="Normal 11 8 4 3" xfId="5367"/>
    <cellStyle name="Normal 11 8 5" xfId="1919"/>
    <cellStyle name="Normal 11 8 5 2" xfId="7154"/>
    <cellStyle name="Normal 11 8 6" xfId="5364"/>
    <cellStyle name="Normal 11 8_13008" xfId="1920"/>
    <cellStyle name="Normal 11 9" xfId="1921"/>
    <cellStyle name="Normal 11 9 2" xfId="1922"/>
    <cellStyle name="Normal 11 9 2 2" xfId="1923"/>
    <cellStyle name="Normal 11 9 2 2 2" xfId="7159"/>
    <cellStyle name="Normal 11 9 2 3" xfId="5369"/>
    <cellStyle name="Normal 11 9 3" xfId="1924"/>
    <cellStyle name="Normal 11 9 3 2" xfId="1925"/>
    <cellStyle name="Normal 11 9 3 2 2" xfId="7160"/>
    <cellStyle name="Normal 11 9 3 3" xfId="5370"/>
    <cellStyle name="Normal 11 9 4" xfId="1926"/>
    <cellStyle name="Normal 11 9 4 2" xfId="7158"/>
    <cellStyle name="Normal 11 9 5" xfId="5368"/>
    <cellStyle name="Normal 11 9_13008" xfId="1927"/>
    <cellStyle name="Normal 11_13008" xfId="1928"/>
    <cellStyle name="Normal 110" xfId="1929"/>
    <cellStyle name="Normal 111" xfId="1930"/>
    <cellStyle name="Normal 112" xfId="1931"/>
    <cellStyle name="Normal 113" xfId="1932"/>
    <cellStyle name="Normal 114" xfId="1933"/>
    <cellStyle name="Normal 115" xfId="1934"/>
    <cellStyle name="Normal 116" xfId="1935"/>
    <cellStyle name="Normal 117" xfId="1936"/>
    <cellStyle name="Normal 118" xfId="1937"/>
    <cellStyle name="Normal 119" xfId="1938"/>
    <cellStyle name="Normal 12" xfId="1939"/>
    <cellStyle name="Normal 12 2" xfId="1940"/>
    <cellStyle name="Normal 12 2 2" xfId="1941"/>
    <cellStyle name="Normal 12 2 2 2" xfId="1942"/>
    <cellStyle name="Normal 12 2 2 2 2" xfId="7162"/>
    <cellStyle name="Normal 12 2 2 3" xfId="5372"/>
    <cellStyle name="Normal 12 2 3" xfId="1943"/>
    <cellStyle name="Normal 12 2 3 2" xfId="1944"/>
    <cellStyle name="Normal 12 2 3 2 2" xfId="7163"/>
    <cellStyle name="Normal 12 2 3 3" xfId="5373"/>
    <cellStyle name="Normal 12 2 4" xfId="1945"/>
    <cellStyle name="Normal 12 2 4 2" xfId="1946"/>
    <cellStyle name="Normal 12 2 4 2 2" xfId="7161"/>
    <cellStyle name="Normal 12 2 4 3" xfId="5371"/>
    <cellStyle name="Normal 12 2_13008" xfId="1947"/>
    <cellStyle name="Normal 12 3" xfId="1948"/>
    <cellStyle name="Normal 12 3 2" xfId="1949"/>
    <cellStyle name="Normal 12 3 2 2" xfId="1950"/>
    <cellStyle name="Normal 12 3 2 2 2" xfId="7165"/>
    <cellStyle name="Normal 12 3 2 3" xfId="5375"/>
    <cellStyle name="Normal 12 3 3" xfId="1951"/>
    <cellStyle name="Normal 12 3 3 2" xfId="1952"/>
    <cellStyle name="Normal 12 3 3 2 2" xfId="7166"/>
    <cellStyle name="Normal 12 3 3 3" xfId="5376"/>
    <cellStyle name="Normal 12 3 4" xfId="1953"/>
    <cellStyle name="Normal 12 3 4 2" xfId="7164"/>
    <cellStyle name="Normal 12 3 5" xfId="1954"/>
    <cellStyle name="Normal 12 3 6" xfId="5374"/>
    <cellStyle name="Normal 12 3_13008" xfId="1955"/>
    <cellStyle name="Normal 12 4" xfId="1956"/>
    <cellStyle name="Normal 12 4 2" xfId="1957"/>
    <cellStyle name="Normal 12 4 2 2" xfId="1958"/>
    <cellStyle name="Normal 12 4 2 2 2" xfId="7168"/>
    <cellStyle name="Normal 12 4 2 3" xfId="5378"/>
    <cellStyle name="Normal 12 4 3" xfId="1959"/>
    <cellStyle name="Normal 12 4 3 2" xfId="1960"/>
    <cellStyle name="Normal 12 4 3 2 2" xfId="7169"/>
    <cellStyle name="Normal 12 4 3 3" xfId="5379"/>
    <cellStyle name="Normal 12 4 4" xfId="1961"/>
    <cellStyle name="Normal 12 4 4 2" xfId="7167"/>
    <cellStyle name="Normal 12 4 5" xfId="5377"/>
    <cellStyle name="Normal 12 4_13008" xfId="1962"/>
    <cellStyle name="Normal 12 5" xfId="1963"/>
    <cellStyle name="Normal 12 5 2" xfId="1964"/>
    <cellStyle name="Normal 12 5 2 2" xfId="1965"/>
    <cellStyle name="Normal 12 5 2 2 2" xfId="7171"/>
    <cellStyle name="Normal 12 5 2 3" xfId="5381"/>
    <cellStyle name="Normal 12 5 3" xfId="1966"/>
    <cellStyle name="Normal 12 5 3 2" xfId="1967"/>
    <cellStyle name="Normal 12 5 3 2 2" xfId="7172"/>
    <cellStyle name="Normal 12 5 3 3" xfId="5382"/>
    <cellStyle name="Normal 12 5 4" xfId="1968"/>
    <cellStyle name="Normal 12 5 4 2" xfId="7170"/>
    <cellStyle name="Normal 12 5 5" xfId="5380"/>
    <cellStyle name="Normal 12 5_13008" xfId="1969"/>
    <cellStyle name="Normal 12 6" xfId="1970"/>
    <cellStyle name="Normal 12 6 2" xfId="1971"/>
    <cellStyle name="Normal 12 6 2 2" xfId="1972"/>
    <cellStyle name="Normal 12 6 2 2 2" xfId="7174"/>
    <cellStyle name="Normal 12 6 2 3" xfId="5384"/>
    <cellStyle name="Normal 12 6 3" xfId="1973"/>
    <cellStyle name="Normal 12 6 3 2" xfId="1974"/>
    <cellStyle name="Normal 12 6 3 2 2" xfId="7175"/>
    <cellStyle name="Normal 12 6 3 3" xfId="5385"/>
    <cellStyle name="Normal 12 6 4" xfId="1975"/>
    <cellStyle name="Normal 12 6 4 2" xfId="7173"/>
    <cellStyle name="Normal 12 6 5" xfId="5383"/>
    <cellStyle name="Normal 12 6_13008" xfId="1976"/>
    <cellStyle name="Normal 12 7" xfId="1977"/>
    <cellStyle name="Normal 12 7 2" xfId="1978"/>
    <cellStyle name="Normal 12 7 2 2" xfId="1979"/>
    <cellStyle name="Normal 12 7 2 2 2" xfId="7177"/>
    <cellStyle name="Normal 12 7 2 3" xfId="5387"/>
    <cellStyle name="Normal 12 7 3" xfId="1980"/>
    <cellStyle name="Normal 12 7 3 2" xfId="7176"/>
    <cellStyle name="Normal 12 7 4" xfId="5386"/>
    <cellStyle name="Normal 12 7_13008" xfId="1981"/>
    <cellStyle name="Normal 12 8" xfId="1982"/>
    <cellStyle name="Normal 12 8 2" xfId="1983"/>
    <cellStyle name="Normal 12 8 2 2" xfId="7178"/>
    <cellStyle name="Normal 12 8 3" xfId="5388"/>
    <cellStyle name="Normal 12 9" xfId="4496"/>
    <cellStyle name="Normal 120" xfId="1984"/>
    <cellStyle name="Normal 121" xfId="1985"/>
    <cellStyle name="Normal 122" xfId="1986"/>
    <cellStyle name="Normal 123" xfId="1987"/>
    <cellStyle name="Normal 124" xfId="1988"/>
    <cellStyle name="Normal 125" xfId="1989"/>
    <cellStyle name="Normal 126" xfId="1990"/>
    <cellStyle name="Normal 127" xfId="1991"/>
    <cellStyle name="Normal 128" xfId="1992"/>
    <cellStyle name="Normal 129" xfId="1993"/>
    <cellStyle name="Normal 13" xfId="1994"/>
    <cellStyle name="Normal 13 10" xfId="1995"/>
    <cellStyle name="Normal 13 10 2" xfId="1996"/>
    <cellStyle name="Normal 13 10 2 2" xfId="7180"/>
    <cellStyle name="Normal 13 10 3" xfId="5390"/>
    <cellStyle name="Normal 13 11" xfId="1997"/>
    <cellStyle name="Normal 13 11 2" xfId="1998"/>
    <cellStyle name="Normal 13 11 2 2" xfId="7179"/>
    <cellStyle name="Normal 13 11 3" xfId="5389"/>
    <cellStyle name="Normal 13 12" xfId="1999"/>
    <cellStyle name="Normal 13 2" xfId="2000"/>
    <cellStyle name="Normal 13 2 2" xfId="2001"/>
    <cellStyle name="Normal 13 2 2 2" xfId="2002"/>
    <cellStyle name="Normal 13 2 2 2 2" xfId="2003"/>
    <cellStyle name="Normal 13 2 2 2 2 2" xfId="2004"/>
    <cellStyle name="Normal 13 2 2 2 2 2 2" xfId="7184"/>
    <cellStyle name="Normal 13 2 2 2 2 3" xfId="5394"/>
    <cellStyle name="Normal 13 2 2 2 3" xfId="2005"/>
    <cellStyle name="Normal 13 2 2 2 3 2" xfId="2006"/>
    <cellStyle name="Normal 13 2 2 2 3 2 2" xfId="7185"/>
    <cellStyle name="Normal 13 2 2 2 3 3" xfId="5395"/>
    <cellStyle name="Normal 13 2 2 2 4" xfId="2007"/>
    <cellStyle name="Normal 13 2 2 2 4 2" xfId="7183"/>
    <cellStyle name="Normal 13 2 2 2 5" xfId="5393"/>
    <cellStyle name="Normal 13 2 2 3" xfId="2008"/>
    <cellStyle name="Normal 13 2 2 3 2" xfId="2009"/>
    <cellStyle name="Normal 13 2 2 3 2 2" xfId="2010"/>
    <cellStyle name="Normal 13 2 2 3 2 2 2" xfId="7187"/>
    <cellStyle name="Normal 13 2 2 3 2 3" xfId="5397"/>
    <cellStyle name="Normal 13 2 2 3 3" xfId="2011"/>
    <cellStyle name="Normal 13 2 2 3 3 2" xfId="7186"/>
    <cellStyle name="Normal 13 2 2 3 4" xfId="5396"/>
    <cellStyle name="Normal 13 2 2 4" xfId="2012"/>
    <cellStyle name="Normal 13 2 2 4 2" xfId="2013"/>
    <cellStyle name="Normal 13 2 2 4 2 2" xfId="7188"/>
    <cellStyle name="Normal 13 2 2 4 3" xfId="5398"/>
    <cellStyle name="Normal 13 2 2 5" xfId="2014"/>
    <cellStyle name="Normal 13 2 2 5 2" xfId="2015"/>
    <cellStyle name="Normal 13 2 2 5 2 2" xfId="7189"/>
    <cellStyle name="Normal 13 2 2 5 3" xfId="5399"/>
    <cellStyle name="Normal 13 2 2 6" xfId="2016"/>
    <cellStyle name="Normal 13 2 2 6 2" xfId="7182"/>
    <cellStyle name="Normal 13 2 2 7" xfId="5392"/>
    <cellStyle name="Normal 13 2 2_13008" xfId="2017"/>
    <cellStyle name="Normal 13 2 3" xfId="2018"/>
    <cellStyle name="Normal 13 2 3 2" xfId="2019"/>
    <cellStyle name="Normal 13 2 3 2 2" xfId="2020"/>
    <cellStyle name="Normal 13 2 3 2 2 2" xfId="2021"/>
    <cellStyle name="Normal 13 2 3 2 2 2 2" xfId="7192"/>
    <cellStyle name="Normal 13 2 3 2 2 3" xfId="5402"/>
    <cellStyle name="Normal 13 2 3 2 3" xfId="2022"/>
    <cellStyle name="Normal 13 2 3 2 3 2" xfId="7191"/>
    <cellStyle name="Normal 13 2 3 2 4" xfId="5401"/>
    <cellStyle name="Normal 13 2 3 3" xfId="2023"/>
    <cellStyle name="Normal 13 2 3 3 2" xfId="2024"/>
    <cellStyle name="Normal 13 2 3 3 2 2" xfId="2025"/>
    <cellStyle name="Normal 13 2 3 3 2 2 2" xfId="7194"/>
    <cellStyle name="Normal 13 2 3 3 2 3" xfId="5404"/>
    <cellStyle name="Normal 13 2 3 3 3" xfId="2026"/>
    <cellStyle name="Normal 13 2 3 3 3 2" xfId="7193"/>
    <cellStyle name="Normal 13 2 3 3 4" xfId="5403"/>
    <cellStyle name="Normal 13 2 3 4" xfId="2027"/>
    <cellStyle name="Normal 13 2 3 4 2" xfId="2028"/>
    <cellStyle name="Normal 13 2 3 4 2 2" xfId="7195"/>
    <cellStyle name="Normal 13 2 3 4 3" xfId="5405"/>
    <cellStyle name="Normal 13 2 3 5" xfId="2029"/>
    <cellStyle name="Normal 13 2 3 5 2" xfId="7190"/>
    <cellStyle name="Normal 13 2 3 6" xfId="5400"/>
    <cellStyle name="Normal 13 2 3_13008" xfId="2030"/>
    <cellStyle name="Normal 13 2 4" xfId="2031"/>
    <cellStyle name="Normal 13 2 4 2" xfId="2032"/>
    <cellStyle name="Normal 13 2 4 2 2" xfId="2033"/>
    <cellStyle name="Normal 13 2 4 2 2 2" xfId="7197"/>
    <cellStyle name="Normal 13 2 4 2 3" xfId="5407"/>
    <cellStyle name="Normal 13 2 4 3" xfId="2034"/>
    <cellStyle name="Normal 13 2 4 3 2" xfId="2035"/>
    <cellStyle name="Normal 13 2 4 3 2 2" xfId="7198"/>
    <cellStyle name="Normal 13 2 4 3 3" xfId="5408"/>
    <cellStyle name="Normal 13 2 4 4" xfId="2036"/>
    <cellStyle name="Normal 13 2 4 4 2" xfId="7196"/>
    <cellStyle name="Normal 13 2 4 5" xfId="5406"/>
    <cellStyle name="Normal 13 2 5" xfId="2037"/>
    <cellStyle name="Normal 13 2 5 2" xfId="2038"/>
    <cellStyle name="Normal 13 2 5 2 2" xfId="2039"/>
    <cellStyle name="Normal 13 2 5 2 2 2" xfId="7200"/>
    <cellStyle name="Normal 13 2 5 2 3" xfId="5410"/>
    <cellStyle name="Normal 13 2 5 3" xfId="2040"/>
    <cellStyle name="Normal 13 2 5 3 2" xfId="7199"/>
    <cellStyle name="Normal 13 2 5 4" xfId="5409"/>
    <cellStyle name="Normal 13 2 6" xfId="2041"/>
    <cellStyle name="Normal 13 2 6 2" xfId="2042"/>
    <cellStyle name="Normal 13 2 6 2 2" xfId="7201"/>
    <cellStyle name="Normal 13 2 6 3" xfId="5411"/>
    <cellStyle name="Normal 13 2 7" xfId="2043"/>
    <cellStyle name="Normal 13 2 7 2" xfId="2044"/>
    <cellStyle name="Normal 13 2 7 2 2" xfId="7202"/>
    <cellStyle name="Normal 13 2 7 3" xfId="5412"/>
    <cellStyle name="Normal 13 2 8" xfId="2045"/>
    <cellStyle name="Normal 13 2 8 2" xfId="2046"/>
    <cellStyle name="Normal 13 2 8 2 2" xfId="7181"/>
    <cellStyle name="Normal 13 2 8 3" xfId="5391"/>
    <cellStyle name="Normal 13 2_13008" xfId="2047"/>
    <cellStyle name="Normal 13 3" xfId="2048"/>
    <cellStyle name="Normal 13 3 2" xfId="2049"/>
    <cellStyle name="Normal 13 3 2 2" xfId="2050"/>
    <cellStyle name="Normal 13 3 2 2 2" xfId="2051"/>
    <cellStyle name="Normal 13 3 2 2 2 2" xfId="7205"/>
    <cellStyle name="Normal 13 3 2 2 3" xfId="5415"/>
    <cellStyle name="Normal 13 3 2 3" xfId="2052"/>
    <cellStyle name="Normal 13 3 2 3 2" xfId="2053"/>
    <cellStyle name="Normal 13 3 2 3 2 2" xfId="7206"/>
    <cellStyle name="Normal 13 3 2 3 3" xfId="5416"/>
    <cellStyle name="Normal 13 3 2 4" xfId="2054"/>
    <cellStyle name="Normal 13 3 2 4 2" xfId="7204"/>
    <cellStyle name="Normal 13 3 2 5" xfId="5414"/>
    <cellStyle name="Normal 13 3 3" xfId="2055"/>
    <cellStyle name="Normal 13 3 3 2" xfId="2056"/>
    <cellStyle name="Normal 13 3 3 2 2" xfId="2057"/>
    <cellStyle name="Normal 13 3 3 2 2 2" xfId="7208"/>
    <cellStyle name="Normal 13 3 3 2 3" xfId="5418"/>
    <cellStyle name="Normal 13 3 3 3" xfId="2058"/>
    <cellStyle name="Normal 13 3 3 3 2" xfId="7207"/>
    <cellStyle name="Normal 13 3 3 4" xfId="5417"/>
    <cellStyle name="Normal 13 3 4" xfId="2059"/>
    <cellStyle name="Normal 13 3 4 2" xfId="2060"/>
    <cellStyle name="Normal 13 3 4 2 2" xfId="7209"/>
    <cellStyle name="Normal 13 3 4 3" xfId="5419"/>
    <cellStyle name="Normal 13 3 5" xfId="2061"/>
    <cellStyle name="Normal 13 3 5 2" xfId="2062"/>
    <cellStyle name="Normal 13 3 5 2 2" xfId="7210"/>
    <cellStyle name="Normal 13 3 5 3" xfId="5420"/>
    <cellStyle name="Normal 13 3 6" xfId="2063"/>
    <cellStyle name="Normal 13 3 6 2" xfId="2064"/>
    <cellStyle name="Normal 13 3 6 2 2" xfId="7203"/>
    <cellStyle name="Normal 13 3 6 3" xfId="5413"/>
    <cellStyle name="Normal 13 3_13008" xfId="2065"/>
    <cellStyle name="Normal 13 4" xfId="2066"/>
    <cellStyle name="Normal 13 4 2" xfId="2067"/>
    <cellStyle name="Normal 13 4 2 2" xfId="2068"/>
    <cellStyle name="Normal 13 4 2 2 2" xfId="2069"/>
    <cellStyle name="Normal 13 4 2 2 2 2" xfId="7213"/>
    <cellStyle name="Normal 13 4 2 2 3" xfId="5423"/>
    <cellStyle name="Normal 13 4 2 3" xfId="2070"/>
    <cellStyle name="Normal 13 4 2 3 2" xfId="7212"/>
    <cellStyle name="Normal 13 4 2 4" xfId="5422"/>
    <cellStyle name="Normal 13 4 3" xfId="2071"/>
    <cellStyle name="Normal 13 4 3 2" xfId="2072"/>
    <cellStyle name="Normal 13 4 3 2 2" xfId="2073"/>
    <cellStyle name="Normal 13 4 3 2 2 2" xfId="7215"/>
    <cellStyle name="Normal 13 4 3 2 3" xfId="5425"/>
    <cellStyle name="Normal 13 4 3 3" xfId="2074"/>
    <cellStyle name="Normal 13 4 3 3 2" xfId="7214"/>
    <cellStyle name="Normal 13 4 3 4" xfId="5424"/>
    <cellStyle name="Normal 13 4 4" xfId="2075"/>
    <cellStyle name="Normal 13 4 4 2" xfId="2076"/>
    <cellStyle name="Normal 13 4 4 2 2" xfId="7216"/>
    <cellStyle name="Normal 13 4 4 3" xfId="5426"/>
    <cellStyle name="Normal 13 4 5" xfId="2077"/>
    <cellStyle name="Normal 13 4 5 2" xfId="7211"/>
    <cellStyle name="Normal 13 4 6" xfId="5421"/>
    <cellStyle name="Normal 13 4_13008" xfId="2078"/>
    <cellStyle name="Normal 13 5" xfId="2079"/>
    <cellStyle name="Normal 13 5 2" xfId="2080"/>
    <cellStyle name="Normal 13 5 2 2" xfId="2081"/>
    <cellStyle name="Normal 13 5 2 2 2" xfId="2082"/>
    <cellStyle name="Normal 13 5 2 2 2 2" xfId="7219"/>
    <cellStyle name="Normal 13 5 2 2 3" xfId="5429"/>
    <cellStyle name="Normal 13 5 2 3" xfId="2083"/>
    <cellStyle name="Normal 13 5 2 3 2" xfId="7218"/>
    <cellStyle name="Normal 13 5 2 4" xfId="5428"/>
    <cellStyle name="Normal 13 5 3" xfId="2084"/>
    <cellStyle name="Normal 13 5 3 2" xfId="2085"/>
    <cellStyle name="Normal 13 5 3 2 2" xfId="7220"/>
    <cellStyle name="Normal 13 5 3 3" xfId="5430"/>
    <cellStyle name="Normal 13 5 4" xfId="2086"/>
    <cellStyle name="Normal 13 5 4 2" xfId="2087"/>
    <cellStyle name="Normal 13 5 4 2 2" xfId="7221"/>
    <cellStyle name="Normal 13 5 4 3" xfId="5431"/>
    <cellStyle name="Normal 13 5 5" xfId="2088"/>
    <cellStyle name="Normal 13 5 5 2" xfId="7217"/>
    <cellStyle name="Normal 13 5 6" xfId="5427"/>
    <cellStyle name="Normal 13 5_13008" xfId="2089"/>
    <cellStyle name="Normal 13 6" xfId="2090"/>
    <cellStyle name="Normal 13 6 2" xfId="2091"/>
    <cellStyle name="Normal 13 6 2 2" xfId="2092"/>
    <cellStyle name="Normal 13 6 2 2 2" xfId="7223"/>
    <cellStyle name="Normal 13 6 2 3" xfId="5433"/>
    <cellStyle name="Normal 13 6 3" xfId="2093"/>
    <cellStyle name="Normal 13 6 3 2" xfId="2094"/>
    <cellStyle name="Normal 13 6 3 2 2" xfId="7224"/>
    <cellStyle name="Normal 13 6 3 3" xfId="5434"/>
    <cellStyle name="Normal 13 6 4" xfId="2095"/>
    <cellStyle name="Normal 13 6 4 2" xfId="2096"/>
    <cellStyle name="Normal 13 6 4 2 2" xfId="7225"/>
    <cellStyle name="Normal 13 6 4 3" xfId="5435"/>
    <cellStyle name="Normal 13 6 5" xfId="2097"/>
    <cellStyle name="Normal 13 6 5 2" xfId="7222"/>
    <cellStyle name="Normal 13 6 6" xfId="5432"/>
    <cellStyle name="Normal 13 6_13008" xfId="2098"/>
    <cellStyle name="Normal 13 7" xfId="2099"/>
    <cellStyle name="Normal 13 7 2" xfId="2100"/>
    <cellStyle name="Normal 13 7 2 2" xfId="2101"/>
    <cellStyle name="Normal 13 7 2 2 2" xfId="7227"/>
    <cellStyle name="Normal 13 7 2 3" xfId="5437"/>
    <cellStyle name="Normal 13 7 3" xfId="2102"/>
    <cellStyle name="Normal 13 7 3 2" xfId="2103"/>
    <cellStyle name="Normal 13 7 3 2 2" xfId="7228"/>
    <cellStyle name="Normal 13 7 3 3" xfId="5438"/>
    <cellStyle name="Normal 13 7 4" xfId="2104"/>
    <cellStyle name="Normal 13 7 4 2" xfId="7226"/>
    <cellStyle name="Normal 13 7 5" xfId="5436"/>
    <cellStyle name="Normal 13 7_13008" xfId="2105"/>
    <cellStyle name="Normal 13 8" xfId="2106"/>
    <cellStyle name="Normal 13 8 2" xfId="2107"/>
    <cellStyle name="Normal 13 8 2 2" xfId="7229"/>
    <cellStyle name="Normal 13 8 3" xfId="5439"/>
    <cellStyle name="Normal 13 9" xfId="2108"/>
    <cellStyle name="Normal 13 9 2" xfId="2109"/>
    <cellStyle name="Normal 13 9 2 2" xfId="7230"/>
    <cellStyle name="Normal 13 9 3" xfId="5440"/>
    <cellStyle name="Normal 13_13008" xfId="2110"/>
    <cellStyle name="Normal 130" xfId="2111"/>
    <cellStyle name="Normal 131" xfId="2112"/>
    <cellStyle name="Normal 132" xfId="2113"/>
    <cellStyle name="Normal 133" xfId="2114"/>
    <cellStyle name="Normal 134" xfId="2115"/>
    <cellStyle name="Normal 135" xfId="2116"/>
    <cellStyle name="Normal 136" xfId="2117"/>
    <cellStyle name="Normal 137" xfId="2118"/>
    <cellStyle name="Normal 138" xfId="2119"/>
    <cellStyle name="Normal 139" xfId="2120"/>
    <cellStyle name="Normal 14" xfId="2121"/>
    <cellStyle name="Normal 14 10" xfId="2122"/>
    <cellStyle name="Normal 14 10 2" xfId="2123"/>
    <cellStyle name="Normal 14 10 2 2" xfId="7231"/>
    <cellStyle name="Normal 14 10 3" xfId="5441"/>
    <cellStyle name="Normal 14 11" xfId="2124"/>
    <cellStyle name="Normal 14 12" xfId="4500"/>
    <cellStyle name="Normal 14 2" xfId="2125"/>
    <cellStyle name="Normal 14 2 2" xfId="2126"/>
    <cellStyle name="Normal 14 2 2 2" xfId="2127"/>
    <cellStyle name="Normal 14 2 2 2 2" xfId="2128"/>
    <cellStyle name="Normal 14 2 2 2 2 2" xfId="2129"/>
    <cellStyle name="Normal 14 2 2 2 2 2 2" xfId="7235"/>
    <cellStyle name="Normal 14 2 2 2 2 3" xfId="5445"/>
    <cellStyle name="Normal 14 2 2 2 3" xfId="2130"/>
    <cellStyle name="Normal 14 2 2 2 3 2" xfId="7234"/>
    <cellStyle name="Normal 14 2 2 2 4" xfId="5444"/>
    <cellStyle name="Normal 14 2 2 3" xfId="2131"/>
    <cellStyle name="Normal 14 2 2 3 2" xfId="2132"/>
    <cellStyle name="Normal 14 2 2 3 2 2" xfId="7236"/>
    <cellStyle name="Normal 14 2 2 3 3" xfId="5446"/>
    <cellStyle name="Normal 14 2 2 4" xfId="2133"/>
    <cellStyle name="Normal 14 2 2 4 2" xfId="2134"/>
    <cellStyle name="Normal 14 2 2 4 2 2" xfId="7237"/>
    <cellStyle name="Normal 14 2 2 4 3" xfId="5447"/>
    <cellStyle name="Normal 14 2 2 5" xfId="2135"/>
    <cellStyle name="Normal 14 2 2 5 2" xfId="7233"/>
    <cellStyle name="Normal 14 2 2 6" xfId="5443"/>
    <cellStyle name="Normal 14 2 2_13008" xfId="2136"/>
    <cellStyle name="Normal 14 2 3" xfId="2137"/>
    <cellStyle name="Normal 14 2 3 2" xfId="2138"/>
    <cellStyle name="Normal 14 2 3 2 2" xfId="2139"/>
    <cellStyle name="Normal 14 2 3 2 2 2" xfId="7239"/>
    <cellStyle name="Normal 14 2 3 2 3" xfId="5449"/>
    <cellStyle name="Normal 14 2 3 3" xfId="2140"/>
    <cellStyle name="Normal 14 2 3 3 2" xfId="2141"/>
    <cellStyle name="Normal 14 2 3 3 2 2" xfId="7240"/>
    <cellStyle name="Normal 14 2 3 3 3" xfId="5450"/>
    <cellStyle name="Normal 14 2 3 4" xfId="2142"/>
    <cellStyle name="Normal 14 2 3 4 2" xfId="2143"/>
    <cellStyle name="Normal 14 2 3 4 2 2" xfId="7241"/>
    <cellStyle name="Normal 14 2 3 4 3" xfId="5451"/>
    <cellStyle name="Normal 14 2 3 5" xfId="2144"/>
    <cellStyle name="Normal 14 2 3 5 2" xfId="7238"/>
    <cellStyle name="Normal 14 2 3 6" xfId="5448"/>
    <cellStyle name="Normal 14 2 3_13008" xfId="2145"/>
    <cellStyle name="Normal 14 2 4" xfId="2146"/>
    <cellStyle name="Normal 14 2 4 2" xfId="2147"/>
    <cellStyle name="Normal 14 2 4 2 2" xfId="2148"/>
    <cellStyle name="Normal 14 2 4 2 2 2" xfId="7243"/>
    <cellStyle name="Normal 14 2 4 2 3" xfId="5453"/>
    <cellStyle name="Normal 14 2 4 3" xfId="2149"/>
    <cellStyle name="Normal 14 2 4 3 2" xfId="7242"/>
    <cellStyle name="Normal 14 2 4 4" xfId="5452"/>
    <cellStyle name="Normal 14 2 5" xfId="2150"/>
    <cellStyle name="Normal 14 2 5 2" xfId="2151"/>
    <cellStyle name="Normal 14 2 5 2 2" xfId="7244"/>
    <cellStyle name="Normal 14 2 5 3" xfId="5454"/>
    <cellStyle name="Normal 14 2 6" xfId="2152"/>
    <cellStyle name="Normal 14 2 6 2" xfId="2153"/>
    <cellStyle name="Normal 14 2 6 2 2" xfId="7245"/>
    <cellStyle name="Normal 14 2 6 3" xfId="5455"/>
    <cellStyle name="Normal 14 2 7" xfId="2154"/>
    <cellStyle name="Normal 14 2 7 2" xfId="2155"/>
    <cellStyle name="Normal 14 2 7 2 2" xfId="7232"/>
    <cellStyle name="Normal 14 2 7 3" xfId="5442"/>
    <cellStyle name="Normal 14 2_13008" xfId="2156"/>
    <cellStyle name="Normal 14 3" xfId="2157"/>
    <cellStyle name="Normal 14 3 2" xfId="2158"/>
    <cellStyle name="Normal 14 3 2 2" xfId="2159"/>
    <cellStyle name="Normal 14 3 2 2 2" xfId="2160"/>
    <cellStyle name="Normal 14 3 2 2 2 2" xfId="7248"/>
    <cellStyle name="Normal 14 3 2 2 3" xfId="5458"/>
    <cellStyle name="Normal 14 3 2 3" xfId="2161"/>
    <cellStyle name="Normal 14 3 2 3 2" xfId="7247"/>
    <cellStyle name="Normal 14 3 2 4" xfId="5457"/>
    <cellStyle name="Normal 14 3 3" xfId="2162"/>
    <cellStyle name="Normal 14 3 3 2" xfId="2163"/>
    <cellStyle name="Normal 14 3 3 2 2" xfId="2164"/>
    <cellStyle name="Normal 14 3 3 2 2 2" xfId="7250"/>
    <cellStyle name="Normal 14 3 3 2 3" xfId="5460"/>
    <cellStyle name="Normal 14 3 3 3" xfId="2165"/>
    <cellStyle name="Normal 14 3 3 3 2" xfId="7249"/>
    <cellStyle name="Normal 14 3 3 4" xfId="5459"/>
    <cellStyle name="Normal 14 3 4" xfId="2166"/>
    <cellStyle name="Normal 14 3 4 2" xfId="2167"/>
    <cellStyle name="Normal 14 3 4 2 2" xfId="7251"/>
    <cellStyle name="Normal 14 3 4 3" xfId="5461"/>
    <cellStyle name="Normal 14 3 5" xfId="2168"/>
    <cellStyle name="Normal 14 3 5 2" xfId="7246"/>
    <cellStyle name="Normal 14 3 6" xfId="2169"/>
    <cellStyle name="Normal 14 3 7" xfId="5456"/>
    <cellStyle name="Normal 14 3_13008" xfId="2170"/>
    <cellStyle name="Normal 14 4" xfId="2171"/>
    <cellStyle name="Normal 14 4 2" xfId="2172"/>
    <cellStyle name="Normal 14 4 2 2" xfId="2173"/>
    <cellStyle name="Normal 14 4 2 2 2" xfId="2174"/>
    <cellStyle name="Normal 14 4 2 2 2 2" xfId="7254"/>
    <cellStyle name="Normal 14 4 2 2 3" xfId="5464"/>
    <cellStyle name="Normal 14 4 2 3" xfId="2175"/>
    <cellStyle name="Normal 14 4 2 3 2" xfId="7253"/>
    <cellStyle name="Normal 14 4 2 4" xfId="5463"/>
    <cellStyle name="Normal 14 4 3" xfId="2176"/>
    <cellStyle name="Normal 14 4 3 2" xfId="2177"/>
    <cellStyle name="Normal 14 4 3 2 2" xfId="7255"/>
    <cellStyle name="Normal 14 4 3 3" xfId="5465"/>
    <cellStyle name="Normal 14 4 4" xfId="2178"/>
    <cellStyle name="Normal 14 4 4 2" xfId="2179"/>
    <cellStyle name="Normal 14 4 4 2 2" xfId="7256"/>
    <cellStyle name="Normal 14 4 4 3" xfId="5466"/>
    <cellStyle name="Normal 14 4 5" xfId="2180"/>
    <cellStyle name="Normal 14 4 5 2" xfId="7252"/>
    <cellStyle name="Normal 14 4 6" xfId="5462"/>
    <cellStyle name="Normal 14 4_13008" xfId="2181"/>
    <cellStyle name="Normal 14 5" xfId="2182"/>
    <cellStyle name="Normal 14 5 2" xfId="2183"/>
    <cellStyle name="Normal 14 5 3" xfId="2184"/>
    <cellStyle name="Normal 14 5 3 2" xfId="2185"/>
    <cellStyle name="Normal 14 5 3 2 2" xfId="7258"/>
    <cellStyle name="Normal 14 5 3 3" xfId="5468"/>
    <cellStyle name="Normal 14 5 4" xfId="2186"/>
    <cellStyle name="Normal 14 5 4 2" xfId="2187"/>
    <cellStyle name="Normal 14 5 4 2 2" xfId="7259"/>
    <cellStyle name="Normal 14 5 4 3" xfId="5469"/>
    <cellStyle name="Normal 14 5 5" xfId="2188"/>
    <cellStyle name="Normal 14 5 5 2" xfId="7257"/>
    <cellStyle name="Normal 14 5 6" xfId="5467"/>
    <cellStyle name="Normal 14 5_13008" xfId="2189"/>
    <cellStyle name="Normal 14 6" xfId="2190"/>
    <cellStyle name="Normal 14 6 2" xfId="2191"/>
    <cellStyle name="Normal 14 6 2 2" xfId="2192"/>
    <cellStyle name="Normal 14 6 2 2 2" xfId="7261"/>
    <cellStyle name="Normal 14 6 2 3" xfId="5471"/>
    <cellStyle name="Normal 14 6 3" xfId="2193"/>
    <cellStyle name="Normal 14 6 3 2" xfId="2194"/>
    <cellStyle name="Normal 14 6 3 2 2" xfId="7262"/>
    <cellStyle name="Normal 14 6 3 3" xfId="5472"/>
    <cellStyle name="Normal 14 6 4" xfId="2195"/>
    <cellStyle name="Normal 14 6 4 2" xfId="2196"/>
    <cellStyle name="Normal 14 6 4 2 2" xfId="7263"/>
    <cellStyle name="Normal 14 6 4 3" xfId="5473"/>
    <cellStyle name="Normal 14 6 5" xfId="2197"/>
    <cellStyle name="Normal 14 6 5 2" xfId="7260"/>
    <cellStyle name="Normal 14 6 6" xfId="5470"/>
    <cellStyle name="Normal 14 6_13008" xfId="2198"/>
    <cellStyle name="Normal 14 7" xfId="2199"/>
    <cellStyle name="Normal 14 8" xfId="2200"/>
    <cellStyle name="Normal 14 8 2" xfId="2201"/>
    <cellStyle name="Normal 14 8 2 2" xfId="7264"/>
    <cellStyle name="Normal 14 8 3" xfId="5474"/>
    <cellStyle name="Normal 14 9" xfId="2202"/>
    <cellStyle name="Normal 14 9 2" xfId="2203"/>
    <cellStyle name="Normal 14 9 2 2" xfId="7265"/>
    <cellStyle name="Normal 14 9 3" xfId="5475"/>
    <cellStyle name="Normal 14_13008" xfId="2204"/>
    <cellStyle name="Normal 140" xfId="2205"/>
    <cellStyle name="Normal 141" xfId="2206"/>
    <cellStyle name="Normal 142" xfId="2207"/>
    <cellStyle name="Normal 143" xfId="2208"/>
    <cellStyle name="Normal 144" xfId="2209"/>
    <cellStyle name="Normal 145" xfId="2210"/>
    <cellStyle name="Normal 146" xfId="2211"/>
    <cellStyle name="Normal 147" xfId="2212"/>
    <cellStyle name="Normal 148" xfId="2213"/>
    <cellStyle name="Normal 149" xfId="2214"/>
    <cellStyle name="Normal 15" xfId="2215"/>
    <cellStyle name="Normal 15 10" xfId="2216"/>
    <cellStyle name="Normal 15 10 2" xfId="2217"/>
    <cellStyle name="Normal 15 10 2 2" xfId="7266"/>
    <cellStyle name="Normal 15 10 3" xfId="5476"/>
    <cellStyle name="Normal 15 11" xfId="2218"/>
    <cellStyle name="Normal 15 2" xfId="2219"/>
    <cellStyle name="Normal 15 2 2" xfId="2220"/>
    <cellStyle name="Normal 15 2 2 2" xfId="2221"/>
    <cellStyle name="Normal 15 2 2 2 2" xfId="2222"/>
    <cellStyle name="Normal 15 2 2 2 2 2" xfId="7269"/>
    <cellStyle name="Normal 15 2 2 2 3" xfId="5479"/>
    <cellStyle name="Normal 15 2 2 3" xfId="2223"/>
    <cellStyle name="Normal 15 2 2 3 2" xfId="2224"/>
    <cellStyle name="Normal 15 2 2 3 2 2" xfId="7270"/>
    <cellStyle name="Normal 15 2 2 3 3" xfId="5480"/>
    <cellStyle name="Normal 15 2 2 4" xfId="2225"/>
    <cellStyle name="Normal 15 2 2 4 2" xfId="7268"/>
    <cellStyle name="Normal 15 2 2 5" xfId="5478"/>
    <cellStyle name="Normal 15 2 2_13008" xfId="2226"/>
    <cellStyle name="Normal 15 2 3" xfId="2227"/>
    <cellStyle name="Normal 15 2 3 2" xfId="2228"/>
    <cellStyle name="Normal 15 2 3 2 2" xfId="7271"/>
    <cellStyle name="Normal 15 2 3 3" xfId="5481"/>
    <cellStyle name="Normal 15 2 4" xfId="2229"/>
    <cellStyle name="Normal 15 2 4 2" xfId="2230"/>
    <cellStyle name="Normal 15 2 4 2 2" xfId="7272"/>
    <cellStyle name="Normal 15 2 4 3" xfId="5482"/>
    <cellStyle name="Normal 15 2 5" xfId="2231"/>
    <cellStyle name="Normal 15 2 5 2" xfId="2232"/>
    <cellStyle name="Normal 15 2 5 2 2" xfId="7267"/>
    <cellStyle name="Normal 15 2 5 3" xfId="5477"/>
    <cellStyle name="Normal 15 2_13008" xfId="2233"/>
    <cellStyle name="Normal 15 3" xfId="2234"/>
    <cellStyle name="Normal 15 4" xfId="2235"/>
    <cellStyle name="Normal 15 4 2" xfId="2236"/>
    <cellStyle name="Normal 15 4 2 2" xfId="2237"/>
    <cellStyle name="Normal 15 4 2 2 2" xfId="7274"/>
    <cellStyle name="Normal 15 4 2 3" xfId="5484"/>
    <cellStyle name="Normal 15 4 3" xfId="2238"/>
    <cellStyle name="Normal 15 4 3 2" xfId="2239"/>
    <cellStyle name="Normal 15 4 3 2 2" xfId="7275"/>
    <cellStyle name="Normal 15 4 3 3" xfId="5485"/>
    <cellStyle name="Normal 15 4 4" xfId="2240"/>
    <cellStyle name="Normal 15 4 4 2" xfId="7273"/>
    <cellStyle name="Normal 15 4 5" xfId="5483"/>
    <cellStyle name="Normal 15 4_13008" xfId="2241"/>
    <cellStyle name="Normal 15 5" xfId="2242"/>
    <cellStyle name="Normal 15 5 2" xfId="2243"/>
    <cellStyle name="Normal 15 5 2 2" xfId="2244"/>
    <cellStyle name="Normal 15 5 2 2 2" xfId="7277"/>
    <cellStyle name="Normal 15 5 2 3" xfId="5487"/>
    <cellStyle name="Normal 15 5 3" xfId="2245"/>
    <cellStyle name="Normal 15 5 3 2" xfId="2246"/>
    <cellStyle name="Normal 15 5 3 2 2" xfId="7278"/>
    <cellStyle name="Normal 15 5 3 3" xfId="5488"/>
    <cellStyle name="Normal 15 5 4" xfId="2247"/>
    <cellStyle name="Normal 15 5 4 2" xfId="7276"/>
    <cellStyle name="Normal 15 5 5" xfId="5486"/>
    <cellStyle name="Normal 15 5_13008" xfId="2248"/>
    <cellStyle name="Normal 15 6" xfId="2249"/>
    <cellStyle name="Normal 15 6 2" xfId="2250"/>
    <cellStyle name="Normal 15 6 2 2" xfId="2251"/>
    <cellStyle name="Normal 15 6 2 2 2" xfId="7280"/>
    <cellStyle name="Normal 15 6 2 3" xfId="5490"/>
    <cellStyle name="Normal 15 6 3" xfId="2252"/>
    <cellStyle name="Normal 15 6 3 2" xfId="2253"/>
    <cellStyle name="Normal 15 6 3 2 2" xfId="7281"/>
    <cellStyle name="Normal 15 6 3 3" xfId="5491"/>
    <cellStyle name="Normal 15 6 4" xfId="2254"/>
    <cellStyle name="Normal 15 6 4 2" xfId="7279"/>
    <cellStyle name="Normal 15 6 5" xfId="5489"/>
    <cellStyle name="Normal 15 6_13008" xfId="2255"/>
    <cellStyle name="Normal 15 7" xfId="2256"/>
    <cellStyle name="Normal 15 7 2" xfId="2257"/>
    <cellStyle name="Normal 15 7 2 2" xfId="2258"/>
    <cellStyle name="Normal 15 7 2 2 2" xfId="7283"/>
    <cellStyle name="Normal 15 7 2 3" xfId="5493"/>
    <cellStyle name="Normal 15 7 3" xfId="2259"/>
    <cellStyle name="Normal 15 7 3 2" xfId="7282"/>
    <cellStyle name="Normal 15 7 4" xfId="5492"/>
    <cellStyle name="Normal 15 7_13008" xfId="2260"/>
    <cellStyle name="Normal 15 8" xfId="2261"/>
    <cellStyle name="Normal 15 8 2" xfId="2262"/>
    <cellStyle name="Normal 15 8 2 2" xfId="7284"/>
    <cellStyle name="Normal 15 8 3" xfId="5494"/>
    <cellStyle name="Normal 15 9" xfId="2263"/>
    <cellStyle name="Normal 15 9 2" xfId="2264"/>
    <cellStyle name="Normal 15 9 2 2" xfId="7285"/>
    <cellStyle name="Normal 15 9 3" xfId="5495"/>
    <cellStyle name="Normal 15_13008" xfId="2265"/>
    <cellStyle name="Normal 150" xfId="2266"/>
    <cellStyle name="Normal 151" xfId="2267"/>
    <cellStyle name="Normal 152" xfId="2268"/>
    <cellStyle name="Normal 153" xfId="2269"/>
    <cellStyle name="Normal 154" xfId="2270"/>
    <cellStyle name="Normal 155" xfId="2271"/>
    <cellStyle name="Normal 156" xfId="2272"/>
    <cellStyle name="Normal 157" xfId="2273"/>
    <cellStyle name="Normal 158" xfId="2274"/>
    <cellStyle name="Normal 159" xfId="2275"/>
    <cellStyle name="Normal 16" xfId="2276"/>
    <cellStyle name="Normal 16 2" xfId="2277"/>
    <cellStyle name="Normal 16 3" xfId="2278"/>
    <cellStyle name="Normal 16 4" xfId="2279"/>
    <cellStyle name="Normal 16 5" xfId="2280"/>
    <cellStyle name="Normal 16 6" xfId="2281"/>
    <cellStyle name="Normal 160" xfId="2282"/>
    <cellStyle name="Normal 161" xfId="2283"/>
    <cellStyle name="Normal 162" xfId="2284"/>
    <cellStyle name="Normal 163" xfId="2285"/>
    <cellStyle name="Normal 164" xfId="2286"/>
    <cellStyle name="Normal 165" xfId="2287"/>
    <cellStyle name="Normal 166" xfId="2288"/>
    <cellStyle name="Normal 167" xfId="2289"/>
    <cellStyle name="Normal 168" xfId="2290"/>
    <cellStyle name="Normal 169" xfId="2291"/>
    <cellStyle name="Normal 17" xfId="2292"/>
    <cellStyle name="Normal 17 2" xfId="2293"/>
    <cellStyle name="Normal 17 3" xfId="2294"/>
    <cellStyle name="Normal 17 4" xfId="2295"/>
    <cellStyle name="Normal 17 5" xfId="2296"/>
    <cellStyle name="Normal 170" xfId="2297"/>
    <cellStyle name="Normal 171" xfId="2298"/>
    <cellStyle name="Normal 171 2" xfId="2299"/>
    <cellStyle name="Normal 172" xfId="2300"/>
    <cellStyle name="Normal 173" xfId="2301"/>
    <cellStyle name="Normal 174" xfId="2302"/>
    <cellStyle name="Normal 175" xfId="2303"/>
    <cellStyle name="Normal 176" xfId="2304"/>
    <cellStyle name="Normal 176 2" xfId="2305"/>
    <cellStyle name="Normal 176 2 2" xfId="8093"/>
    <cellStyle name="Normal 176 3" xfId="6337"/>
    <cellStyle name="Normal 177" xfId="2306"/>
    <cellStyle name="Normal 177 2" xfId="2307"/>
    <cellStyle name="Normal 177 2 2" xfId="8094"/>
    <cellStyle name="Normal 177 3" xfId="6338"/>
    <cellStyle name="Normal 178" xfId="2308"/>
    <cellStyle name="Normal 178 2" xfId="2309"/>
    <cellStyle name="Normal 178 2 2" xfId="8095"/>
    <cellStyle name="Normal 178 3" xfId="6339"/>
    <cellStyle name="Normal 179" xfId="2310"/>
    <cellStyle name="Normal 179 2" xfId="2311"/>
    <cellStyle name="Normal 179 2 2" xfId="8096"/>
    <cellStyle name="Normal 179 3" xfId="6340"/>
    <cellStyle name="Normal 18" xfId="2312"/>
    <cellStyle name="Normal 18 2" xfId="2313"/>
    <cellStyle name="Normal 18 2 2" xfId="2314"/>
    <cellStyle name="Normal 18 3" xfId="2315"/>
    <cellStyle name="Normal 18 4" xfId="2316"/>
    <cellStyle name="Normal 180" xfId="2317"/>
    <cellStyle name="Normal 180 2" xfId="2318"/>
    <cellStyle name="Normal 181" xfId="2319"/>
    <cellStyle name="Normal 181 2" xfId="2320"/>
    <cellStyle name="Normal 182" xfId="2321"/>
    <cellStyle name="Normal 183" xfId="2322"/>
    <cellStyle name="Normal 184" xfId="2323"/>
    <cellStyle name="Normal 185" xfId="2324"/>
    <cellStyle name="Normal 186" xfId="4479"/>
    <cellStyle name="Normal 19" xfId="2325"/>
    <cellStyle name="Normal 19 2" xfId="2326"/>
    <cellStyle name="Normal 19 2 2" xfId="2327"/>
    <cellStyle name="Normal 19 3" xfId="2328"/>
    <cellStyle name="Normal 19 4" xfId="2329"/>
    <cellStyle name="Normal 2" xfId="2330"/>
    <cellStyle name="Normal 2 10" xfId="2331"/>
    <cellStyle name="Normal 2 11" xfId="2332"/>
    <cellStyle name="Normal 2 11 2" xfId="2333"/>
    <cellStyle name="Normal 2 11 2 2" xfId="2334"/>
    <cellStyle name="Normal 2 11 2 2 2" xfId="7287"/>
    <cellStyle name="Normal 2 11 2 3" xfId="5497"/>
    <cellStyle name="Normal 2 11 3" xfId="2335"/>
    <cellStyle name="Normal 2 11 3 2" xfId="2336"/>
    <cellStyle name="Normal 2 11 3 2 2" xfId="7288"/>
    <cellStyle name="Normal 2 11 3 3" xfId="5498"/>
    <cellStyle name="Normal 2 11 4" xfId="2337"/>
    <cellStyle name="Normal 2 11 4 2" xfId="7286"/>
    <cellStyle name="Normal 2 11 5" xfId="5496"/>
    <cellStyle name="Normal 2 11_13008" xfId="2338"/>
    <cellStyle name="Normal 2 12" xfId="2339"/>
    <cellStyle name="Normal 2 12 2" xfId="2340"/>
    <cellStyle name="Normal 2 12 2 2" xfId="2341"/>
    <cellStyle name="Normal 2 12 2 2 2" xfId="7290"/>
    <cellStyle name="Normal 2 12 2 3" xfId="5500"/>
    <cellStyle name="Normal 2 12 3" xfId="2342"/>
    <cellStyle name="Normal 2 12 3 2" xfId="2343"/>
    <cellStyle name="Normal 2 12 3 2 2" xfId="7291"/>
    <cellStyle name="Normal 2 12 3 3" xfId="5501"/>
    <cellStyle name="Normal 2 12 4" xfId="2344"/>
    <cellStyle name="Normal 2 12 4 2" xfId="7289"/>
    <cellStyle name="Normal 2 12 5" xfId="5499"/>
    <cellStyle name="Normal 2 12_13008" xfId="2345"/>
    <cellStyle name="Normal 2 13" xfId="2346"/>
    <cellStyle name="Normal 2 13 2" xfId="2347"/>
    <cellStyle name="Normal 2 13 2 2" xfId="2348"/>
    <cellStyle name="Normal 2 13 2 2 2" xfId="7293"/>
    <cellStyle name="Normal 2 13 2 3" xfId="5503"/>
    <cellStyle name="Normal 2 13 3" xfId="2349"/>
    <cellStyle name="Normal 2 13 3 2" xfId="2350"/>
    <cellStyle name="Normal 2 13 3 2 2" xfId="7294"/>
    <cellStyle name="Normal 2 13 3 3" xfId="5504"/>
    <cellStyle name="Normal 2 13 4" xfId="2351"/>
    <cellStyle name="Normal 2 13 4 2" xfId="7292"/>
    <cellStyle name="Normal 2 13 5" xfId="5502"/>
    <cellStyle name="Normal 2 13_13008" xfId="2352"/>
    <cellStyle name="Normal 2 14" xfId="2353"/>
    <cellStyle name="Normal 2 15" xfId="2354"/>
    <cellStyle name="Normal 2 15 2" xfId="2355"/>
    <cellStyle name="Normal 2 15 2 2" xfId="2356"/>
    <cellStyle name="Normal 2 15 2 2 2" xfId="7296"/>
    <cellStyle name="Normal 2 15 2 3" xfId="5506"/>
    <cellStyle name="Normal 2 15 3" xfId="2357"/>
    <cellStyle name="Normal 2 15 3 2" xfId="2358"/>
    <cellStyle name="Normal 2 15 3 2 2" xfId="7297"/>
    <cellStyle name="Normal 2 15 3 3" xfId="5507"/>
    <cellStyle name="Normal 2 15 4" xfId="2359"/>
    <cellStyle name="Normal 2 15 4 2" xfId="7295"/>
    <cellStyle name="Normal 2 15 5" xfId="5505"/>
    <cellStyle name="Normal 2 15_13008" xfId="2360"/>
    <cellStyle name="Normal 2 16" xfId="2361"/>
    <cellStyle name="Normal 2 16 2" xfId="2362"/>
    <cellStyle name="Normal 2 16 2 2" xfId="2363"/>
    <cellStyle name="Normal 2 16 2 2 2" xfId="7299"/>
    <cellStyle name="Normal 2 16 2 3" xfId="5509"/>
    <cellStyle name="Normal 2 16 3" xfId="2364"/>
    <cellStyle name="Normal 2 16 3 2" xfId="2365"/>
    <cellStyle name="Normal 2 16 3 2 2" xfId="7300"/>
    <cellStyle name="Normal 2 16 3 3" xfId="5510"/>
    <cellStyle name="Normal 2 16 4" xfId="2366"/>
    <cellStyle name="Normal 2 16 4 2" xfId="7298"/>
    <cellStyle name="Normal 2 16 5" xfId="5508"/>
    <cellStyle name="Normal 2 16_13008" xfId="2367"/>
    <cellStyle name="Normal 2 17" xfId="2368"/>
    <cellStyle name="Normal 2 17 2" xfId="2369"/>
    <cellStyle name="Normal 2 17 2 2" xfId="2370"/>
    <cellStyle name="Normal 2 17 2 2 2" xfId="7302"/>
    <cellStyle name="Normal 2 17 2 3" xfId="5512"/>
    <cellStyle name="Normal 2 17 3" xfId="2371"/>
    <cellStyle name="Normal 2 17 3 2" xfId="2372"/>
    <cellStyle name="Normal 2 17 3 2 2" xfId="7303"/>
    <cellStyle name="Normal 2 17 3 3" xfId="5513"/>
    <cellStyle name="Normal 2 17 4" xfId="2373"/>
    <cellStyle name="Normal 2 17 4 2" xfId="7301"/>
    <cellStyle name="Normal 2 17 5" xfId="5511"/>
    <cellStyle name="Normal 2 17_13008" xfId="2374"/>
    <cellStyle name="Normal 2 18" xfId="2375"/>
    <cellStyle name="Normal 2 18 2" xfId="2376"/>
    <cellStyle name="Normal 2 18 2 2" xfId="2377"/>
    <cellStyle name="Normal 2 18 2 2 2" xfId="7305"/>
    <cellStyle name="Normal 2 18 2 3" xfId="5515"/>
    <cellStyle name="Normal 2 18 3" xfId="2378"/>
    <cellStyle name="Normal 2 18 3 2" xfId="2379"/>
    <cellStyle name="Normal 2 18 3 2 2" xfId="7306"/>
    <cellStyle name="Normal 2 18 3 3" xfId="5516"/>
    <cellStyle name="Normal 2 18 4" xfId="2380"/>
    <cellStyle name="Normal 2 18 4 2" xfId="7304"/>
    <cellStyle name="Normal 2 18 5" xfId="5514"/>
    <cellStyle name="Normal 2 18_13008" xfId="2381"/>
    <cellStyle name="Normal 2 19" xfId="2382"/>
    <cellStyle name="Normal 2 19 2" xfId="2383"/>
    <cellStyle name="Normal 2 19 2 2" xfId="7307"/>
    <cellStyle name="Normal 2 19 3" xfId="5517"/>
    <cellStyle name="Normal 2 2" xfId="2384"/>
    <cellStyle name="Normal 2 2 10" xfId="2385"/>
    <cellStyle name="Normal 2 2 10 2" xfId="2386"/>
    <cellStyle name="Normal 2 2 10 2 2" xfId="7309"/>
    <cellStyle name="Normal 2 2 10 3" xfId="5519"/>
    <cellStyle name="Normal 2 2 11" xfId="2387"/>
    <cellStyle name="Normal 2 2 11 2" xfId="2388"/>
    <cellStyle name="Normal 2 2 11 2 2" xfId="7310"/>
    <cellStyle name="Normal 2 2 11 3" xfId="5520"/>
    <cellStyle name="Normal 2 2 12" xfId="2389"/>
    <cellStyle name="Normal 2 2 12 2" xfId="2390"/>
    <cellStyle name="Normal 2 2 12 2 2" xfId="7308"/>
    <cellStyle name="Normal 2 2 12 3" xfId="5518"/>
    <cellStyle name="Normal 2 2 13" xfId="2391"/>
    <cellStyle name="Normal 2 2 13 2" xfId="6341"/>
    <cellStyle name="Normal 2 2 14" xfId="4482"/>
    <cellStyle name="Normal 2 2 2" xfId="2392"/>
    <cellStyle name="Normal 2 2 2 10" xfId="2393"/>
    <cellStyle name="Normal 2 2 2 10 2" xfId="2394"/>
    <cellStyle name="Normal 2 2 2 10 2 2" xfId="7312"/>
    <cellStyle name="Normal 2 2 2 10 3" xfId="5522"/>
    <cellStyle name="Normal 2 2 2 11" xfId="2395"/>
    <cellStyle name="Normal 2 2 2 11 2" xfId="2396"/>
    <cellStyle name="Normal 2 2 2 11 2 2" xfId="7311"/>
    <cellStyle name="Normal 2 2 2 11 3" xfId="5521"/>
    <cellStyle name="Normal 2 2 2 12" xfId="2397"/>
    <cellStyle name="Normal 2 2 2 12 2" xfId="6343"/>
    <cellStyle name="Normal 2 2 2 13" xfId="4484"/>
    <cellStyle name="Normal 2 2 2 2" xfId="2398"/>
    <cellStyle name="Normal 2 2 2 2 10" xfId="2399"/>
    <cellStyle name="Normal 2 2 2 2 10 2" xfId="2400"/>
    <cellStyle name="Normal 2 2 2 2 10 2 2" xfId="7313"/>
    <cellStyle name="Normal 2 2 2 2 10 3" xfId="5523"/>
    <cellStyle name="Normal 2 2 2 2 11" xfId="2401"/>
    <cellStyle name="Normal 2 2 2 2 11 2" xfId="6347"/>
    <cellStyle name="Normal 2 2 2 2 12" xfId="4488"/>
    <cellStyle name="Normal 2 2 2 2 2" xfId="2402"/>
    <cellStyle name="Normal 2 2 2 2 2 10" xfId="2403"/>
    <cellStyle name="Normal 2 2 2 2 2 10 2" xfId="6361"/>
    <cellStyle name="Normal 2 2 2 2 2 11" xfId="4507"/>
    <cellStyle name="Normal 2 2 2 2 2 2" xfId="2404"/>
    <cellStyle name="Normal 2 2 2 2 2 2 2" xfId="2405"/>
    <cellStyle name="Normal 2 2 2 2 2 2 2 2" xfId="2406"/>
    <cellStyle name="Normal 2 2 2 2 2 2 2 2 2" xfId="2407"/>
    <cellStyle name="Normal 2 2 2 2 2 2 2 2 2 2" xfId="7317"/>
    <cellStyle name="Normal 2 2 2 2 2 2 2 2 3" xfId="5527"/>
    <cellStyle name="Normal 2 2 2 2 2 2 2 3" xfId="2408"/>
    <cellStyle name="Normal 2 2 2 2 2 2 2 3 2" xfId="2409"/>
    <cellStyle name="Normal 2 2 2 2 2 2 2 3 2 2" xfId="7318"/>
    <cellStyle name="Normal 2 2 2 2 2 2 2 3 3" xfId="5528"/>
    <cellStyle name="Normal 2 2 2 2 2 2 2 4" xfId="2410"/>
    <cellStyle name="Normal 2 2 2 2 2 2 2 4 2" xfId="7316"/>
    <cellStyle name="Normal 2 2 2 2 2 2 2 5" xfId="5526"/>
    <cellStyle name="Normal 2 2 2 2 2 2 3" xfId="2411"/>
    <cellStyle name="Normal 2 2 2 2 2 2 3 2" xfId="2412"/>
    <cellStyle name="Normal 2 2 2 2 2 2 3 2 2" xfId="2413"/>
    <cellStyle name="Normal 2 2 2 2 2 2 3 2 2 2" xfId="7320"/>
    <cellStyle name="Normal 2 2 2 2 2 2 3 2 3" xfId="5530"/>
    <cellStyle name="Normal 2 2 2 2 2 2 3 3" xfId="2414"/>
    <cellStyle name="Normal 2 2 2 2 2 2 3 3 2" xfId="7319"/>
    <cellStyle name="Normal 2 2 2 2 2 2 3 4" xfId="5529"/>
    <cellStyle name="Normal 2 2 2 2 2 2 4" xfId="2415"/>
    <cellStyle name="Normal 2 2 2 2 2 2 4 2" xfId="2416"/>
    <cellStyle name="Normal 2 2 2 2 2 2 4 2 2" xfId="7321"/>
    <cellStyle name="Normal 2 2 2 2 2 2 4 3" xfId="5531"/>
    <cellStyle name="Normal 2 2 2 2 2 2 5" xfId="2417"/>
    <cellStyle name="Normal 2 2 2 2 2 2 5 2" xfId="2418"/>
    <cellStyle name="Normal 2 2 2 2 2 2 5 2 2" xfId="7322"/>
    <cellStyle name="Normal 2 2 2 2 2 2 5 3" xfId="5532"/>
    <cellStyle name="Normal 2 2 2 2 2 2 6" xfId="2419"/>
    <cellStyle name="Normal 2 2 2 2 2 2 6 2" xfId="2420"/>
    <cellStyle name="Normal 2 2 2 2 2 2 6 2 2" xfId="7315"/>
    <cellStyle name="Normal 2 2 2 2 2 2 6 3" xfId="5525"/>
    <cellStyle name="Normal 2 2 2 2 2 2 7" xfId="2421"/>
    <cellStyle name="Normal 2 2 2 2 2 2 7 2" xfId="6430"/>
    <cellStyle name="Normal 2 2 2 2 2 2 8" xfId="4638"/>
    <cellStyle name="Normal 2 2 2 2 2 2_13008" xfId="2422"/>
    <cellStyle name="Normal 2 2 2 2 2 3" xfId="2423"/>
    <cellStyle name="Normal 2 2 2 2 2 3 2" xfId="2424"/>
    <cellStyle name="Normal 2 2 2 2 2 3 2 2" xfId="2425"/>
    <cellStyle name="Normal 2 2 2 2 2 3 2 2 2" xfId="2426"/>
    <cellStyle name="Normal 2 2 2 2 2 3 2 2 2 2" xfId="7325"/>
    <cellStyle name="Normal 2 2 2 2 2 3 2 2 3" xfId="5535"/>
    <cellStyle name="Normal 2 2 2 2 2 3 2 3" xfId="2427"/>
    <cellStyle name="Normal 2 2 2 2 2 3 2 3 2" xfId="7324"/>
    <cellStyle name="Normal 2 2 2 2 2 3 2 4" xfId="5534"/>
    <cellStyle name="Normal 2 2 2 2 2 3 3" xfId="2428"/>
    <cellStyle name="Normal 2 2 2 2 2 3 3 2" xfId="2429"/>
    <cellStyle name="Normal 2 2 2 2 2 3 3 2 2" xfId="2430"/>
    <cellStyle name="Normal 2 2 2 2 2 3 3 2 2 2" xfId="7327"/>
    <cellStyle name="Normal 2 2 2 2 2 3 3 2 3" xfId="5537"/>
    <cellStyle name="Normal 2 2 2 2 2 3 3 3" xfId="2431"/>
    <cellStyle name="Normal 2 2 2 2 2 3 3 3 2" xfId="7326"/>
    <cellStyle name="Normal 2 2 2 2 2 3 3 4" xfId="5536"/>
    <cellStyle name="Normal 2 2 2 2 2 3 4" xfId="2432"/>
    <cellStyle name="Normal 2 2 2 2 2 3 4 2" xfId="2433"/>
    <cellStyle name="Normal 2 2 2 2 2 3 4 2 2" xfId="7328"/>
    <cellStyle name="Normal 2 2 2 2 2 3 4 3" xfId="5538"/>
    <cellStyle name="Normal 2 2 2 2 2 3 5" xfId="2434"/>
    <cellStyle name="Normal 2 2 2 2 2 3 5 2" xfId="7323"/>
    <cellStyle name="Normal 2 2 2 2 2 3 6" xfId="5533"/>
    <cellStyle name="Normal 2 2 2 2 2 3_13008" xfId="2435"/>
    <cellStyle name="Normal 2 2 2 2 2 4" xfId="2436"/>
    <cellStyle name="Normal 2 2 2 2 2 4 2" xfId="2437"/>
    <cellStyle name="Normal 2 2 2 2 2 4 2 2" xfId="2438"/>
    <cellStyle name="Normal 2 2 2 2 2 4 2 2 2" xfId="7330"/>
    <cellStyle name="Normal 2 2 2 2 2 4 2 3" xfId="5540"/>
    <cellStyle name="Normal 2 2 2 2 2 4 3" xfId="2439"/>
    <cellStyle name="Normal 2 2 2 2 2 4 3 2" xfId="2440"/>
    <cellStyle name="Normal 2 2 2 2 2 4 3 2 2" xfId="7331"/>
    <cellStyle name="Normal 2 2 2 2 2 4 3 3" xfId="5541"/>
    <cellStyle name="Normal 2 2 2 2 2 4 4" xfId="2441"/>
    <cellStyle name="Normal 2 2 2 2 2 4 4 2" xfId="2442"/>
    <cellStyle name="Normal 2 2 2 2 2 4 4 2 2" xfId="7332"/>
    <cellStyle name="Normal 2 2 2 2 2 4 4 3" xfId="5542"/>
    <cellStyle name="Normal 2 2 2 2 2 4 5" xfId="2443"/>
    <cellStyle name="Normal 2 2 2 2 2 4 5 2" xfId="7329"/>
    <cellStyle name="Normal 2 2 2 2 2 4 6" xfId="5539"/>
    <cellStyle name="Normal 2 2 2 2 2 5" xfId="2444"/>
    <cellStyle name="Normal 2 2 2 2 2 5 2" xfId="2445"/>
    <cellStyle name="Normal 2 2 2 2 2 5 2 2" xfId="2446"/>
    <cellStyle name="Normal 2 2 2 2 2 5 2 2 2" xfId="7334"/>
    <cellStyle name="Normal 2 2 2 2 2 5 2 3" xfId="5544"/>
    <cellStyle name="Normal 2 2 2 2 2 5 3" xfId="2447"/>
    <cellStyle name="Normal 2 2 2 2 2 5 3 2" xfId="2448"/>
    <cellStyle name="Normal 2 2 2 2 2 5 3 2 2" xfId="7335"/>
    <cellStyle name="Normal 2 2 2 2 2 5 3 3" xfId="5545"/>
    <cellStyle name="Normal 2 2 2 2 2 5 4" xfId="2449"/>
    <cellStyle name="Normal 2 2 2 2 2 5 4 2" xfId="7333"/>
    <cellStyle name="Normal 2 2 2 2 2 5 5" xfId="5543"/>
    <cellStyle name="Normal 2 2 2 2 2 6" xfId="2450"/>
    <cellStyle name="Normal 2 2 2 2 2 6 2" xfId="2451"/>
    <cellStyle name="Normal 2 2 2 2 2 6 2 2" xfId="7336"/>
    <cellStyle name="Normal 2 2 2 2 2 6 3" xfId="5546"/>
    <cellStyle name="Normal 2 2 2 2 2 7" xfId="2452"/>
    <cellStyle name="Normal 2 2 2 2 2 7 2" xfId="2453"/>
    <cellStyle name="Normal 2 2 2 2 2 7 2 2" xfId="7337"/>
    <cellStyle name="Normal 2 2 2 2 2 7 3" xfId="5547"/>
    <cellStyle name="Normal 2 2 2 2 2 8" xfId="2454"/>
    <cellStyle name="Normal 2 2 2 2 2 8 2" xfId="2455"/>
    <cellStyle name="Normal 2 2 2 2 2 8 2 2" xfId="7338"/>
    <cellStyle name="Normal 2 2 2 2 2 8 3" xfId="5548"/>
    <cellStyle name="Normal 2 2 2 2 2 9" xfId="2456"/>
    <cellStyle name="Normal 2 2 2 2 2 9 2" xfId="2457"/>
    <cellStyle name="Normal 2 2 2 2 2 9 2 2" xfId="7314"/>
    <cellStyle name="Normal 2 2 2 2 2 9 3" xfId="5524"/>
    <cellStyle name="Normal 2 2 2 2 2_13008" xfId="2458"/>
    <cellStyle name="Normal 2 2 2 2 3" xfId="2459"/>
    <cellStyle name="Normal 2 2 2 2 3 2" xfId="2460"/>
    <cellStyle name="Normal 2 2 2 2 3 2 2" xfId="2461"/>
    <cellStyle name="Normal 2 2 2 2 3 2 2 2" xfId="2462"/>
    <cellStyle name="Normal 2 2 2 2 3 2 2 2 2" xfId="7341"/>
    <cellStyle name="Normal 2 2 2 2 3 2 2 3" xfId="5551"/>
    <cellStyle name="Normal 2 2 2 2 3 2 3" xfId="2463"/>
    <cellStyle name="Normal 2 2 2 2 3 2 3 2" xfId="2464"/>
    <cellStyle name="Normal 2 2 2 2 3 2 3 2 2" xfId="7342"/>
    <cellStyle name="Normal 2 2 2 2 3 2 3 3" xfId="5552"/>
    <cellStyle name="Normal 2 2 2 2 3 2 4" xfId="2465"/>
    <cellStyle name="Normal 2 2 2 2 3 2 4 2" xfId="2466"/>
    <cellStyle name="Normal 2 2 2 2 3 2 4 2 2" xfId="7340"/>
    <cellStyle name="Normal 2 2 2 2 3 2 4 3" xfId="5550"/>
    <cellStyle name="Normal 2 2 2 2 3 2 5" xfId="2467"/>
    <cellStyle name="Normal 2 2 2 2 3 2 5 2" xfId="6468"/>
    <cellStyle name="Normal 2 2 2 2 3 2 6" xfId="4676"/>
    <cellStyle name="Normal 2 2 2 2 3 3" xfId="2468"/>
    <cellStyle name="Normal 2 2 2 2 3 3 2" xfId="2469"/>
    <cellStyle name="Normal 2 2 2 2 3 3 2 2" xfId="2470"/>
    <cellStyle name="Normal 2 2 2 2 3 3 2 2 2" xfId="7344"/>
    <cellStyle name="Normal 2 2 2 2 3 3 2 3" xfId="5554"/>
    <cellStyle name="Normal 2 2 2 2 3 3 3" xfId="2471"/>
    <cellStyle name="Normal 2 2 2 2 3 3 3 2" xfId="7343"/>
    <cellStyle name="Normal 2 2 2 2 3 3 4" xfId="5553"/>
    <cellStyle name="Normal 2 2 2 2 3 4" xfId="2472"/>
    <cellStyle name="Normal 2 2 2 2 3 4 2" xfId="2473"/>
    <cellStyle name="Normal 2 2 2 2 3 4 2 2" xfId="7345"/>
    <cellStyle name="Normal 2 2 2 2 3 4 3" xfId="5555"/>
    <cellStyle name="Normal 2 2 2 2 3 5" xfId="2474"/>
    <cellStyle name="Normal 2 2 2 2 3 5 2" xfId="2475"/>
    <cellStyle name="Normal 2 2 2 2 3 5 2 2" xfId="7346"/>
    <cellStyle name="Normal 2 2 2 2 3 5 3" xfId="5556"/>
    <cellStyle name="Normal 2 2 2 2 3 6" xfId="2476"/>
    <cellStyle name="Normal 2 2 2 2 3 6 2" xfId="2477"/>
    <cellStyle name="Normal 2 2 2 2 3 6 2 2" xfId="7339"/>
    <cellStyle name="Normal 2 2 2 2 3 6 3" xfId="5549"/>
    <cellStyle name="Normal 2 2 2 2 3 7" xfId="2478"/>
    <cellStyle name="Normal 2 2 2 2 3 7 2" xfId="6399"/>
    <cellStyle name="Normal 2 2 2 2 3 8" xfId="4606"/>
    <cellStyle name="Normal 2 2 2 2 3_13008" xfId="2479"/>
    <cellStyle name="Normal 2 2 2 2 4" xfId="2480"/>
    <cellStyle name="Normal 2 2 2 2 4 2" xfId="2481"/>
    <cellStyle name="Normal 2 2 2 2 4 2 2" xfId="2482"/>
    <cellStyle name="Normal 2 2 2 2 4 2 2 2" xfId="2483"/>
    <cellStyle name="Normal 2 2 2 2 4 2 2 2 2" xfId="7349"/>
    <cellStyle name="Normal 2 2 2 2 4 2 2 3" xfId="5559"/>
    <cellStyle name="Normal 2 2 2 2 4 2 3" xfId="2484"/>
    <cellStyle name="Normal 2 2 2 2 4 2 3 2" xfId="7348"/>
    <cellStyle name="Normal 2 2 2 2 4 2 4" xfId="5558"/>
    <cellStyle name="Normal 2 2 2 2 4 3" xfId="2485"/>
    <cellStyle name="Normal 2 2 2 2 4 3 2" xfId="2486"/>
    <cellStyle name="Normal 2 2 2 2 4 3 2 2" xfId="2487"/>
    <cellStyle name="Normal 2 2 2 2 4 3 2 2 2" xfId="7351"/>
    <cellStyle name="Normal 2 2 2 2 4 3 2 3" xfId="5561"/>
    <cellStyle name="Normal 2 2 2 2 4 3 3" xfId="2488"/>
    <cellStyle name="Normal 2 2 2 2 4 3 3 2" xfId="7350"/>
    <cellStyle name="Normal 2 2 2 2 4 3 4" xfId="5560"/>
    <cellStyle name="Normal 2 2 2 2 4 4" xfId="2489"/>
    <cellStyle name="Normal 2 2 2 2 4 4 2" xfId="2490"/>
    <cellStyle name="Normal 2 2 2 2 4 4 2 2" xfId="7352"/>
    <cellStyle name="Normal 2 2 2 2 4 4 3" xfId="5562"/>
    <cellStyle name="Normal 2 2 2 2 4 5" xfId="2491"/>
    <cellStyle name="Normal 2 2 2 2 4 5 2" xfId="2492"/>
    <cellStyle name="Normal 2 2 2 2 4 5 2 2" xfId="7347"/>
    <cellStyle name="Normal 2 2 2 2 4 5 3" xfId="5557"/>
    <cellStyle name="Normal 2 2 2 2 4 6" xfId="2493"/>
    <cellStyle name="Normal 2 2 2 2 4 6 2" xfId="6416"/>
    <cellStyle name="Normal 2 2 2 2 4 7" xfId="4624"/>
    <cellStyle name="Normal 2 2 2 2 4_13008" xfId="2494"/>
    <cellStyle name="Normal 2 2 2 2 5" xfId="2495"/>
    <cellStyle name="Normal 2 2 2 2 5 2" xfId="2496"/>
    <cellStyle name="Normal 2 2 2 2 5 2 2" xfId="2497"/>
    <cellStyle name="Normal 2 2 2 2 5 2 2 2" xfId="7354"/>
    <cellStyle name="Normal 2 2 2 2 5 2 3" xfId="5564"/>
    <cellStyle name="Normal 2 2 2 2 5 3" xfId="2498"/>
    <cellStyle name="Normal 2 2 2 2 5 3 2" xfId="2499"/>
    <cellStyle name="Normal 2 2 2 2 5 3 2 2" xfId="7355"/>
    <cellStyle name="Normal 2 2 2 2 5 3 3" xfId="5565"/>
    <cellStyle name="Normal 2 2 2 2 5 4" xfId="2500"/>
    <cellStyle name="Normal 2 2 2 2 5 4 2" xfId="2501"/>
    <cellStyle name="Normal 2 2 2 2 5 4 2 2" xfId="7356"/>
    <cellStyle name="Normal 2 2 2 2 5 4 3" xfId="5566"/>
    <cellStyle name="Normal 2 2 2 2 5 5" xfId="2502"/>
    <cellStyle name="Normal 2 2 2 2 5 5 2" xfId="7353"/>
    <cellStyle name="Normal 2 2 2 2 5 6" xfId="5563"/>
    <cellStyle name="Normal 2 2 2 2 6" xfId="2503"/>
    <cellStyle name="Normal 2 2 2 2 6 2" xfId="2504"/>
    <cellStyle name="Normal 2 2 2 2 6 2 2" xfId="2505"/>
    <cellStyle name="Normal 2 2 2 2 6 2 2 2" xfId="7358"/>
    <cellStyle name="Normal 2 2 2 2 6 2 3" xfId="5568"/>
    <cellStyle name="Normal 2 2 2 2 6 3" xfId="2506"/>
    <cellStyle name="Normal 2 2 2 2 6 3 2" xfId="2507"/>
    <cellStyle name="Normal 2 2 2 2 6 3 2 2" xfId="7359"/>
    <cellStyle name="Normal 2 2 2 2 6 3 3" xfId="5569"/>
    <cellStyle name="Normal 2 2 2 2 6 4" xfId="2508"/>
    <cellStyle name="Normal 2 2 2 2 6 4 2" xfId="7357"/>
    <cellStyle name="Normal 2 2 2 2 6 5" xfId="5567"/>
    <cellStyle name="Normal 2 2 2 2 7" xfId="2509"/>
    <cellStyle name="Normal 2 2 2 2 7 2" xfId="2510"/>
    <cellStyle name="Normal 2 2 2 2 7 2 2" xfId="7360"/>
    <cellStyle name="Normal 2 2 2 2 7 3" xfId="5570"/>
    <cellStyle name="Normal 2 2 2 2 8" xfId="2511"/>
    <cellStyle name="Normal 2 2 2 2 8 2" xfId="2512"/>
    <cellStyle name="Normal 2 2 2 2 8 2 2" xfId="7361"/>
    <cellStyle name="Normal 2 2 2 2 8 3" xfId="5571"/>
    <cellStyle name="Normal 2 2 2 2 9" xfId="2513"/>
    <cellStyle name="Normal 2 2 2 2 9 2" xfId="2514"/>
    <cellStyle name="Normal 2 2 2 2 9 2 2" xfId="7362"/>
    <cellStyle name="Normal 2 2 2 2 9 3" xfId="5572"/>
    <cellStyle name="Normal 2 2 2 2_13008" xfId="2515"/>
    <cellStyle name="Normal 2 2 2 3" xfId="2516"/>
    <cellStyle name="Normal 2 2 2 3 10" xfId="4503"/>
    <cellStyle name="Normal 2 2 2 3 2" xfId="2517"/>
    <cellStyle name="Normal 2 2 2 3 2 2" xfId="2518"/>
    <cellStyle name="Normal 2 2 2 3 2 2 2" xfId="2519"/>
    <cellStyle name="Normal 2 2 2 3 2 2 2 2" xfId="2520"/>
    <cellStyle name="Normal 2 2 2 3 2 2 2 2 2" xfId="7366"/>
    <cellStyle name="Normal 2 2 2 3 2 2 2 3" xfId="5576"/>
    <cellStyle name="Normal 2 2 2 3 2 2 3" xfId="2521"/>
    <cellStyle name="Normal 2 2 2 3 2 2 3 2" xfId="7365"/>
    <cellStyle name="Normal 2 2 2 3 2 2 4" xfId="5575"/>
    <cellStyle name="Normal 2 2 2 3 2 3" xfId="2522"/>
    <cellStyle name="Normal 2 2 2 3 2 3 2" xfId="2523"/>
    <cellStyle name="Normal 2 2 2 3 2 3 2 2" xfId="7367"/>
    <cellStyle name="Normal 2 2 2 3 2 3 3" xfId="5577"/>
    <cellStyle name="Normal 2 2 2 3 2 4" xfId="2524"/>
    <cellStyle name="Normal 2 2 2 3 2 4 2" xfId="2525"/>
    <cellStyle name="Normal 2 2 2 3 2 4 2 2" xfId="7368"/>
    <cellStyle name="Normal 2 2 2 3 2 4 3" xfId="5578"/>
    <cellStyle name="Normal 2 2 2 3 2 5" xfId="2526"/>
    <cellStyle name="Normal 2 2 2 3 2 5 2" xfId="2527"/>
    <cellStyle name="Normal 2 2 2 3 2 5 2 2" xfId="7364"/>
    <cellStyle name="Normal 2 2 2 3 2 5 3" xfId="5574"/>
    <cellStyle name="Normal 2 2 2 3 2 6" xfId="2528"/>
    <cellStyle name="Normal 2 2 2 3 2 6 2" xfId="6426"/>
    <cellStyle name="Normal 2 2 2 3 2 7" xfId="4634"/>
    <cellStyle name="Normal 2 2 2 3 3" xfId="2529"/>
    <cellStyle name="Normal 2 2 2 3 3 2" xfId="2530"/>
    <cellStyle name="Normal 2 2 2 3 3 2 2" xfId="2531"/>
    <cellStyle name="Normal 2 2 2 3 3 2 2 2" xfId="7370"/>
    <cellStyle name="Normal 2 2 2 3 3 2 3" xfId="5580"/>
    <cellStyle name="Normal 2 2 2 3 3 3" xfId="2532"/>
    <cellStyle name="Normal 2 2 2 3 3 3 2" xfId="2533"/>
    <cellStyle name="Normal 2 2 2 3 3 3 2 2" xfId="7371"/>
    <cellStyle name="Normal 2 2 2 3 3 3 3" xfId="5581"/>
    <cellStyle name="Normal 2 2 2 3 3 4" xfId="2534"/>
    <cellStyle name="Normal 2 2 2 3 3 4 2" xfId="7369"/>
    <cellStyle name="Normal 2 2 2 3 3 5" xfId="5579"/>
    <cellStyle name="Normal 2 2 2 3 4" xfId="2535"/>
    <cellStyle name="Normal 2 2 2 3 4 2" xfId="2536"/>
    <cellStyle name="Normal 2 2 2 3 4 2 2" xfId="2537"/>
    <cellStyle name="Normal 2 2 2 3 4 2 2 2" xfId="7373"/>
    <cellStyle name="Normal 2 2 2 3 4 2 3" xfId="5583"/>
    <cellStyle name="Normal 2 2 2 3 4 3" xfId="2538"/>
    <cellStyle name="Normal 2 2 2 3 4 3 2" xfId="7372"/>
    <cellStyle name="Normal 2 2 2 3 4 4" xfId="5582"/>
    <cellStyle name="Normal 2 2 2 3 5" xfId="2539"/>
    <cellStyle name="Normal 2 2 2 3 5 2" xfId="2540"/>
    <cellStyle name="Normal 2 2 2 3 5 2 2" xfId="7374"/>
    <cellStyle name="Normal 2 2 2 3 5 3" xfId="5584"/>
    <cellStyle name="Normal 2 2 2 3 6" xfId="2541"/>
    <cellStyle name="Normal 2 2 2 3 6 2" xfId="2542"/>
    <cellStyle name="Normal 2 2 2 3 6 2 2" xfId="7375"/>
    <cellStyle name="Normal 2 2 2 3 6 3" xfId="5585"/>
    <cellStyle name="Normal 2 2 2 3 7" xfId="2543"/>
    <cellStyle name="Normal 2 2 2 3 8" xfId="2544"/>
    <cellStyle name="Normal 2 2 2 3 8 2" xfId="2545"/>
    <cellStyle name="Normal 2 2 2 3 8 2 2" xfId="7363"/>
    <cellStyle name="Normal 2 2 2 3 8 3" xfId="5573"/>
    <cellStyle name="Normal 2 2 2 3 9" xfId="2546"/>
    <cellStyle name="Normal 2 2 2 3 9 2" xfId="6357"/>
    <cellStyle name="Normal 2 2 2 4" xfId="2547"/>
    <cellStyle name="Normal 2 2 2 4 2" xfId="2548"/>
    <cellStyle name="Normal 2 2 2 4 2 2" xfId="2549"/>
    <cellStyle name="Normal 2 2 2 4 2 2 2" xfId="2550"/>
    <cellStyle name="Normal 2 2 2 4 2 2 2 2" xfId="2551"/>
    <cellStyle name="Normal 2 2 2 4 2 2 2 2 2" xfId="7379"/>
    <cellStyle name="Normal 2 2 2 4 2 2 2 3" xfId="5589"/>
    <cellStyle name="Normal 2 2 2 4 2 2 3" xfId="2552"/>
    <cellStyle name="Normal 2 2 2 4 2 2 3 2" xfId="7378"/>
    <cellStyle name="Normal 2 2 2 4 2 2 4" xfId="5588"/>
    <cellStyle name="Normal 2 2 2 4 2 3" xfId="2553"/>
    <cellStyle name="Normal 2 2 2 4 2 3 2" xfId="2554"/>
    <cellStyle name="Normal 2 2 2 4 2 3 2 2" xfId="7380"/>
    <cellStyle name="Normal 2 2 2 4 2 3 3" xfId="5590"/>
    <cellStyle name="Normal 2 2 2 4 2 4" xfId="2555"/>
    <cellStyle name="Normal 2 2 2 4 2 4 2" xfId="2556"/>
    <cellStyle name="Normal 2 2 2 4 2 4 2 2" xfId="7381"/>
    <cellStyle name="Normal 2 2 2 4 2 4 3" xfId="5591"/>
    <cellStyle name="Normal 2 2 2 4 2 5" xfId="2557"/>
    <cellStyle name="Normal 2 2 2 4 2 5 2" xfId="7377"/>
    <cellStyle name="Normal 2 2 2 4 2 6" xfId="5587"/>
    <cellStyle name="Normal 2 2 2 4 2_13008" xfId="2558"/>
    <cellStyle name="Normal 2 2 2 4 3" xfId="2559"/>
    <cellStyle name="Normal 2 2 2 4 3 2" xfId="2560"/>
    <cellStyle name="Normal 2 2 2 4 3 2 2" xfId="2561"/>
    <cellStyle name="Normal 2 2 2 4 3 2 2 2" xfId="7383"/>
    <cellStyle name="Normal 2 2 2 4 3 2 3" xfId="5593"/>
    <cellStyle name="Normal 2 2 2 4 3 3" xfId="2562"/>
    <cellStyle name="Normal 2 2 2 4 3 3 2" xfId="2563"/>
    <cellStyle name="Normal 2 2 2 4 3 3 2 2" xfId="7384"/>
    <cellStyle name="Normal 2 2 2 4 3 3 3" xfId="5594"/>
    <cellStyle name="Normal 2 2 2 4 3 4" xfId="2564"/>
    <cellStyle name="Normal 2 2 2 4 3 4 2" xfId="2565"/>
    <cellStyle name="Normal 2 2 2 4 3 4 2 2" xfId="7385"/>
    <cellStyle name="Normal 2 2 2 4 3 4 3" xfId="5595"/>
    <cellStyle name="Normal 2 2 2 4 3 5" xfId="2566"/>
    <cellStyle name="Normal 2 2 2 4 3 5 2" xfId="7382"/>
    <cellStyle name="Normal 2 2 2 4 3 6" xfId="5592"/>
    <cellStyle name="Normal 2 2 2 4 3_13008" xfId="2567"/>
    <cellStyle name="Normal 2 2 2 4 4" xfId="2568"/>
    <cellStyle name="Normal 2 2 2 4 4 2" xfId="2569"/>
    <cellStyle name="Normal 2 2 2 4 4 2 2" xfId="2570"/>
    <cellStyle name="Normal 2 2 2 4 4 2 2 2" xfId="7387"/>
    <cellStyle name="Normal 2 2 2 4 4 2 3" xfId="5597"/>
    <cellStyle name="Normal 2 2 2 4 4 3" xfId="2571"/>
    <cellStyle name="Normal 2 2 2 4 4 3 2" xfId="7386"/>
    <cellStyle name="Normal 2 2 2 4 4 4" xfId="5596"/>
    <cellStyle name="Normal 2 2 2 4 5" xfId="2572"/>
    <cellStyle name="Normal 2 2 2 4 5 2" xfId="2573"/>
    <cellStyle name="Normal 2 2 2 4 5 2 2" xfId="7388"/>
    <cellStyle name="Normal 2 2 2 4 5 3" xfId="5598"/>
    <cellStyle name="Normal 2 2 2 4 6" xfId="2574"/>
    <cellStyle name="Normal 2 2 2 4 6 2" xfId="2575"/>
    <cellStyle name="Normal 2 2 2 4 6 2 2" xfId="7389"/>
    <cellStyle name="Normal 2 2 2 4 6 3" xfId="5599"/>
    <cellStyle name="Normal 2 2 2 4 7" xfId="2576"/>
    <cellStyle name="Normal 2 2 2 4 7 2" xfId="2577"/>
    <cellStyle name="Normal 2 2 2 4 7 2 2" xfId="7376"/>
    <cellStyle name="Normal 2 2 2 4 7 3" xfId="5586"/>
    <cellStyle name="Normal 2 2 2 4 8" xfId="2578"/>
    <cellStyle name="Normal 2 2 2 4 9" xfId="4522"/>
    <cellStyle name="Normal 2 2 2 4_13008" xfId="2579"/>
    <cellStyle name="Normal 2 2 2 5" xfId="2580"/>
    <cellStyle name="Normal 2 2 2 5 2" xfId="2581"/>
    <cellStyle name="Normal 2 2 2 5 2 2" xfId="2582"/>
    <cellStyle name="Normal 2 2 2 5 2 2 2" xfId="2583"/>
    <cellStyle name="Normal 2 2 2 5 2 2 2 2" xfId="7391"/>
    <cellStyle name="Normal 2 2 2 5 2 2 3" xfId="5601"/>
    <cellStyle name="Normal 2 2 2 5 2 3" xfId="2584"/>
    <cellStyle name="Normal 2 2 2 5 2 3 2" xfId="6464"/>
    <cellStyle name="Normal 2 2 2 5 2 4" xfId="4672"/>
    <cellStyle name="Normal 2 2 2 5 3" xfId="2585"/>
    <cellStyle name="Normal 2 2 2 5 3 2" xfId="2586"/>
    <cellStyle name="Normal 2 2 2 5 3 2 2" xfId="7392"/>
    <cellStyle name="Normal 2 2 2 5 3 3" xfId="5602"/>
    <cellStyle name="Normal 2 2 2 5 4" xfId="2587"/>
    <cellStyle name="Normal 2 2 2 5 4 2" xfId="2588"/>
    <cellStyle name="Normal 2 2 2 5 4 2 2" xfId="7393"/>
    <cellStyle name="Normal 2 2 2 5 4 3" xfId="5603"/>
    <cellStyle name="Normal 2 2 2 5 5" xfId="2589"/>
    <cellStyle name="Normal 2 2 2 5 5 2" xfId="2590"/>
    <cellStyle name="Normal 2 2 2 5 5 2 2" xfId="7390"/>
    <cellStyle name="Normal 2 2 2 5 5 3" xfId="5600"/>
    <cellStyle name="Normal 2 2 2 5 6" xfId="2591"/>
    <cellStyle name="Normal 2 2 2 5 6 2" xfId="6395"/>
    <cellStyle name="Normal 2 2 2 5 7" xfId="4602"/>
    <cellStyle name="Normal 2 2 2 6" xfId="2592"/>
    <cellStyle name="Normal 2 2 2 6 2" xfId="2593"/>
    <cellStyle name="Normal 2 2 2 6 2 2" xfId="2594"/>
    <cellStyle name="Normal 2 2 2 6 2 2 2" xfId="7395"/>
    <cellStyle name="Normal 2 2 2 6 2 3" xfId="5605"/>
    <cellStyle name="Normal 2 2 2 6 3" xfId="2595"/>
    <cellStyle name="Normal 2 2 2 6 3 2" xfId="2596"/>
    <cellStyle name="Normal 2 2 2 6 3 2 2" xfId="7396"/>
    <cellStyle name="Normal 2 2 2 6 3 3" xfId="5606"/>
    <cellStyle name="Normal 2 2 2 6 4" xfId="2597"/>
    <cellStyle name="Normal 2 2 2 6 4 2" xfId="2598"/>
    <cellStyle name="Normal 2 2 2 6 4 2 2" xfId="7397"/>
    <cellStyle name="Normal 2 2 2 6 4 3" xfId="5607"/>
    <cellStyle name="Normal 2 2 2 6 5" xfId="2599"/>
    <cellStyle name="Normal 2 2 2 6 5 2" xfId="2600"/>
    <cellStyle name="Normal 2 2 2 6 5 2 2" xfId="7394"/>
    <cellStyle name="Normal 2 2 2 6 5 3" xfId="5604"/>
    <cellStyle name="Normal 2 2 2 6 6" xfId="2601"/>
    <cellStyle name="Normal 2 2 2 6 6 2" xfId="6412"/>
    <cellStyle name="Normal 2 2 2 6 7" xfId="4620"/>
    <cellStyle name="Normal 2 2 2 7" xfId="2602"/>
    <cellStyle name="Normal 2 2 2 7 2" xfId="2603"/>
    <cellStyle name="Normal 2 2 2 7 2 2" xfId="2604"/>
    <cellStyle name="Normal 2 2 2 7 2 2 2" xfId="7399"/>
    <cellStyle name="Normal 2 2 2 7 2 3" xfId="5609"/>
    <cellStyle name="Normal 2 2 2 7 3" xfId="2605"/>
    <cellStyle name="Normal 2 2 2 7 3 2" xfId="7398"/>
    <cellStyle name="Normal 2 2 2 7 4" xfId="5608"/>
    <cellStyle name="Normal 2 2 2 8" xfId="2606"/>
    <cellStyle name="Normal 2 2 2 8 2" xfId="2607"/>
    <cellStyle name="Normal 2 2 2 8 2 2" xfId="7400"/>
    <cellStyle name="Normal 2 2 2 8 3" xfId="5610"/>
    <cellStyle name="Normal 2 2 2 9" xfId="2608"/>
    <cellStyle name="Normal 2 2 2 9 2" xfId="2609"/>
    <cellStyle name="Normal 2 2 2 9 2 2" xfId="7401"/>
    <cellStyle name="Normal 2 2 2 9 3" xfId="5611"/>
    <cellStyle name="Normal 2 2 2_11510" xfId="2610"/>
    <cellStyle name="Normal 2 2 3" xfId="2611"/>
    <cellStyle name="Normal 2 2 3 10" xfId="2612"/>
    <cellStyle name="Normal 2 2 3 10 2" xfId="2613"/>
    <cellStyle name="Normal 2 2 3 10 2 2" xfId="7402"/>
    <cellStyle name="Normal 2 2 3 10 3" xfId="5612"/>
    <cellStyle name="Normal 2 2 3 11" xfId="2614"/>
    <cellStyle name="Normal 2 2 3 11 2" xfId="6345"/>
    <cellStyle name="Normal 2 2 3 12" xfId="4486"/>
    <cellStyle name="Normal 2 2 3 2" xfId="2615"/>
    <cellStyle name="Normal 2 2 3 2 10" xfId="2616"/>
    <cellStyle name="Normal 2 2 3 2 10 2" xfId="6359"/>
    <cellStyle name="Normal 2 2 3 2 11" xfId="4505"/>
    <cellStyle name="Normal 2 2 3 2 2" xfId="2617"/>
    <cellStyle name="Normal 2 2 3 2 2 2" xfId="2618"/>
    <cellStyle name="Normal 2 2 3 2 2 2 2" xfId="2619"/>
    <cellStyle name="Normal 2 2 3 2 2 2 2 2" xfId="2620"/>
    <cellStyle name="Normal 2 2 3 2 2 2 2 2 2" xfId="7406"/>
    <cellStyle name="Normal 2 2 3 2 2 2 2 3" xfId="5616"/>
    <cellStyle name="Normal 2 2 3 2 2 2 3" xfId="2621"/>
    <cellStyle name="Normal 2 2 3 2 2 2 3 2" xfId="2622"/>
    <cellStyle name="Normal 2 2 3 2 2 2 3 2 2" xfId="7407"/>
    <cellStyle name="Normal 2 2 3 2 2 2 3 3" xfId="5617"/>
    <cellStyle name="Normal 2 2 3 2 2 2 4" xfId="2623"/>
    <cellStyle name="Normal 2 2 3 2 2 2 4 2" xfId="7405"/>
    <cellStyle name="Normal 2 2 3 2 2 2 5" xfId="5615"/>
    <cellStyle name="Normal 2 2 3 2 2 3" xfId="2624"/>
    <cellStyle name="Normal 2 2 3 2 2 3 2" xfId="2625"/>
    <cellStyle name="Normal 2 2 3 2 2 3 2 2" xfId="2626"/>
    <cellStyle name="Normal 2 2 3 2 2 3 2 2 2" xfId="7409"/>
    <cellStyle name="Normal 2 2 3 2 2 3 2 3" xfId="5619"/>
    <cellStyle name="Normal 2 2 3 2 2 3 3" xfId="2627"/>
    <cellStyle name="Normal 2 2 3 2 2 3 3 2" xfId="7408"/>
    <cellStyle name="Normal 2 2 3 2 2 3 4" xfId="5618"/>
    <cellStyle name="Normal 2 2 3 2 2 4" xfId="2628"/>
    <cellStyle name="Normal 2 2 3 2 2 4 2" xfId="2629"/>
    <cellStyle name="Normal 2 2 3 2 2 4 2 2" xfId="7410"/>
    <cellStyle name="Normal 2 2 3 2 2 4 3" xfId="5620"/>
    <cellStyle name="Normal 2 2 3 2 2 5" xfId="2630"/>
    <cellStyle name="Normal 2 2 3 2 2 5 2" xfId="2631"/>
    <cellStyle name="Normal 2 2 3 2 2 5 2 2" xfId="7411"/>
    <cellStyle name="Normal 2 2 3 2 2 5 3" xfId="5621"/>
    <cellStyle name="Normal 2 2 3 2 2 6" xfId="2632"/>
    <cellStyle name="Normal 2 2 3 2 2 6 2" xfId="2633"/>
    <cellStyle name="Normal 2 2 3 2 2 6 2 2" xfId="7404"/>
    <cellStyle name="Normal 2 2 3 2 2 6 3" xfId="5614"/>
    <cellStyle name="Normal 2 2 3 2 2 7" xfId="2634"/>
    <cellStyle name="Normal 2 2 3 2 2 7 2" xfId="6428"/>
    <cellStyle name="Normal 2 2 3 2 2 8" xfId="4636"/>
    <cellStyle name="Normal 2 2 3 2 2_13008" xfId="2635"/>
    <cellStyle name="Normal 2 2 3 2 3" xfId="2636"/>
    <cellStyle name="Normal 2 2 3 2 3 2" xfId="2637"/>
    <cellStyle name="Normal 2 2 3 2 3 2 2" xfId="2638"/>
    <cellStyle name="Normal 2 2 3 2 3 2 2 2" xfId="2639"/>
    <cellStyle name="Normal 2 2 3 2 3 2 2 2 2" xfId="7414"/>
    <cellStyle name="Normal 2 2 3 2 3 2 2 3" xfId="5624"/>
    <cellStyle name="Normal 2 2 3 2 3 2 3" xfId="2640"/>
    <cellStyle name="Normal 2 2 3 2 3 2 3 2" xfId="7413"/>
    <cellStyle name="Normal 2 2 3 2 3 2 4" xfId="5623"/>
    <cellStyle name="Normal 2 2 3 2 3 3" xfId="2641"/>
    <cellStyle name="Normal 2 2 3 2 3 3 2" xfId="2642"/>
    <cellStyle name="Normal 2 2 3 2 3 3 2 2" xfId="2643"/>
    <cellStyle name="Normal 2 2 3 2 3 3 2 2 2" xfId="7416"/>
    <cellStyle name="Normal 2 2 3 2 3 3 2 3" xfId="5626"/>
    <cellStyle name="Normal 2 2 3 2 3 3 3" xfId="2644"/>
    <cellStyle name="Normal 2 2 3 2 3 3 3 2" xfId="7415"/>
    <cellStyle name="Normal 2 2 3 2 3 3 4" xfId="5625"/>
    <cellStyle name="Normal 2 2 3 2 3 4" xfId="2645"/>
    <cellStyle name="Normal 2 2 3 2 3 4 2" xfId="2646"/>
    <cellStyle name="Normal 2 2 3 2 3 4 2 2" xfId="7417"/>
    <cellStyle name="Normal 2 2 3 2 3 4 3" xfId="5627"/>
    <cellStyle name="Normal 2 2 3 2 3 5" xfId="2647"/>
    <cellStyle name="Normal 2 2 3 2 3 5 2" xfId="7412"/>
    <cellStyle name="Normal 2 2 3 2 3 6" xfId="5622"/>
    <cellStyle name="Normal 2 2 3 2 3_13008" xfId="2648"/>
    <cellStyle name="Normal 2 2 3 2 4" xfId="2649"/>
    <cellStyle name="Normal 2 2 3 2 4 2" xfId="2650"/>
    <cellStyle name="Normal 2 2 3 2 4 2 2" xfId="2651"/>
    <cellStyle name="Normal 2 2 3 2 4 2 2 2" xfId="7419"/>
    <cellStyle name="Normal 2 2 3 2 4 2 3" xfId="5629"/>
    <cellStyle name="Normal 2 2 3 2 4 3" xfId="2652"/>
    <cellStyle name="Normal 2 2 3 2 4 3 2" xfId="2653"/>
    <cellStyle name="Normal 2 2 3 2 4 3 2 2" xfId="7420"/>
    <cellStyle name="Normal 2 2 3 2 4 3 3" xfId="5630"/>
    <cellStyle name="Normal 2 2 3 2 4 4" xfId="2654"/>
    <cellStyle name="Normal 2 2 3 2 4 4 2" xfId="2655"/>
    <cellStyle name="Normal 2 2 3 2 4 4 2 2" xfId="7421"/>
    <cellStyle name="Normal 2 2 3 2 4 4 3" xfId="5631"/>
    <cellStyle name="Normal 2 2 3 2 4 5" xfId="2656"/>
    <cellStyle name="Normal 2 2 3 2 4 5 2" xfId="7418"/>
    <cellStyle name="Normal 2 2 3 2 4 6" xfId="5628"/>
    <cellStyle name="Normal 2 2 3 2 5" xfId="2657"/>
    <cellStyle name="Normal 2 2 3 2 5 2" xfId="2658"/>
    <cellStyle name="Normal 2 2 3 2 5 2 2" xfId="2659"/>
    <cellStyle name="Normal 2 2 3 2 5 2 2 2" xfId="7423"/>
    <cellStyle name="Normal 2 2 3 2 5 2 3" xfId="5633"/>
    <cellStyle name="Normal 2 2 3 2 5 3" xfId="2660"/>
    <cellStyle name="Normal 2 2 3 2 5 3 2" xfId="2661"/>
    <cellStyle name="Normal 2 2 3 2 5 3 2 2" xfId="7424"/>
    <cellStyle name="Normal 2 2 3 2 5 3 3" xfId="5634"/>
    <cellStyle name="Normal 2 2 3 2 5 4" xfId="2662"/>
    <cellStyle name="Normal 2 2 3 2 5 4 2" xfId="7422"/>
    <cellStyle name="Normal 2 2 3 2 5 5" xfId="5632"/>
    <cellStyle name="Normal 2 2 3 2 6" xfId="2663"/>
    <cellStyle name="Normal 2 2 3 2 6 2" xfId="2664"/>
    <cellStyle name="Normal 2 2 3 2 6 2 2" xfId="7425"/>
    <cellStyle name="Normal 2 2 3 2 6 3" xfId="5635"/>
    <cellStyle name="Normal 2 2 3 2 7" xfId="2665"/>
    <cellStyle name="Normal 2 2 3 2 7 2" xfId="2666"/>
    <cellStyle name="Normal 2 2 3 2 7 2 2" xfId="7426"/>
    <cellStyle name="Normal 2 2 3 2 7 3" xfId="5636"/>
    <cellStyle name="Normal 2 2 3 2 8" xfId="2667"/>
    <cellStyle name="Normal 2 2 3 2 8 2" xfId="2668"/>
    <cellStyle name="Normal 2 2 3 2 8 2 2" xfId="7427"/>
    <cellStyle name="Normal 2 2 3 2 8 3" xfId="5637"/>
    <cellStyle name="Normal 2 2 3 2 9" xfId="2669"/>
    <cellStyle name="Normal 2 2 3 2 9 2" xfId="2670"/>
    <cellStyle name="Normal 2 2 3 2 9 2 2" xfId="7403"/>
    <cellStyle name="Normal 2 2 3 2 9 3" xfId="5613"/>
    <cellStyle name="Normal 2 2 3 2_13008" xfId="2671"/>
    <cellStyle name="Normal 2 2 3 3" xfId="2672"/>
    <cellStyle name="Normal 2 2 3 3 2" xfId="2673"/>
    <cellStyle name="Normal 2 2 3 3 2 2" xfId="2674"/>
    <cellStyle name="Normal 2 2 3 3 2 2 2" xfId="2675"/>
    <cellStyle name="Normal 2 2 3 3 2 2 2 2" xfId="7430"/>
    <cellStyle name="Normal 2 2 3 3 2 2 3" xfId="5640"/>
    <cellStyle name="Normal 2 2 3 3 2 3" xfId="2676"/>
    <cellStyle name="Normal 2 2 3 3 2 4" xfId="2677"/>
    <cellStyle name="Normal 2 2 3 3 2 4 2" xfId="7429"/>
    <cellStyle name="Normal 2 2 3 3 2 5" xfId="5639"/>
    <cellStyle name="Normal 2 2 3 3 3" xfId="2678"/>
    <cellStyle name="Normal 2 2 3 3 3 2" xfId="2679"/>
    <cellStyle name="Normal 2 2 3 3 3 2 2" xfId="2680"/>
    <cellStyle name="Normal 2 2 3 3 3 2 2 2" xfId="7432"/>
    <cellStyle name="Normal 2 2 3 3 3 2 3" xfId="5642"/>
    <cellStyle name="Normal 2 2 3 3 3 3" xfId="2681"/>
    <cellStyle name="Normal 2 2 3 3 3 3 2" xfId="7431"/>
    <cellStyle name="Normal 2 2 3 3 3 4" xfId="5641"/>
    <cellStyle name="Normal 2 2 3 3 4" xfId="2682"/>
    <cellStyle name="Normal 2 2 3 3 4 2" xfId="2683"/>
    <cellStyle name="Normal 2 2 3 3 4 2 2" xfId="7433"/>
    <cellStyle name="Normal 2 2 3 3 4 3" xfId="5643"/>
    <cellStyle name="Normal 2 2 3 3 5" xfId="2684"/>
    <cellStyle name="Normal 2 2 3 3 5 2" xfId="2685"/>
    <cellStyle name="Normal 2 2 3 3 5 2 2" xfId="7434"/>
    <cellStyle name="Normal 2 2 3 3 5 3" xfId="5644"/>
    <cellStyle name="Normal 2 2 3 3 6" xfId="2686"/>
    <cellStyle name="Normal 2 2 3 3 6 2" xfId="2687"/>
    <cellStyle name="Normal 2 2 3 3 6 2 2" xfId="7428"/>
    <cellStyle name="Normal 2 2 3 3 6 3" xfId="5638"/>
    <cellStyle name="Normal 2 2 3 3 7" xfId="2688"/>
    <cellStyle name="Normal 2 2 3 3_13008" xfId="2689"/>
    <cellStyle name="Normal 2 2 3 4" xfId="2690"/>
    <cellStyle name="Normal 2 2 3 4 2" xfId="2691"/>
    <cellStyle name="Normal 2 2 3 4 2 2" xfId="2692"/>
    <cellStyle name="Normal 2 2 3 4 2 2 2" xfId="2693"/>
    <cellStyle name="Normal 2 2 3 4 2 2 2 2" xfId="7437"/>
    <cellStyle name="Normal 2 2 3 4 2 2 3" xfId="5647"/>
    <cellStyle name="Normal 2 2 3 4 2 3" xfId="2694"/>
    <cellStyle name="Normal 2 2 3 4 2 3 2" xfId="2695"/>
    <cellStyle name="Normal 2 2 3 4 2 3 2 2" xfId="7436"/>
    <cellStyle name="Normal 2 2 3 4 2 3 3" xfId="5646"/>
    <cellStyle name="Normal 2 2 3 4 2 4" xfId="2696"/>
    <cellStyle name="Normal 2 2 3 4 2 4 2" xfId="6466"/>
    <cellStyle name="Normal 2 2 3 4 2 5" xfId="4674"/>
    <cellStyle name="Normal 2 2 3 4 3" xfId="2697"/>
    <cellStyle name="Normal 2 2 3 4 3 2" xfId="2698"/>
    <cellStyle name="Normal 2 2 3 4 3 2 2" xfId="2699"/>
    <cellStyle name="Normal 2 2 3 4 3 2 2 2" xfId="7439"/>
    <cellStyle name="Normal 2 2 3 4 3 2 3" xfId="5649"/>
    <cellStyle name="Normal 2 2 3 4 3 3" xfId="2700"/>
    <cellStyle name="Normal 2 2 3 4 3 3 2" xfId="7438"/>
    <cellStyle name="Normal 2 2 3 4 3 4" xfId="5648"/>
    <cellStyle name="Normal 2 2 3 4 4" xfId="2701"/>
    <cellStyle name="Normal 2 2 3 4 4 2" xfId="2702"/>
    <cellStyle name="Normal 2 2 3 4 4 2 2" xfId="7440"/>
    <cellStyle name="Normal 2 2 3 4 4 3" xfId="5650"/>
    <cellStyle name="Normal 2 2 3 4 5" xfId="2703"/>
    <cellStyle name="Normal 2 2 3 4 5 2" xfId="2704"/>
    <cellStyle name="Normal 2 2 3 4 5 2 2" xfId="7435"/>
    <cellStyle name="Normal 2 2 3 4 5 3" xfId="5645"/>
    <cellStyle name="Normal 2 2 3 4 6" xfId="2705"/>
    <cellStyle name="Normal 2 2 3 4 6 2" xfId="6397"/>
    <cellStyle name="Normal 2 2 3 4 7" xfId="4604"/>
    <cellStyle name="Normal 2 2 3 4_13008" xfId="2706"/>
    <cellStyle name="Normal 2 2 3 5" xfId="2707"/>
    <cellStyle name="Normal 2 2 3 5 2" xfId="2708"/>
    <cellStyle name="Normal 2 2 3 5 2 2" xfId="2709"/>
    <cellStyle name="Normal 2 2 3 5 2 2 2" xfId="7442"/>
    <cellStyle name="Normal 2 2 3 5 2 3" xfId="5652"/>
    <cellStyle name="Normal 2 2 3 5 3" xfId="2710"/>
    <cellStyle name="Normal 2 2 3 5 3 2" xfId="2711"/>
    <cellStyle name="Normal 2 2 3 5 3 2 2" xfId="7443"/>
    <cellStyle name="Normal 2 2 3 5 3 3" xfId="5653"/>
    <cellStyle name="Normal 2 2 3 5 4" xfId="2712"/>
    <cellStyle name="Normal 2 2 3 5 4 2" xfId="2713"/>
    <cellStyle name="Normal 2 2 3 5 4 2 2" xfId="7444"/>
    <cellStyle name="Normal 2 2 3 5 4 3" xfId="5654"/>
    <cellStyle name="Normal 2 2 3 5 5" xfId="2714"/>
    <cellStyle name="Normal 2 2 3 5 5 2" xfId="2715"/>
    <cellStyle name="Normal 2 2 3 5 5 2 2" xfId="7441"/>
    <cellStyle name="Normal 2 2 3 5 5 3" xfId="5651"/>
    <cellStyle name="Normal 2 2 3 5 6" xfId="2716"/>
    <cellStyle name="Normal 2 2 3 5 6 2" xfId="6414"/>
    <cellStyle name="Normal 2 2 3 5 7" xfId="4622"/>
    <cellStyle name="Normal 2 2 3 6" xfId="2717"/>
    <cellStyle name="Normal 2 2 3 6 2" xfId="2718"/>
    <cellStyle name="Normal 2 2 3 6 2 2" xfId="2719"/>
    <cellStyle name="Normal 2 2 3 6 2 2 2" xfId="7446"/>
    <cellStyle name="Normal 2 2 3 6 2 3" xfId="5656"/>
    <cellStyle name="Normal 2 2 3 6 3" xfId="2720"/>
    <cellStyle name="Normal 2 2 3 6 3 2" xfId="2721"/>
    <cellStyle name="Normal 2 2 3 6 3 2 2" xfId="7447"/>
    <cellStyle name="Normal 2 2 3 6 3 3" xfId="5657"/>
    <cellStyle name="Normal 2 2 3 6 4" xfId="2722"/>
    <cellStyle name="Normal 2 2 3 6 4 2" xfId="7445"/>
    <cellStyle name="Normal 2 2 3 6 5" xfId="5655"/>
    <cellStyle name="Normal 2 2 3 7" xfId="2723"/>
    <cellStyle name="Normal 2 2 3 7 2" xfId="2724"/>
    <cellStyle name="Normal 2 2 3 7 2 2" xfId="7448"/>
    <cellStyle name="Normal 2 2 3 7 3" xfId="5658"/>
    <cellStyle name="Normal 2 2 3 8" xfId="2725"/>
    <cellStyle name="Normal 2 2 3 8 2" xfId="2726"/>
    <cellStyle name="Normal 2 2 3 8 2 2" xfId="7449"/>
    <cellStyle name="Normal 2 2 3 8 3" xfId="5659"/>
    <cellStyle name="Normal 2 2 3 9" xfId="2727"/>
    <cellStyle name="Normal 2 2 3 9 2" xfId="2728"/>
    <cellStyle name="Normal 2 2 3 9 2 2" xfId="7450"/>
    <cellStyle name="Normal 2 2 3 9 3" xfId="5660"/>
    <cellStyle name="Normal 2 2 3_13008" xfId="2729"/>
    <cellStyle name="Normal 2 2 4" xfId="2730"/>
    <cellStyle name="Normal 2 2 4 10" xfId="4501"/>
    <cellStyle name="Normal 2 2 4 2" xfId="2731"/>
    <cellStyle name="Normal 2 2 4 2 2" xfId="2732"/>
    <cellStyle name="Normal 2 2 4 2 2 2" xfId="2733"/>
    <cellStyle name="Normal 2 2 4 2 2 2 2" xfId="2734"/>
    <cellStyle name="Normal 2 2 4 2 2 2 2 2" xfId="7454"/>
    <cellStyle name="Normal 2 2 4 2 2 2 3" xfId="5664"/>
    <cellStyle name="Normal 2 2 4 2 2 3" xfId="2735"/>
    <cellStyle name="Normal 2 2 4 2 2 3 2" xfId="2736"/>
    <cellStyle name="Normal 2 2 4 2 2 3 2 2" xfId="7455"/>
    <cellStyle name="Normal 2 2 4 2 2 3 3" xfId="5665"/>
    <cellStyle name="Normal 2 2 4 2 2 4" xfId="2737"/>
    <cellStyle name="Normal 2 2 4 2 2 4 2" xfId="7453"/>
    <cellStyle name="Normal 2 2 4 2 2 5" xfId="5663"/>
    <cellStyle name="Normal 2 2 4 2 3" xfId="2738"/>
    <cellStyle name="Normal 2 2 4 2 3 2" xfId="2739"/>
    <cellStyle name="Normal 2 2 4 2 3 2 2" xfId="2740"/>
    <cellStyle name="Normal 2 2 4 2 3 2 2 2" xfId="7457"/>
    <cellStyle name="Normal 2 2 4 2 3 2 3" xfId="5667"/>
    <cellStyle name="Normal 2 2 4 2 3 3" xfId="2741"/>
    <cellStyle name="Normal 2 2 4 2 3 3 2" xfId="7456"/>
    <cellStyle name="Normal 2 2 4 2 3 4" xfId="5666"/>
    <cellStyle name="Normal 2 2 4 2 4" xfId="2742"/>
    <cellStyle name="Normal 2 2 4 2 4 2" xfId="2743"/>
    <cellStyle name="Normal 2 2 4 2 4 2 2" xfId="7458"/>
    <cellStyle name="Normal 2 2 4 2 4 3" xfId="5668"/>
    <cellStyle name="Normal 2 2 4 2 5" xfId="2744"/>
    <cellStyle name="Normal 2 2 4 2 5 2" xfId="2745"/>
    <cellStyle name="Normal 2 2 4 2 5 2 2" xfId="7459"/>
    <cellStyle name="Normal 2 2 4 2 5 3" xfId="5669"/>
    <cellStyle name="Normal 2 2 4 2 6" xfId="2746"/>
    <cellStyle name="Normal 2 2 4 2 6 2" xfId="2747"/>
    <cellStyle name="Normal 2 2 4 2 6 2 2" xfId="7452"/>
    <cellStyle name="Normal 2 2 4 2 6 3" xfId="5662"/>
    <cellStyle name="Normal 2 2 4 2 7" xfId="2748"/>
    <cellStyle name="Normal 2 2 4 2 7 2" xfId="6424"/>
    <cellStyle name="Normal 2 2 4 2 8" xfId="4632"/>
    <cellStyle name="Normal 2 2 4 2_13008" xfId="2749"/>
    <cellStyle name="Normal 2 2 4 3" xfId="2750"/>
    <cellStyle name="Normal 2 2 4 3 2" xfId="2751"/>
    <cellStyle name="Normal 2 2 4 3 2 2" xfId="2752"/>
    <cellStyle name="Normal 2 2 4 3 2 2 2" xfId="2753"/>
    <cellStyle name="Normal 2 2 4 3 2 2 2 2" xfId="7462"/>
    <cellStyle name="Normal 2 2 4 3 2 2 3" xfId="5672"/>
    <cellStyle name="Normal 2 2 4 3 2 3" xfId="2754"/>
    <cellStyle name="Normal 2 2 4 3 2 3 2" xfId="7461"/>
    <cellStyle name="Normal 2 2 4 3 2 4" xfId="5671"/>
    <cellStyle name="Normal 2 2 4 3 3" xfId="2755"/>
    <cellStyle name="Normal 2 2 4 3 3 2" xfId="2756"/>
    <cellStyle name="Normal 2 2 4 3 3 2 2" xfId="2757"/>
    <cellStyle name="Normal 2 2 4 3 3 2 2 2" xfId="7464"/>
    <cellStyle name="Normal 2 2 4 3 3 2 3" xfId="5674"/>
    <cellStyle name="Normal 2 2 4 3 3 3" xfId="2758"/>
    <cellStyle name="Normal 2 2 4 3 3 3 2" xfId="7463"/>
    <cellStyle name="Normal 2 2 4 3 3 4" xfId="5673"/>
    <cellStyle name="Normal 2 2 4 3 4" xfId="2759"/>
    <cellStyle name="Normal 2 2 4 3 4 2" xfId="2760"/>
    <cellStyle name="Normal 2 2 4 3 4 2 2" xfId="7465"/>
    <cellStyle name="Normal 2 2 4 3 4 3" xfId="5675"/>
    <cellStyle name="Normal 2 2 4 3 5" xfId="2761"/>
    <cellStyle name="Normal 2 2 4 3 5 2" xfId="7460"/>
    <cellStyle name="Normal 2 2 4 3 6" xfId="5670"/>
    <cellStyle name="Normal 2 2 4 3_13008" xfId="2762"/>
    <cellStyle name="Normal 2 2 4 4" xfId="2763"/>
    <cellStyle name="Normal 2 2 4 4 2" xfId="2764"/>
    <cellStyle name="Normal 2 2 4 4 2 2" xfId="2765"/>
    <cellStyle name="Normal 2 2 4 4 2 2 2" xfId="7467"/>
    <cellStyle name="Normal 2 2 4 4 2 3" xfId="5677"/>
    <cellStyle name="Normal 2 2 4 4 3" xfId="2766"/>
    <cellStyle name="Normal 2 2 4 4 3 2" xfId="2767"/>
    <cellStyle name="Normal 2 2 4 4 3 2 2" xfId="7468"/>
    <cellStyle name="Normal 2 2 4 4 3 3" xfId="5678"/>
    <cellStyle name="Normal 2 2 4 4 4" xfId="2768"/>
    <cellStyle name="Normal 2 2 4 4 4 2" xfId="7466"/>
    <cellStyle name="Normal 2 2 4 4 5" xfId="5676"/>
    <cellStyle name="Normal 2 2 4 5" xfId="2769"/>
    <cellStyle name="Normal 2 2 4 5 2" xfId="2770"/>
    <cellStyle name="Normal 2 2 4 5 2 2" xfId="2771"/>
    <cellStyle name="Normal 2 2 4 5 2 2 2" xfId="7470"/>
    <cellStyle name="Normal 2 2 4 5 2 3" xfId="5680"/>
    <cellStyle name="Normal 2 2 4 5 3" xfId="2772"/>
    <cellStyle name="Normal 2 2 4 5 3 2" xfId="7469"/>
    <cellStyle name="Normal 2 2 4 5 4" xfId="5679"/>
    <cellStyle name="Normal 2 2 4 6" xfId="2773"/>
    <cellStyle name="Normal 2 2 4 6 2" xfId="2774"/>
    <cellStyle name="Normal 2 2 4 6 2 2" xfId="7471"/>
    <cellStyle name="Normal 2 2 4 6 3" xfId="5681"/>
    <cellStyle name="Normal 2 2 4 7" xfId="2775"/>
    <cellStyle name="Normal 2 2 4 7 2" xfId="2776"/>
    <cellStyle name="Normal 2 2 4 7 2 2" xfId="7472"/>
    <cellStyle name="Normal 2 2 4 7 3" xfId="5682"/>
    <cellStyle name="Normal 2 2 4 8" xfId="2777"/>
    <cellStyle name="Normal 2 2 4 8 2" xfId="2778"/>
    <cellStyle name="Normal 2 2 4 8 2 2" xfId="7451"/>
    <cellStyle name="Normal 2 2 4 8 3" xfId="5661"/>
    <cellStyle name="Normal 2 2 4 9" xfId="2779"/>
    <cellStyle name="Normal 2 2 4 9 2" xfId="6355"/>
    <cellStyle name="Normal 2 2 4_13008" xfId="2780"/>
    <cellStyle name="Normal 2 2 5" xfId="2781"/>
    <cellStyle name="Normal 2 2 5 2" xfId="2782"/>
    <cellStyle name="Normal 2 2 5 2 2" xfId="2783"/>
    <cellStyle name="Normal 2 2 5 2 2 2" xfId="2784"/>
    <cellStyle name="Normal 2 2 5 2 2 2 2" xfId="7475"/>
    <cellStyle name="Normal 2 2 5 2 2 3" xfId="5685"/>
    <cellStyle name="Normal 2 2 5 2 3" xfId="2785"/>
    <cellStyle name="Normal 2 2 5 2 3 2" xfId="2786"/>
    <cellStyle name="Normal 2 2 5 2 3 2 2" xfId="7476"/>
    <cellStyle name="Normal 2 2 5 2 3 3" xfId="5686"/>
    <cellStyle name="Normal 2 2 5 2 4" xfId="2787"/>
    <cellStyle name="Normal 2 2 5 2 4 2" xfId="7474"/>
    <cellStyle name="Normal 2 2 5 2 5" xfId="5684"/>
    <cellStyle name="Normal 2 2 5 3" xfId="2788"/>
    <cellStyle name="Normal 2 2 5 3 2" xfId="2789"/>
    <cellStyle name="Normal 2 2 5 3 2 2" xfId="2790"/>
    <cellStyle name="Normal 2 2 5 3 2 2 2" xfId="7478"/>
    <cellStyle name="Normal 2 2 5 3 2 3" xfId="5688"/>
    <cellStyle name="Normal 2 2 5 3 3" xfId="2791"/>
    <cellStyle name="Normal 2 2 5 3 3 2" xfId="7477"/>
    <cellStyle name="Normal 2 2 5 3 4" xfId="5687"/>
    <cellStyle name="Normal 2 2 5 4" xfId="2792"/>
    <cellStyle name="Normal 2 2 5 4 2" xfId="2793"/>
    <cellStyle name="Normal 2 2 5 4 2 2" xfId="7479"/>
    <cellStyle name="Normal 2 2 5 4 3" xfId="5689"/>
    <cellStyle name="Normal 2 2 5 5" xfId="2794"/>
    <cellStyle name="Normal 2 2 5 5 2" xfId="2795"/>
    <cellStyle name="Normal 2 2 5 5 2 2" xfId="7480"/>
    <cellStyle name="Normal 2 2 5 5 3" xfId="5690"/>
    <cellStyle name="Normal 2 2 5 6" xfId="2796"/>
    <cellStyle name="Normal 2 2 5 6 2" xfId="2797"/>
    <cellStyle name="Normal 2 2 5 6 2 2" xfId="7473"/>
    <cellStyle name="Normal 2 2 5 6 3" xfId="5683"/>
    <cellStyle name="Normal 2 2 5 7" xfId="2798"/>
    <cellStyle name="Normal 2 2 5_13008" xfId="2799"/>
    <cellStyle name="Normal 2 2 6" xfId="2800"/>
    <cellStyle name="Normal 2 2 6 2" xfId="2801"/>
    <cellStyle name="Normal 2 2 6 2 2" xfId="2802"/>
    <cellStyle name="Normal 2 2 6 2 2 2" xfId="2803"/>
    <cellStyle name="Normal 2 2 6 2 2 2 2" xfId="7483"/>
    <cellStyle name="Normal 2 2 6 2 2 3" xfId="5693"/>
    <cellStyle name="Normal 2 2 6 2 3" xfId="2804"/>
    <cellStyle name="Normal 2 2 6 2 3 2" xfId="2805"/>
    <cellStyle name="Normal 2 2 6 2 3 2 2" xfId="7482"/>
    <cellStyle name="Normal 2 2 6 2 3 3" xfId="5692"/>
    <cellStyle name="Normal 2 2 6 2 4" xfId="2806"/>
    <cellStyle name="Normal 2 2 6 2 4 2" xfId="6462"/>
    <cellStyle name="Normal 2 2 6 2 5" xfId="4670"/>
    <cellStyle name="Normal 2 2 6 3" xfId="2807"/>
    <cellStyle name="Normal 2 2 6 3 2" xfId="2808"/>
    <cellStyle name="Normal 2 2 6 3 2 2" xfId="2809"/>
    <cellStyle name="Normal 2 2 6 3 2 2 2" xfId="7485"/>
    <cellStyle name="Normal 2 2 6 3 2 3" xfId="5695"/>
    <cellStyle name="Normal 2 2 6 3 3" xfId="2810"/>
    <cellStyle name="Normal 2 2 6 3 3 2" xfId="7484"/>
    <cellStyle name="Normal 2 2 6 3 4" xfId="5694"/>
    <cellStyle name="Normal 2 2 6 4" xfId="2811"/>
    <cellStyle name="Normal 2 2 6 4 2" xfId="2812"/>
    <cellStyle name="Normal 2 2 6 4 2 2" xfId="7486"/>
    <cellStyle name="Normal 2 2 6 4 3" xfId="5696"/>
    <cellStyle name="Normal 2 2 6 5" xfId="2813"/>
    <cellStyle name="Normal 2 2 6 5 2" xfId="2814"/>
    <cellStyle name="Normal 2 2 6 5 2 2" xfId="7481"/>
    <cellStyle name="Normal 2 2 6 5 3" xfId="5691"/>
    <cellStyle name="Normal 2 2 6 6" xfId="2815"/>
    <cellStyle name="Normal 2 2 6 6 2" xfId="6393"/>
    <cellStyle name="Normal 2 2 6 7" xfId="4600"/>
    <cellStyle name="Normal 2 2 6_13008" xfId="2816"/>
    <cellStyle name="Normal 2 2 7" xfId="2817"/>
    <cellStyle name="Normal 2 2 7 2" xfId="2818"/>
    <cellStyle name="Normal 2 2 7 2 2" xfId="2819"/>
    <cellStyle name="Normal 2 2 7 2 2 2" xfId="2820"/>
    <cellStyle name="Normal 2 2 7 2 2 2 2" xfId="7489"/>
    <cellStyle name="Normal 2 2 7 2 2 3" xfId="5699"/>
    <cellStyle name="Normal 2 2 7 2 3" xfId="2821"/>
    <cellStyle name="Normal 2 2 7 2 3 2" xfId="7488"/>
    <cellStyle name="Normal 2 2 7 2 4" xfId="5698"/>
    <cellStyle name="Normal 2 2 7 3" xfId="2822"/>
    <cellStyle name="Normal 2 2 7 3 2" xfId="2823"/>
    <cellStyle name="Normal 2 2 7 3 2 2" xfId="2824"/>
    <cellStyle name="Normal 2 2 7 3 2 2 2" xfId="7491"/>
    <cellStyle name="Normal 2 2 7 3 2 3" xfId="5701"/>
    <cellStyle name="Normal 2 2 7 3 3" xfId="2825"/>
    <cellStyle name="Normal 2 2 7 3 3 2" xfId="7490"/>
    <cellStyle name="Normal 2 2 7 3 4" xfId="5700"/>
    <cellStyle name="Normal 2 2 7 4" xfId="2826"/>
    <cellStyle name="Normal 2 2 7 4 2" xfId="2827"/>
    <cellStyle name="Normal 2 2 7 4 2 2" xfId="7492"/>
    <cellStyle name="Normal 2 2 7 4 3" xfId="5702"/>
    <cellStyle name="Normal 2 2 7 5" xfId="2828"/>
    <cellStyle name="Normal 2 2 7 5 2" xfId="2829"/>
    <cellStyle name="Normal 2 2 7 5 2 2" xfId="7487"/>
    <cellStyle name="Normal 2 2 7 5 3" xfId="5697"/>
    <cellStyle name="Normal 2 2 7 6" xfId="2830"/>
    <cellStyle name="Normal 2 2 7 6 2" xfId="6410"/>
    <cellStyle name="Normal 2 2 7 7" xfId="4618"/>
    <cellStyle name="Normal 2 2 7_13008" xfId="2831"/>
    <cellStyle name="Normal 2 2 8" xfId="2832"/>
    <cellStyle name="Normal 2 2 8 2" xfId="2833"/>
    <cellStyle name="Normal 2 2 8 2 2" xfId="2834"/>
    <cellStyle name="Normal 2 2 8 2 2 2" xfId="7494"/>
    <cellStyle name="Normal 2 2 8 2 3" xfId="5704"/>
    <cellStyle name="Normal 2 2 8 3" xfId="2835"/>
    <cellStyle name="Normal 2 2 8 3 2" xfId="2836"/>
    <cellStyle name="Normal 2 2 8 3 2 2" xfId="7495"/>
    <cellStyle name="Normal 2 2 8 3 3" xfId="5705"/>
    <cellStyle name="Normal 2 2 8 4" xfId="2837"/>
    <cellStyle name="Normal 2 2 8 4 2" xfId="7493"/>
    <cellStyle name="Normal 2 2 8 5" xfId="5703"/>
    <cellStyle name="Normal 2 2 9" xfId="2838"/>
    <cellStyle name="Normal 2 2 9 2" xfId="2839"/>
    <cellStyle name="Normal 2 2 9 2 2" xfId="2840"/>
    <cellStyle name="Normal 2 2 9 2 2 2" xfId="7497"/>
    <cellStyle name="Normal 2 2 9 2 3" xfId="5707"/>
    <cellStyle name="Normal 2 2 9 3" xfId="2841"/>
    <cellStyle name="Normal 2 2 9 3 2" xfId="7496"/>
    <cellStyle name="Normal 2 2 9 4" xfId="5706"/>
    <cellStyle name="Normal 2 2_10051" xfId="2842"/>
    <cellStyle name="Normal 2 20" xfId="4481"/>
    <cellStyle name="Normal 2 3" xfId="2843"/>
    <cellStyle name="Normal 2 3 2" xfId="2844"/>
    <cellStyle name="Normal 2 3 3" xfId="2845"/>
    <cellStyle name="Normal 2 3 4" xfId="2846"/>
    <cellStyle name="Normal 2 3 4 2" xfId="2847"/>
    <cellStyle name="Normal 2 3 4 2 2" xfId="2848"/>
    <cellStyle name="Normal 2 3 4 2 2 2" xfId="7499"/>
    <cellStyle name="Normal 2 3 4 2 3" xfId="5709"/>
    <cellStyle name="Normal 2 3 4 3" xfId="2849"/>
    <cellStyle name="Normal 2 3 4 3 2" xfId="2850"/>
    <cellStyle name="Normal 2 3 4 3 2 2" xfId="7500"/>
    <cellStyle name="Normal 2 3 4 3 3" xfId="5710"/>
    <cellStyle name="Normal 2 3 4 4" xfId="2851"/>
    <cellStyle name="Normal 2 3 4 4 2" xfId="7498"/>
    <cellStyle name="Normal 2 3 4 5" xfId="5708"/>
    <cellStyle name="Normal 2 3 4_13008" xfId="2852"/>
    <cellStyle name="Normal 2 3 5" xfId="2853"/>
    <cellStyle name="Normal 2 3 5 2" xfId="2854"/>
    <cellStyle name="Normal 2 3 5 2 2" xfId="7501"/>
    <cellStyle name="Normal 2 3 5 3" xfId="5711"/>
    <cellStyle name="Normal 2 3_20300" xfId="2855"/>
    <cellStyle name="Normal 2 4" xfId="2856"/>
    <cellStyle name="Normal 2 4 2" xfId="2857"/>
    <cellStyle name="Normal 2 4 2 2" xfId="2858"/>
    <cellStyle name="Normal 2 4 3" xfId="2859"/>
    <cellStyle name="Normal 2 5" xfId="2860"/>
    <cellStyle name="Normal 2 5 2" xfId="2861"/>
    <cellStyle name="Normal 2 6" xfId="2862"/>
    <cellStyle name="Normal 2 6 2" xfId="2863"/>
    <cellStyle name="Normal 2 6 2 2" xfId="2864"/>
    <cellStyle name="Normal 2 6 2 3" xfId="2865"/>
    <cellStyle name="Normal 2 6 2 3 2" xfId="2866"/>
    <cellStyle name="Normal 2 6 2 3 2 2" xfId="7504"/>
    <cellStyle name="Normal 2 6 2 3 3" xfId="5714"/>
    <cellStyle name="Normal 2 6 2 4" xfId="2867"/>
    <cellStyle name="Normal 2 6 2 4 2" xfId="7503"/>
    <cellStyle name="Normal 2 6 2 5" xfId="5713"/>
    <cellStyle name="Normal 2 6 2_13008" xfId="2868"/>
    <cellStyle name="Normal 2 6 3" xfId="2869"/>
    <cellStyle name="Normal 2 6 3 2" xfId="2870"/>
    <cellStyle name="Normal 2 6 3 2 2" xfId="2871"/>
    <cellStyle name="Normal 2 6 3 2 2 2" xfId="7506"/>
    <cellStyle name="Normal 2 6 3 2 3" xfId="5716"/>
    <cellStyle name="Normal 2 6 3 3" xfId="2872"/>
    <cellStyle name="Normal 2 6 3 3 2" xfId="2873"/>
    <cellStyle name="Normal 2 6 3 3 2 2" xfId="7507"/>
    <cellStyle name="Normal 2 6 3 3 3" xfId="5717"/>
    <cellStyle name="Normal 2 6 3 4" xfId="2874"/>
    <cellStyle name="Normal 2 6 3 4 2" xfId="7505"/>
    <cellStyle name="Normal 2 6 3 5" xfId="5715"/>
    <cellStyle name="Normal 2 6 3_13008" xfId="2875"/>
    <cellStyle name="Normal 2 6 4" xfId="2876"/>
    <cellStyle name="Normal 2 6 4 2" xfId="2877"/>
    <cellStyle name="Normal 2 6 4 2 2" xfId="7508"/>
    <cellStyle name="Normal 2 6 4 3" xfId="5718"/>
    <cellStyle name="Normal 2 6 5" xfId="2878"/>
    <cellStyle name="Normal 2 6 5 2" xfId="2879"/>
    <cellStyle name="Normal 2 6 5 2 2" xfId="7509"/>
    <cellStyle name="Normal 2 6 5 3" xfId="5719"/>
    <cellStyle name="Normal 2 6 6" xfId="2880"/>
    <cellStyle name="Normal 2 6 6 2" xfId="2881"/>
    <cellStyle name="Normal 2 6 6 2 2" xfId="7502"/>
    <cellStyle name="Normal 2 6 6 3" xfId="5712"/>
    <cellStyle name="Normal 2 6 7" xfId="2882"/>
    <cellStyle name="Normal 2 6 8" xfId="4617"/>
    <cellStyle name="Normal 2 6_13008" xfId="2883"/>
    <cellStyle name="Normal 2 7" xfId="2884"/>
    <cellStyle name="Normal 2 7 2" xfId="2885"/>
    <cellStyle name="Normal 2 8" xfId="2886"/>
    <cellStyle name="Normal 2 9" xfId="2887"/>
    <cellStyle name="Normal 2_&lt;2&gt; Bonney Lake" xfId="2888"/>
    <cellStyle name="Normal 20" xfId="2889"/>
    <cellStyle name="Normal 20 2" xfId="2890"/>
    <cellStyle name="Normal 20 3" xfId="2891"/>
    <cellStyle name="Normal 20 4" xfId="2892"/>
    <cellStyle name="Normal 21" xfId="2893"/>
    <cellStyle name="Normal 21 2" xfId="2894"/>
    <cellStyle name="Normal 21 3" xfId="2895"/>
    <cellStyle name="Normal 21 4" xfId="2896"/>
    <cellStyle name="Normal 22" xfId="2897"/>
    <cellStyle name="Normal 22 2" xfId="2898"/>
    <cellStyle name="Normal 22 3" xfId="2899"/>
    <cellStyle name="Normal 23" xfId="2900"/>
    <cellStyle name="Normal 23 2" xfId="2901"/>
    <cellStyle name="Normal 24" xfId="2902"/>
    <cellStyle name="Normal 24 2" xfId="2903"/>
    <cellStyle name="Normal 24 2 2" xfId="2904"/>
    <cellStyle name="Normal 24 3" xfId="2905"/>
    <cellStyle name="Normal 24 3 2" xfId="2906"/>
    <cellStyle name="Normal 24 3 2 2" xfId="7510"/>
    <cellStyle name="Normal 24 3 3" xfId="5720"/>
    <cellStyle name="Normal 24 4" xfId="2907"/>
    <cellStyle name="Normal 24 4 2" xfId="2908"/>
    <cellStyle name="Normal 24 4 2 2" xfId="7511"/>
    <cellStyle name="Normal 24 4 3" xfId="5721"/>
    <cellStyle name="Normal 24 5" xfId="2909"/>
    <cellStyle name="Normal 24_13008" xfId="2910"/>
    <cellStyle name="Normal 25" xfId="2911"/>
    <cellStyle name="Normal 25 2" xfId="2912"/>
    <cellStyle name="Normal 25 3" xfId="2913"/>
    <cellStyle name="Normal 25 3 2" xfId="2914"/>
    <cellStyle name="Normal 25 3 2 2" xfId="7512"/>
    <cellStyle name="Normal 25 3 3" xfId="5722"/>
    <cellStyle name="Normal 25 4" xfId="2915"/>
    <cellStyle name="Normal 25 4 2" xfId="2916"/>
    <cellStyle name="Normal 25 4 2 2" xfId="7513"/>
    <cellStyle name="Normal 25 4 3" xfId="5723"/>
    <cellStyle name="Normal 25 5" xfId="2917"/>
    <cellStyle name="Normal 25_13008" xfId="2918"/>
    <cellStyle name="Normal 26" xfId="2919"/>
    <cellStyle name="Normal 26 2" xfId="2920"/>
    <cellStyle name="Normal 26 3" xfId="2921"/>
    <cellStyle name="Normal 27" xfId="2922"/>
    <cellStyle name="Normal 27 2" xfId="2923"/>
    <cellStyle name="Normal 27 3" xfId="2924"/>
    <cellStyle name="Normal 28" xfId="2925"/>
    <cellStyle name="Normal 28 2" xfId="2926"/>
    <cellStyle name="Normal 28 2 2" xfId="2927"/>
    <cellStyle name="Normal 28 2 2 2" xfId="7514"/>
    <cellStyle name="Normal 28 2 3" xfId="5724"/>
    <cellStyle name="Normal 28 3" xfId="2928"/>
    <cellStyle name="Normal 29" xfId="2929"/>
    <cellStyle name="Normal 29 2" xfId="2930"/>
    <cellStyle name="Normal 3" xfId="2931"/>
    <cellStyle name="Normal 3 2" xfId="2932"/>
    <cellStyle name="Normal 3 2 10" xfId="2933"/>
    <cellStyle name="Normal 3 2 10 2" xfId="2934"/>
    <cellStyle name="Normal 3 2 10 2 2" xfId="7515"/>
    <cellStyle name="Normal 3 2 10 3" xfId="5725"/>
    <cellStyle name="Normal 3 2 11" xfId="2935"/>
    <cellStyle name="Normal 3 2 11 2" xfId="6348"/>
    <cellStyle name="Normal 3 2 12" xfId="4489"/>
    <cellStyle name="Normal 3 2 2" xfId="2936"/>
    <cellStyle name="Normal 3 2 2 10" xfId="2937"/>
    <cellStyle name="Normal 3 2 2 10 2" xfId="6362"/>
    <cellStyle name="Normal 3 2 2 11" xfId="4508"/>
    <cellStyle name="Normal 3 2 2 2" xfId="2938"/>
    <cellStyle name="Normal 3 2 2 2 2" xfId="2939"/>
    <cellStyle name="Normal 3 2 2 2 2 2" xfId="2940"/>
    <cellStyle name="Normal 3 2 2 2 2 2 2" xfId="2941"/>
    <cellStyle name="Normal 3 2 2 2 2 2 2 2" xfId="7519"/>
    <cellStyle name="Normal 3 2 2 2 2 2 3" xfId="5729"/>
    <cellStyle name="Normal 3 2 2 2 2 3" xfId="2942"/>
    <cellStyle name="Normal 3 2 2 2 2 3 2" xfId="2943"/>
    <cellStyle name="Normal 3 2 2 2 2 3 2 2" xfId="7520"/>
    <cellStyle name="Normal 3 2 2 2 2 3 3" xfId="5730"/>
    <cellStyle name="Normal 3 2 2 2 2 4" xfId="2944"/>
    <cellStyle name="Normal 3 2 2 2 2 4 2" xfId="7518"/>
    <cellStyle name="Normal 3 2 2 2 2 5" xfId="5728"/>
    <cellStyle name="Normal 3 2 2 2 3" xfId="2945"/>
    <cellStyle name="Normal 3 2 2 2 3 2" xfId="2946"/>
    <cellStyle name="Normal 3 2 2 2 3 2 2" xfId="2947"/>
    <cellStyle name="Normal 3 2 2 2 3 2 2 2" xfId="7522"/>
    <cellStyle name="Normal 3 2 2 2 3 2 3" xfId="5732"/>
    <cellStyle name="Normal 3 2 2 2 3 3" xfId="2948"/>
    <cellStyle name="Normal 3 2 2 2 3 3 2" xfId="7521"/>
    <cellStyle name="Normal 3 2 2 2 3 4" xfId="5731"/>
    <cellStyle name="Normal 3 2 2 2 4" xfId="2949"/>
    <cellStyle name="Normal 3 2 2 2 4 2" xfId="2950"/>
    <cellStyle name="Normal 3 2 2 2 4 2 2" xfId="7523"/>
    <cellStyle name="Normal 3 2 2 2 4 3" xfId="5733"/>
    <cellStyle name="Normal 3 2 2 2 5" xfId="2951"/>
    <cellStyle name="Normal 3 2 2 2 5 2" xfId="2952"/>
    <cellStyle name="Normal 3 2 2 2 5 2 2" xfId="7524"/>
    <cellStyle name="Normal 3 2 2 2 5 3" xfId="5734"/>
    <cellStyle name="Normal 3 2 2 2 6" xfId="2953"/>
    <cellStyle name="Normal 3 2 2 2 6 2" xfId="2954"/>
    <cellStyle name="Normal 3 2 2 2 6 2 2" xfId="7517"/>
    <cellStyle name="Normal 3 2 2 2 6 3" xfId="5727"/>
    <cellStyle name="Normal 3 2 2 2 7" xfId="2955"/>
    <cellStyle name="Normal 3 2 2 2 7 2" xfId="6431"/>
    <cellStyle name="Normal 3 2 2 2 8" xfId="4639"/>
    <cellStyle name="Normal 3 2 2 2_13008" xfId="2956"/>
    <cellStyle name="Normal 3 2 2 3" xfId="2957"/>
    <cellStyle name="Normal 3 2 2 3 2" xfId="2958"/>
    <cellStyle name="Normal 3 2 2 3 2 2" xfId="2959"/>
    <cellStyle name="Normal 3 2 2 3 2 2 2" xfId="2960"/>
    <cellStyle name="Normal 3 2 2 3 2 2 2 2" xfId="7527"/>
    <cellStyle name="Normal 3 2 2 3 2 2 3" xfId="5737"/>
    <cellStyle name="Normal 3 2 2 3 2 3" xfId="2961"/>
    <cellStyle name="Normal 3 2 2 3 2 3 2" xfId="7526"/>
    <cellStyle name="Normal 3 2 2 3 2 4" xfId="5736"/>
    <cellStyle name="Normal 3 2 2 3 3" xfId="2962"/>
    <cellStyle name="Normal 3 2 2 3 3 2" xfId="2963"/>
    <cellStyle name="Normal 3 2 2 3 3 2 2" xfId="2964"/>
    <cellStyle name="Normal 3 2 2 3 3 2 2 2" xfId="7529"/>
    <cellStyle name="Normal 3 2 2 3 3 2 3" xfId="5739"/>
    <cellStyle name="Normal 3 2 2 3 3 3" xfId="2965"/>
    <cellStyle name="Normal 3 2 2 3 3 3 2" xfId="7528"/>
    <cellStyle name="Normal 3 2 2 3 3 4" xfId="5738"/>
    <cellStyle name="Normal 3 2 2 3 4" xfId="2966"/>
    <cellStyle name="Normal 3 2 2 3 4 2" xfId="2967"/>
    <cellStyle name="Normal 3 2 2 3 4 2 2" xfId="7530"/>
    <cellStyle name="Normal 3 2 2 3 4 3" xfId="5740"/>
    <cellStyle name="Normal 3 2 2 3 5" xfId="2968"/>
    <cellStyle name="Normal 3 2 2 3 5 2" xfId="7525"/>
    <cellStyle name="Normal 3 2 2 3 6" xfId="5735"/>
    <cellStyle name="Normal 3 2 2 3_13008" xfId="2969"/>
    <cellStyle name="Normal 3 2 2 4" xfId="2970"/>
    <cellStyle name="Normal 3 2 2 4 2" xfId="2971"/>
    <cellStyle name="Normal 3 2 2 4 2 2" xfId="2972"/>
    <cellStyle name="Normal 3 2 2 4 2 2 2" xfId="7532"/>
    <cellStyle name="Normal 3 2 2 4 2 3" xfId="5742"/>
    <cellStyle name="Normal 3 2 2 4 3" xfId="2973"/>
    <cellStyle name="Normal 3 2 2 4 3 2" xfId="2974"/>
    <cellStyle name="Normal 3 2 2 4 3 2 2" xfId="7533"/>
    <cellStyle name="Normal 3 2 2 4 3 3" xfId="5743"/>
    <cellStyle name="Normal 3 2 2 4 4" xfId="2975"/>
    <cellStyle name="Normal 3 2 2 4 4 2" xfId="2976"/>
    <cellStyle name="Normal 3 2 2 4 4 2 2" xfId="7534"/>
    <cellStyle name="Normal 3 2 2 4 4 3" xfId="5744"/>
    <cellStyle name="Normal 3 2 2 4 5" xfId="2977"/>
    <cellStyle name="Normal 3 2 2 4 5 2" xfId="7531"/>
    <cellStyle name="Normal 3 2 2 4 6" xfId="5741"/>
    <cellStyle name="Normal 3 2 2 5" xfId="2978"/>
    <cellStyle name="Normal 3 2 2 5 2" xfId="2979"/>
    <cellStyle name="Normal 3 2 2 5 2 2" xfId="2980"/>
    <cellStyle name="Normal 3 2 2 5 2 2 2" xfId="7536"/>
    <cellStyle name="Normal 3 2 2 5 2 3" xfId="5746"/>
    <cellStyle name="Normal 3 2 2 5 3" xfId="2981"/>
    <cellStyle name="Normal 3 2 2 5 3 2" xfId="2982"/>
    <cellStyle name="Normal 3 2 2 5 3 2 2" xfId="7537"/>
    <cellStyle name="Normal 3 2 2 5 3 3" xfId="5747"/>
    <cellStyle name="Normal 3 2 2 5 4" xfId="2983"/>
    <cellStyle name="Normal 3 2 2 5 4 2" xfId="7535"/>
    <cellStyle name="Normal 3 2 2 5 5" xfId="5745"/>
    <cellStyle name="Normal 3 2 2 6" xfId="2984"/>
    <cellStyle name="Normal 3 2 2 6 2" xfId="2985"/>
    <cellStyle name="Normal 3 2 2 6 2 2" xfId="7538"/>
    <cellStyle name="Normal 3 2 2 6 3" xfId="5748"/>
    <cellStyle name="Normal 3 2 2 7" xfId="2986"/>
    <cellStyle name="Normal 3 2 2 7 2" xfId="2987"/>
    <cellStyle name="Normal 3 2 2 7 2 2" xfId="7539"/>
    <cellStyle name="Normal 3 2 2 7 3" xfId="5749"/>
    <cellStyle name="Normal 3 2 2 8" xfId="2988"/>
    <cellStyle name="Normal 3 2 2 8 2" xfId="2989"/>
    <cellStyle name="Normal 3 2 2 8 2 2" xfId="7540"/>
    <cellStyle name="Normal 3 2 2 8 3" xfId="5750"/>
    <cellStyle name="Normal 3 2 2 9" xfId="2990"/>
    <cellStyle name="Normal 3 2 2 9 2" xfId="2991"/>
    <cellStyle name="Normal 3 2 2 9 2 2" xfId="7516"/>
    <cellStyle name="Normal 3 2 2 9 3" xfId="5726"/>
    <cellStyle name="Normal 3 2 2_13008" xfId="2992"/>
    <cellStyle name="Normal 3 2 3" xfId="2993"/>
    <cellStyle name="Normal 3 2 3 2" xfId="2994"/>
    <cellStyle name="Normal 3 2 3 2 2" xfId="2995"/>
    <cellStyle name="Normal 3 2 3 2 2 2" xfId="2996"/>
    <cellStyle name="Normal 3 2 3 2 2 2 2" xfId="7543"/>
    <cellStyle name="Normal 3 2 3 2 2 3" xfId="5753"/>
    <cellStyle name="Normal 3 2 3 2 3" xfId="2997"/>
    <cellStyle name="Normal 3 2 3 2 4" xfId="2998"/>
    <cellStyle name="Normal 3 2 3 2 4 2" xfId="7542"/>
    <cellStyle name="Normal 3 2 3 2 5" xfId="5752"/>
    <cellStyle name="Normal 3 2 3 3" xfId="2999"/>
    <cellStyle name="Normal 3 2 3 3 2" xfId="3000"/>
    <cellStyle name="Normal 3 2 3 3 2 2" xfId="3001"/>
    <cellStyle name="Normal 3 2 3 3 2 2 2" xfId="7545"/>
    <cellStyle name="Normal 3 2 3 3 2 3" xfId="5755"/>
    <cellStyle name="Normal 3 2 3 3 3" xfId="3002"/>
    <cellStyle name="Normal 3 2 3 3 3 2" xfId="7544"/>
    <cellStyle name="Normal 3 2 3 3 4" xfId="5754"/>
    <cellStyle name="Normal 3 2 3 4" xfId="3003"/>
    <cellStyle name="Normal 3 2 3 4 2" xfId="3004"/>
    <cellStyle name="Normal 3 2 3 4 2 2" xfId="7546"/>
    <cellStyle name="Normal 3 2 3 4 3" xfId="5756"/>
    <cellStyle name="Normal 3 2 3 5" xfId="3005"/>
    <cellStyle name="Normal 3 2 3 5 2" xfId="3006"/>
    <cellStyle name="Normal 3 2 3 5 2 2" xfId="7547"/>
    <cellStyle name="Normal 3 2 3 5 3" xfId="5757"/>
    <cellStyle name="Normal 3 2 3 6" xfId="3007"/>
    <cellStyle name="Normal 3 2 3 6 2" xfId="3008"/>
    <cellStyle name="Normal 3 2 3 6 2 2" xfId="7541"/>
    <cellStyle name="Normal 3 2 3 6 3" xfId="5751"/>
    <cellStyle name="Normal 3 2 3 7" xfId="3009"/>
    <cellStyle name="Normal 3 2 3_13008" xfId="3010"/>
    <cellStyle name="Normal 3 2 4" xfId="3011"/>
    <cellStyle name="Normal 3 2 4 2" xfId="3012"/>
    <cellStyle name="Normal 3 2 4 2 2" xfId="3013"/>
    <cellStyle name="Normal 3 2 4 2 2 2" xfId="3014"/>
    <cellStyle name="Normal 3 2 4 2 2 2 2" xfId="7550"/>
    <cellStyle name="Normal 3 2 4 2 2 3" xfId="5760"/>
    <cellStyle name="Normal 3 2 4 2 3" xfId="3015"/>
    <cellStyle name="Normal 3 2 4 2 3 2" xfId="3016"/>
    <cellStyle name="Normal 3 2 4 2 3 2 2" xfId="7549"/>
    <cellStyle name="Normal 3 2 4 2 3 3" xfId="5759"/>
    <cellStyle name="Normal 3 2 4 2 4" xfId="3017"/>
    <cellStyle name="Normal 3 2 4 2 4 2" xfId="6469"/>
    <cellStyle name="Normal 3 2 4 2 5" xfId="4677"/>
    <cellStyle name="Normal 3 2 4 3" xfId="3018"/>
    <cellStyle name="Normal 3 2 4 3 2" xfId="3019"/>
    <cellStyle name="Normal 3 2 4 3 2 2" xfId="3020"/>
    <cellStyle name="Normal 3 2 4 3 2 2 2" xfId="7552"/>
    <cellStyle name="Normal 3 2 4 3 2 3" xfId="5762"/>
    <cellStyle name="Normal 3 2 4 3 3" xfId="3021"/>
    <cellStyle name="Normal 3 2 4 3 3 2" xfId="7551"/>
    <cellStyle name="Normal 3 2 4 3 4" xfId="5761"/>
    <cellStyle name="Normal 3 2 4 4" xfId="3022"/>
    <cellStyle name="Normal 3 2 4 4 2" xfId="3023"/>
    <cellStyle name="Normal 3 2 4 4 2 2" xfId="7553"/>
    <cellStyle name="Normal 3 2 4 4 3" xfId="5763"/>
    <cellStyle name="Normal 3 2 4 5" xfId="3024"/>
    <cellStyle name="Normal 3 2 4 5 2" xfId="3025"/>
    <cellStyle name="Normal 3 2 4 5 2 2" xfId="7548"/>
    <cellStyle name="Normal 3 2 4 5 3" xfId="5758"/>
    <cellStyle name="Normal 3 2 4 6" xfId="3026"/>
    <cellStyle name="Normal 3 2 4 6 2" xfId="6400"/>
    <cellStyle name="Normal 3 2 4 7" xfId="4607"/>
    <cellStyle name="Normal 3 2 4_13008" xfId="3027"/>
    <cellStyle name="Normal 3 2 5" xfId="3028"/>
    <cellStyle name="Normal 3 2 5 2" xfId="3029"/>
    <cellStyle name="Normal 3 2 5 2 2" xfId="3030"/>
    <cellStyle name="Normal 3 2 5 2 2 2" xfId="3031"/>
    <cellStyle name="Normal 3 2 5 2 2 2 2" xfId="7556"/>
    <cellStyle name="Normal 3 2 5 2 2 3" xfId="5766"/>
    <cellStyle name="Normal 3 2 5 2 3" xfId="3032"/>
    <cellStyle name="Normal 3 2 5 2 3 2" xfId="7555"/>
    <cellStyle name="Normal 3 2 5 2 4" xfId="5765"/>
    <cellStyle name="Normal 3 2 5 3" xfId="3033"/>
    <cellStyle name="Normal 3 2 5 3 2" xfId="3034"/>
    <cellStyle name="Normal 3 2 5 3 2 2" xfId="3035"/>
    <cellStyle name="Normal 3 2 5 3 2 2 2" xfId="7558"/>
    <cellStyle name="Normal 3 2 5 3 2 3" xfId="5768"/>
    <cellStyle name="Normal 3 2 5 3 3" xfId="3036"/>
    <cellStyle name="Normal 3 2 5 3 3 2" xfId="7557"/>
    <cellStyle name="Normal 3 2 5 3 4" xfId="5767"/>
    <cellStyle name="Normal 3 2 5 4" xfId="3037"/>
    <cellStyle name="Normal 3 2 5 4 2" xfId="3038"/>
    <cellStyle name="Normal 3 2 5 4 2 2" xfId="7559"/>
    <cellStyle name="Normal 3 2 5 4 3" xfId="5769"/>
    <cellStyle name="Normal 3 2 5 5" xfId="3039"/>
    <cellStyle name="Normal 3 2 5 5 2" xfId="3040"/>
    <cellStyle name="Normal 3 2 5 5 2 2" xfId="7554"/>
    <cellStyle name="Normal 3 2 5 5 3" xfId="5764"/>
    <cellStyle name="Normal 3 2 5 6" xfId="3041"/>
    <cellStyle name="Normal 3 2 5 6 2" xfId="6417"/>
    <cellStyle name="Normal 3 2 5 7" xfId="4625"/>
    <cellStyle name="Normal 3 2 5_13008" xfId="3042"/>
    <cellStyle name="Normal 3 2 6" xfId="3043"/>
    <cellStyle name="Normal 3 2 6 2" xfId="3044"/>
    <cellStyle name="Normal 3 2 6 2 2" xfId="3045"/>
    <cellStyle name="Normal 3 2 6 2 2 2" xfId="7561"/>
    <cellStyle name="Normal 3 2 6 2 3" xfId="5771"/>
    <cellStyle name="Normal 3 2 6 3" xfId="3046"/>
    <cellStyle name="Normal 3 2 6 3 2" xfId="3047"/>
    <cellStyle name="Normal 3 2 6 3 2 2" xfId="7562"/>
    <cellStyle name="Normal 3 2 6 3 3" xfId="5772"/>
    <cellStyle name="Normal 3 2 6 4" xfId="3048"/>
    <cellStyle name="Normal 3 2 6 4 2" xfId="7560"/>
    <cellStyle name="Normal 3 2 6 5" xfId="5770"/>
    <cellStyle name="Normal 3 2 7" xfId="3049"/>
    <cellStyle name="Normal 3 2 7 2" xfId="3050"/>
    <cellStyle name="Normal 3 2 7 2 2" xfId="3051"/>
    <cellStyle name="Normal 3 2 7 2 2 2" xfId="7564"/>
    <cellStyle name="Normal 3 2 7 2 3" xfId="5774"/>
    <cellStyle name="Normal 3 2 7 3" xfId="3052"/>
    <cellStyle name="Normal 3 2 7 3 2" xfId="7563"/>
    <cellStyle name="Normal 3 2 7 4" xfId="5773"/>
    <cellStyle name="Normal 3 2 8" xfId="3053"/>
    <cellStyle name="Normal 3 2 8 2" xfId="3054"/>
    <cellStyle name="Normal 3 2 8 2 2" xfId="7565"/>
    <cellStyle name="Normal 3 2 8 3" xfId="5775"/>
    <cellStyle name="Normal 3 2 9" xfId="3055"/>
    <cellStyle name="Normal 3 2 9 2" xfId="3056"/>
    <cellStyle name="Normal 3 2 9 2 2" xfId="7566"/>
    <cellStyle name="Normal 3 2 9 3" xfId="5776"/>
    <cellStyle name="Normal 3 2_13008" xfId="3057"/>
    <cellStyle name="Normal 3 3" xfId="3058"/>
    <cellStyle name="Normal 3 3 2" xfId="3059"/>
    <cellStyle name="Normal 3 3 2 2" xfId="3060"/>
    <cellStyle name="Normal 3 3 2 3" xfId="3061"/>
    <cellStyle name="Normal 3 3 2 3 2" xfId="6443"/>
    <cellStyle name="Normal 3 3 2 4" xfId="4651"/>
    <cellStyle name="Normal 3 3 3" xfId="3062"/>
    <cellStyle name="Normal 3 3 3 2" xfId="3063"/>
    <cellStyle name="Normal 3 3 3 2 2" xfId="3064"/>
    <cellStyle name="Normal 3 3 3 2 2 2" xfId="7568"/>
    <cellStyle name="Normal 3 3 3 2 3" xfId="5778"/>
    <cellStyle name="Normal 3 3 3 3" xfId="3065"/>
    <cellStyle name="Normal 3 3 3 3 2" xfId="3066"/>
    <cellStyle name="Normal 3 3 3 3 2 2" xfId="7569"/>
    <cellStyle name="Normal 3 3 3 3 3" xfId="5779"/>
    <cellStyle name="Normal 3 3 3 4" xfId="3067"/>
    <cellStyle name="Normal 3 3 3 4 2" xfId="7567"/>
    <cellStyle name="Normal 3 3 3 5" xfId="5777"/>
    <cellStyle name="Normal 3 3 4" xfId="3068"/>
    <cellStyle name="Normal 3 3 4 2" xfId="3069"/>
    <cellStyle name="Normal 3 3 4 2 2" xfId="7570"/>
    <cellStyle name="Normal 3 3 4 3" xfId="5780"/>
    <cellStyle name="Normal 3 3 5" xfId="3070"/>
    <cellStyle name="Normal 3 3 5 2" xfId="3071"/>
    <cellStyle name="Normal 3 3 5 2 2" xfId="7571"/>
    <cellStyle name="Normal 3 3 5 3" xfId="5781"/>
    <cellStyle name="Normal 3 3 6" xfId="3072"/>
    <cellStyle name="Normal 3 3 7" xfId="3073"/>
    <cellStyle name="Normal 3 3 7 2" xfId="6374"/>
    <cellStyle name="Normal 3 3 8" xfId="4523"/>
    <cellStyle name="Normal 3 4" xfId="3074"/>
    <cellStyle name="Normal 3 4 2" xfId="3075"/>
    <cellStyle name="Normal 3 4 2 2" xfId="3076"/>
    <cellStyle name="Normal 3 4 2 2 2" xfId="3077"/>
    <cellStyle name="Normal 3 4 2 2 2 2" xfId="7573"/>
    <cellStyle name="Normal 3 4 2 2 3" xfId="5783"/>
    <cellStyle name="Normal 3 4 2 3" xfId="3078"/>
    <cellStyle name="Normal 3 4 2 3 2" xfId="6455"/>
    <cellStyle name="Normal 3 4 2 4" xfId="4663"/>
    <cellStyle name="Normal 3 4 3" xfId="3079"/>
    <cellStyle name="Normal 3 4 3 2" xfId="3080"/>
    <cellStyle name="Normal 3 4 3 2 2" xfId="7574"/>
    <cellStyle name="Normal 3 4 3 3" xfId="5784"/>
    <cellStyle name="Normal 3 4 4" xfId="3081"/>
    <cellStyle name="Normal 3 4 4 2" xfId="3082"/>
    <cellStyle name="Normal 3 4 4 2 2" xfId="7572"/>
    <cellStyle name="Normal 3 4 4 3" xfId="5782"/>
    <cellStyle name="Normal 3 4 5" xfId="3083"/>
    <cellStyle name="Normal 3 4 5 2" xfId="6386"/>
    <cellStyle name="Normal 3 4 6" xfId="4593"/>
    <cellStyle name="Normal 3 4_13008" xfId="3084"/>
    <cellStyle name="Normal 3 5" xfId="3085"/>
    <cellStyle name="Normal 3 5 2" xfId="3086"/>
    <cellStyle name="Normal 3 5 2 2" xfId="3087"/>
    <cellStyle name="Normal 3 5 2 2 2" xfId="7576"/>
    <cellStyle name="Normal 3 5 2 3" xfId="5786"/>
    <cellStyle name="Normal 3 5 3" xfId="3088"/>
    <cellStyle name="Normal 3 5 3 2" xfId="3089"/>
    <cellStyle name="Normal 3 5 3 2 2" xfId="7577"/>
    <cellStyle name="Normal 3 5 3 3" xfId="5787"/>
    <cellStyle name="Normal 3 5 4" xfId="3090"/>
    <cellStyle name="Normal 3 5 4 2" xfId="7575"/>
    <cellStyle name="Normal 3 5 5" xfId="5785"/>
    <cellStyle name="Normal 3 5_13008" xfId="3091"/>
    <cellStyle name="Normal 3 6" xfId="3092"/>
    <cellStyle name="Normal 3 6 2" xfId="3093"/>
    <cellStyle name="Normal 3 6 2 2" xfId="3094"/>
    <cellStyle name="Normal 3 6 2 2 2" xfId="7579"/>
    <cellStyle name="Normal 3 6 2 3" xfId="5789"/>
    <cellStyle name="Normal 3 6 3" xfId="3095"/>
    <cellStyle name="Normal 3 6 3 2" xfId="3096"/>
    <cellStyle name="Normal 3 6 3 2 2" xfId="7580"/>
    <cellStyle name="Normal 3 6 3 3" xfId="5790"/>
    <cellStyle name="Normal 3 6 4" xfId="3097"/>
    <cellStyle name="Normal 3 6 4 2" xfId="7578"/>
    <cellStyle name="Normal 3 6 5" xfId="5788"/>
    <cellStyle name="Normal 3 6_13008" xfId="3098"/>
    <cellStyle name="Normal 3 7" xfId="3099"/>
    <cellStyle name="Normal 3 7 2" xfId="3100"/>
    <cellStyle name="Normal 3 7 2 2" xfId="7581"/>
    <cellStyle name="Normal 3 7 3" xfId="5791"/>
    <cellStyle name="Normal 3 8" xfId="3101"/>
    <cellStyle name="Normal 3 8 2" xfId="3102"/>
    <cellStyle name="Normal 3 8 2 2" xfId="8068"/>
    <cellStyle name="Normal 3 8 3" xfId="6310"/>
    <cellStyle name="Normal 3 9" xfId="3103"/>
    <cellStyle name="Normal 3_10051" xfId="3104"/>
    <cellStyle name="Normal 30" xfId="3105"/>
    <cellStyle name="Normal 30 2" xfId="3106"/>
    <cellStyle name="Normal 30 3" xfId="3107"/>
    <cellStyle name="Normal 31" xfId="3108"/>
    <cellStyle name="Normal 31 2" xfId="3109"/>
    <cellStyle name="Normal 31 3" xfId="3110"/>
    <cellStyle name="Normal 32" xfId="3111"/>
    <cellStyle name="Normal 32 2" xfId="3112"/>
    <cellStyle name="Normal 32 3" xfId="3113"/>
    <cellStyle name="Normal 32 4" xfId="3114"/>
    <cellStyle name="Normal 32 4 2" xfId="3115"/>
    <cellStyle name="Normal 32 4 2 2" xfId="7582"/>
    <cellStyle name="Normal 32 4 3" xfId="5792"/>
    <cellStyle name="Normal 33" xfId="3116"/>
    <cellStyle name="Normal 33 2" xfId="3117"/>
    <cellStyle name="Normal 33 2 2" xfId="3118"/>
    <cellStyle name="Normal 33 2 2 2" xfId="7583"/>
    <cellStyle name="Normal 33 2 3" xfId="5793"/>
    <cellStyle name="Normal 33 3" xfId="3119"/>
    <cellStyle name="Normal 33 4" xfId="3120"/>
    <cellStyle name="Normal 34" xfId="3121"/>
    <cellStyle name="Normal 34 2" xfId="3122"/>
    <cellStyle name="Normal 34 2 2" xfId="3123"/>
    <cellStyle name="Normal 34 2 2 2" xfId="7585"/>
    <cellStyle name="Normal 34 2 3" xfId="5795"/>
    <cellStyle name="Normal 34 3" xfId="3124"/>
    <cellStyle name="Normal 34 4" xfId="3125"/>
    <cellStyle name="Normal 34 4 2" xfId="3126"/>
    <cellStyle name="Normal 34 4 2 2" xfId="7584"/>
    <cellStyle name="Normal 34 4 3" xfId="5794"/>
    <cellStyle name="Normal 35" xfId="3127"/>
    <cellStyle name="Normal 35 2" xfId="3128"/>
    <cellStyle name="Normal 35 3" xfId="3129"/>
    <cellStyle name="Normal 36" xfId="3130"/>
    <cellStyle name="Normal 36 2" xfId="3131"/>
    <cellStyle name="Normal 36 3" xfId="3132"/>
    <cellStyle name="Normal 36 3 2" xfId="3133"/>
    <cellStyle name="Normal 36 3 2 2" xfId="7586"/>
    <cellStyle name="Normal 36 3 3" xfId="5796"/>
    <cellStyle name="Normal 37" xfId="3134"/>
    <cellStyle name="Normal 37 2" xfId="3135"/>
    <cellStyle name="Normal 37 3" xfId="3136"/>
    <cellStyle name="Normal 37 3 2" xfId="3137"/>
    <cellStyle name="Normal 37 3 2 2" xfId="7587"/>
    <cellStyle name="Normal 37 3 3" xfId="5797"/>
    <cellStyle name="Normal 38" xfId="3138"/>
    <cellStyle name="Normal 38 2" xfId="3139"/>
    <cellStyle name="Normal 38 2 2" xfId="3140"/>
    <cellStyle name="Normal 38 2 2 2" xfId="7589"/>
    <cellStyle name="Normal 38 2 3" xfId="5799"/>
    <cellStyle name="Normal 38 3" xfId="3141"/>
    <cellStyle name="Normal 38 3 2" xfId="3142"/>
    <cellStyle name="Normal 38 3 2 2" xfId="7590"/>
    <cellStyle name="Normal 38 3 3" xfId="5800"/>
    <cellStyle name="Normal 38 4" xfId="3143"/>
    <cellStyle name="Normal 38 4 2" xfId="3144"/>
    <cellStyle name="Normal 38 4 2 2" xfId="7588"/>
    <cellStyle name="Normal 38 4 3" xfId="5798"/>
    <cellStyle name="Normal 38_13008" xfId="3145"/>
    <cellStyle name="Normal 39" xfId="3146"/>
    <cellStyle name="Normal 39 2" xfId="3147"/>
    <cellStyle name="Normal 39 2 2" xfId="3148"/>
    <cellStyle name="Normal 39 2 2 2" xfId="7591"/>
    <cellStyle name="Normal 39 2 3" xfId="5801"/>
    <cellStyle name="Normal 4" xfId="3149"/>
    <cellStyle name="Normal 4 2" xfId="3150"/>
    <cellStyle name="Normal 4 2 2" xfId="3151"/>
    <cellStyle name="Normal 4 2 2 2" xfId="3152"/>
    <cellStyle name="Normal 4 2 2 2 2" xfId="3153"/>
    <cellStyle name="Normal 4 2 2 2 2 2" xfId="7594"/>
    <cellStyle name="Normal 4 2 2 2 3" xfId="5804"/>
    <cellStyle name="Normal 4 2 2 3" xfId="3154"/>
    <cellStyle name="Normal 4 2 2 3 2" xfId="3155"/>
    <cellStyle name="Normal 4 2 2 3 2 2" xfId="7595"/>
    <cellStyle name="Normal 4 2 2 3 3" xfId="5805"/>
    <cellStyle name="Normal 4 2 2 4" xfId="3156"/>
    <cellStyle name="Normal 4 2 2 5" xfId="3157"/>
    <cellStyle name="Normal 4 2 2 5 2" xfId="3158"/>
    <cellStyle name="Normal 4 2 2 5 2 2" xfId="7593"/>
    <cellStyle name="Normal 4 2 2 5 3" xfId="5803"/>
    <cellStyle name="Normal 4 2 2 6" xfId="3159"/>
    <cellStyle name="Normal 4 2 2 6 2" xfId="6444"/>
    <cellStyle name="Normal 4 2 2 7" xfId="3160"/>
    <cellStyle name="Normal 4 2 2 8" xfId="4652"/>
    <cellStyle name="Normal 4 2 3" xfId="3161"/>
    <cellStyle name="Normal 4 2 3 2" xfId="3162"/>
    <cellStyle name="Normal 4 2 4" xfId="3163"/>
    <cellStyle name="Normal 4 2 4 2" xfId="3164"/>
    <cellStyle name="Normal 4 2 4 2 2" xfId="7592"/>
    <cellStyle name="Normal 4 2 4 3" xfId="5802"/>
    <cellStyle name="Normal 4 2 5" xfId="3165"/>
    <cellStyle name="Normal 4 2 5 2" xfId="6375"/>
    <cellStyle name="Normal 4 2 6" xfId="3166"/>
    <cellStyle name="Normal 4 2 7" xfId="4524"/>
    <cellStyle name="Normal 4 3" xfId="3167"/>
    <cellStyle name="Normal 4 3 2" xfId="3168"/>
    <cellStyle name="Normal 4 3 2 2" xfId="3169"/>
    <cellStyle name="Normal 4 3 2 3" xfId="3170"/>
    <cellStyle name="Normal 4 3 2 3 2" xfId="6456"/>
    <cellStyle name="Normal 4 3 2 4" xfId="4664"/>
    <cellStyle name="Normal 4 3 3" xfId="3171"/>
    <cellStyle name="Normal 4 3 3 2" xfId="3172"/>
    <cellStyle name="Normal 4 3 3 2 2" xfId="7596"/>
    <cellStyle name="Normal 4 3 3 3" xfId="5806"/>
    <cellStyle name="Normal 4 3 4" xfId="3173"/>
    <cellStyle name="Normal 4 3 4 2" xfId="3174"/>
    <cellStyle name="Normal 4 3 4 2 2" xfId="7597"/>
    <cellStyle name="Normal 4 3 4 3" xfId="5807"/>
    <cellStyle name="Normal 4 3 5" xfId="3175"/>
    <cellStyle name="Normal 4 3 6" xfId="3176"/>
    <cellStyle name="Normal 4 3 6 2" xfId="6387"/>
    <cellStyle name="Normal 4 3 7" xfId="4594"/>
    <cellStyle name="Normal 4 3_13008" xfId="3177"/>
    <cellStyle name="Normal 4 4" xfId="3178"/>
    <cellStyle name="Normal 4 4 2" xfId="3179"/>
    <cellStyle name="Normal 4 4 2 2" xfId="3180"/>
    <cellStyle name="Normal 4 4 2 2 2" xfId="7599"/>
    <cellStyle name="Normal 4 4 2 3" xfId="5809"/>
    <cellStyle name="Normal 4 4 3" xfId="3181"/>
    <cellStyle name="Normal 4 4 3 2" xfId="3182"/>
    <cellStyle name="Normal 4 4 3 2 2" xfId="7600"/>
    <cellStyle name="Normal 4 4 3 3" xfId="5810"/>
    <cellStyle name="Normal 4 4 4" xfId="3183"/>
    <cellStyle name="Normal 4 4 4 2" xfId="3184"/>
    <cellStyle name="Normal 4 4 4 2 2" xfId="7598"/>
    <cellStyle name="Normal 4 4 4 3" xfId="5808"/>
    <cellStyle name="Normal 4 4_13008" xfId="3185"/>
    <cellStyle name="Normal 4_20300" xfId="3186"/>
    <cellStyle name="Normal 40" xfId="3187"/>
    <cellStyle name="Normal 40 2" xfId="3188"/>
    <cellStyle name="Normal 40 2 2" xfId="3189"/>
    <cellStyle name="Normal 40 2 2 2" xfId="7601"/>
    <cellStyle name="Normal 40 2 3" xfId="5811"/>
    <cellStyle name="Normal 41" xfId="3190"/>
    <cellStyle name="Normal 42" xfId="3191"/>
    <cellStyle name="Normal 43" xfId="3192"/>
    <cellStyle name="Normal 44" xfId="3193"/>
    <cellStyle name="Normal 45" xfId="3194"/>
    <cellStyle name="Normal 46" xfId="3195"/>
    <cellStyle name="Normal 46 2" xfId="3196"/>
    <cellStyle name="Normal 46 2 2" xfId="3197"/>
    <cellStyle name="Normal 46 2 2 2" xfId="7602"/>
    <cellStyle name="Normal 46 2 3" xfId="5812"/>
    <cellStyle name="Normal 47" xfId="3198"/>
    <cellStyle name="Normal 47 2" xfId="3199"/>
    <cellStyle name="Normal 47 2 2" xfId="3200"/>
    <cellStyle name="Normal 47 2 2 2" xfId="7603"/>
    <cellStyle name="Normal 47 2 3" xfId="5813"/>
    <cellStyle name="Normal 48" xfId="3201"/>
    <cellStyle name="Normal 49" xfId="3202"/>
    <cellStyle name="Normal 5" xfId="3203"/>
    <cellStyle name="Normal 5 10" xfId="3204"/>
    <cellStyle name="Normal 5 10 2" xfId="3205"/>
    <cellStyle name="Normal 5 10 2 2" xfId="7604"/>
    <cellStyle name="Normal 5 10 3" xfId="5814"/>
    <cellStyle name="Normal 5 11" xfId="3206"/>
    <cellStyle name="Normal 5 11 2" xfId="6344"/>
    <cellStyle name="Normal 5 12" xfId="4485"/>
    <cellStyle name="Normal 5 2" xfId="3207"/>
    <cellStyle name="Normal 5 2 10" xfId="3208"/>
    <cellStyle name="Normal 5 2 10 2" xfId="3209"/>
    <cellStyle name="Normal 5 2 10 2 2" xfId="7606"/>
    <cellStyle name="Normal 5 2 10 3" xfId="5816"/>
    <cellStyle name="Normal 5 2 11" xfId="3210"/>
    <cellStyle name="Normal 5 2 11 2" xfId="3211"/>
    <cellStyle name="Normal 5 2 11 2 2" xfId="7607"/>
    <cellStyle name="Normal 5 2 11 3" xfId="5817"/>
    <cellStyle name="Normal 5 2 12" xfId="3212"/>
    <cellStyle name="Normal 5 2 12 2" xfId="3213"/>
    <cellStyle name="Normal 5 2 12 2 2" xfId="7605"/>
    <cellStyle name="Normal 5 2 12 3" xfId="5815"/>
    <cellStyle name="Normal 5 2 13" xfId="3214"/>
    <cellStyle name="Normal 5 2 13 2" xfId="6358"/>
    <cellStyle name="Normal 5 2 14" xfId="4504"/>
    <cellStyle name="Normal 5 2 2" xfId="3215"/>
    <cellStyle name="Normal 5 2 2 10" xfId="3216"/>
    <cellStyle name="Normal 5 2 2 2" xfId="3217"/>
    <cellStyle name="Normal 5 2 2 2 2" xfId="3218"/>
    <cellStyle name="Normal 5 2 2 2 2 2" xfId="3219"/>
    <cellStyle name="Normal 5 2 2 2 2 2 2" xfId="3220"/>
    <cellStyle name="Normal 5 2 2 2 2 2 2 2" xfId="7611"/>
    <cellStyle name="Normal 5 2 2 2 2 2 3" xfId="5821"/>
    <cellStyle name="Normal 5 2 2 2 2 3" xfId="3221"/>
    <cellStyle name="Normal 5 2 2 2 2 3 2" xfId="3222"/>
    <cellStyle name="Normal 5 2 2 2 2 3 2 2" xfId="7612"/>
    <cellStyle name="Normal 5 2 2 2 2 3 3" xfId="5822"/>
    <cellStyle name="Normal 5 2 2 2 2 4" xfId="3223"/>
    <cellStyle name="Normal 5 2 2 2 2 4 2" xfId="3224"/>
    <cellStyle name="Normal 5 2 2 2 2 4 2 2" xfId="7613"/>
    <cellStyle name="Normal 5 2 2 2 2 4 3" xfId="5823"/>
    <cellStyle name="Normal 5 2 2 2 2 5" xfId="3225"/>
    <cellStyle name="Normal 5 2 2 2 2 5 2" xfId="7610"/>
    <cellStyle name="Normal 5 2 2 2 2 6" xfId="5820"/>
    <cellStyle name="Normal 5 2 2 2 2_13008" xfId="3226"/>
    <cellStyle name="Normal 5 2 2 2 3" xfId="3227"/>
    <cellStyle name="Normal 5 2 2 2 3 2" xfId="3228"/>
    <cellStyle name="Normal 5 2 2 2 3 2 2" xfId="3229"/>
    <cellStyle name="Normal 5 2 2 2 3 2 2 2" xfId="7615"/>
    <cellStyle name="Normal 5 2 2 2 3 2 3" xfId="5825"/>
    <cellStyle name="Normal 5 2 2 2 3 3" xfId="3230"/>
    <cellStyle name="Normal 5 2 2 2 3 3 2" xfId="3231"/>
    <cellStyle name="Normal 5 2 2 2 3 3 2 2" xfId="7616"/>
    <cellStyle name="Normal 5 2 2 2 3 3 3" xfId="5826"/>
    <cellStyle name="Normal 5 2 2 2 3 4" xfId="3232"/>
    <cellStyle name="Normal 5 2 2 2 3 4 2" xfId="7614"/>
    <cellStyle name="Normal 5 2 2 2 3 5" xfId="5824"/>
    <cellStyle name="Normal 5 2 2 2 3_13008" xfId="3233"/>
    <cellStyle name="Normal 5 2 2 2 4" xfId="3234"/>
    <cellStyle name="Normal 5 2 2 2 4 2" xfId="3235"/>
    <cellStyle name="Normal 5 2 2 2 4 2 2" xfId="7617"/>
    <cellStyle name="Normal 5 2 2 2 4 3" xfId="5827"/>
    <cellStyle name="Normal 5 2 2 2 5" xfId="3236"/>
    <cellStyle name="Normal 5 2 2 2 5 2" xfId="3237"/>
    <cellStyle name="Normal 5 2 2 2 5 2 2" xfId="7618"/>
    <cellStyle name="Normal 5 2 2 2 5 3" xfId="5828"/>
    <cellStyle name="Normal 5 2 2 2 6" xfId="3238"/>
    <cellStyle name="Normal 5 2 2 2 6 2" xfId="3239"/>
    <cellStyle name="Normal 5 2 2 2 6 2 2" xfId="7619"/>
    <cellStyle name="Normal 5 2 2 2 6 3" xfId="5829"/>
    <cellStyle name="Normal 5 2 2 2 7" xfId="3240"/>
    <cellStyle name="Normal 5 2 2 2 7 2" xfId="7609"/>
    <cellStyle name="Normal 5 2 2 2 8" xfId="5819"/>
    <cellStyle name="Normal 5 2 2 2_13008" xfId="3241"/>
    <cellStyle name="Normal 5 2 2 3" xfId="3242"/>
    <cellStyle name="Normal 5 2 2 3 2" xfId="3243"/>
    <cellStyle name="Normal 5 2 2 3 2 2" xfId="3244"/>
    <cellStyle name="Normal 5 2 2 3 2 2 2" xfId="7621"/>
    <cellStyle name="Normal 5 2 2 3 2 3" xfId="5831"/>
    <cellStyle name="Normal 5 2 2 3 3" xfId="3245"/>
    <cellStyle name="Normal 5 2 2 3 3 2" xfId="3246"/>
    <cellStyle name="Normal 5 2 2 3 3 2 2" xfId="7622"/>
    <cellStyle name="Normal 5 2 2 3 3 3" xfId="5832"/>
    <cellStyle name="Normal 5 2 2 3 4" xfId="3247"/>
    <cellStyle name="Normal 5 2 2 3 4 2" xfId="3248"/>
    <cellStyle name="Normal 5 2 2 3 4 2 2" xfId="7623"/>
    <cellStyle name="Normal 5 2 2 3 4 3" xfId="5833"/>
    <cellStyle name="Normal 5 2 2 3 5" xfId="3249"/>
    <cellStyle name="Normal 5 2 2 3 5 2" xfId="7620"/>
    <cellStyle name="Normal 5 2 2 3 6" xfId="5830"/>
    <cellStyle name="Normal 5 2 2 3_13008" xfId="3250"/>
    <cellStyle name="Normal 5 2 2 4" xfId="3251"/>
    <cellStyle name="Normal 5 2 2 4 2" xfId="3252"/>
    <cellStyle name="Normal 5 2 2 4 2 2" xfId="3253"/>
    <cellStyle name="Normal 5 2 2 4 2 2 2" xfId="7625"/>
    <cellStyle name="Normal 5 2 2 4 2 3" xfId="5835"/>
    <cellStyle name="Normal 5 2 2 4 3" xfId="3254"/>
    <cellStyle name="Normal 5 2 2 4 3 2" xfId="3255"/>
    <cellStyle name="Normal 5 2 2 4 3 2 2" xfId="7626"/>
    <cellStyle name="Normal 5 2 2 4 3 3" xfId="5836"/>
    <cellStyle name="Normal 5 2 2 4 4" xfId="3256"/>
    <cellStyle name="Normal 5 2 2 4 4 2" xfId="3257"/>
    <cellStyle name="Normal 5 2 2 4 4 2 2" xfId="7627"/>
    <cellStyle name="Normal 5 2 2 4 4 3" xfId="5837"/>
    <cellStyle name="Normal 5 2 2 4 5" xfId="3258"/>
    <cellStyle name="Normal 5 2 2 4 5 2" xfId="7624"/>
    <cellStyle name="Normal 5 2 2 4 6" xfId="5834"/>
    <cellStyle name="Normal 5 2 2 4_13008" xfId="3259"/>
    <cellStyle name="Normal 5 2 2 5" xfId="3260"/>
    <cellStyle name="Normal 5 2 2 5 2" xfId="3261"/>
    <cellStyle name="Normal 5 2 2 5 2 2" xfId="3262"/>
    <cellStyle name="Normal 5 2 2 5 2 2 2" xfId="7629"/>
    <cellStyle name="Normal 5 2 2 5 2 3" xfId="5839"/>
    <cellStyle name="Normal 5 2 2 5 3" xfId="3263"/>
    <cellStyle name="Normal 5 2 2 5 3 2" xfId="3264"/>
    <cellStyle name="Normal 5 2 2 5 3 2 2" xfId="7630"/>
    <cellStyle name="Normal 5 2 2 5 3 3" xfId="5840"/>
    <cellStyle name="Normal 5 2 2 5 4" xfId="3265"/>
    <cellStyle name="Normal 5 2 2 5 4 2" xfId="7628"/>
    <cellStyle name="Normal 5 2 2 5 5" xfId="5838"/>
    <cellStyle name="Normal 5 2 2 5_13008" xfId="3266"/>
    <cellStyle name="Normal 5 2 2 6" xfId="3267"/>
    <cellStyle name="Normal 5 2 2 6 2" xfId="3268"/>
    <cellStyle name="Normal 5 2 2 6 2 2" xfId="7631"/>
    <cellStyle name="Normal 5 2 2 6 3" xfId="5841"/>
    <cellStyle name="Normal 5 2 2 7" xfId="3269"/>
    <cellStyle name="Normal 5 2 2 7 2" xfId="3270"/>
    <cellStyle name="Normal 5 2 2 7 2 2" xfId="7632"/>
    <cellStyle name="Normal 5 2 2 7 3" xfId="5842"/>
    <cellStyle name="Normal 5 2 2 8" xfId="3271"/>
    <cellStyle name="Normal 5 2 2 8 2" xfId="3272"/>
    <cellStyle name="Normal 5 2 2 8 2 2" xfId="7633"/>
    <cellStyle name="Normal 5 2 2 8 3" xfId="5843"/>
    <cellStyle name="Normal 5 2 2 9" xfId="3273"/>
    <cellStyle name="Normal 5 2 2 9 2" xfId="3274"/>
    <cellStyle name="Normal 5 2 2 9 2 2" xfId="7608"/>
    <cellStyle name="Normal 5 2 2 9 3" xfId="5818"/>
    <cellStyle name="Normal 5 2 2_13008" xfId="3275"/>
    <cellStyle name="Normal 5 2 3" xfId="3276"/>
    <cellStyle name="Normal 5 2 3 10" xfId="3277"/>
    <cellStyle name="Normal 5 2 3 10 2" xfId="6427"/>
    <cellStyle name="Normal 5 2 3 11" xfId="4635"/>
    <cellStyle name="Normal 5 2 3 2" xfId="3278"/>
    <cellStyle name="Normal 5 2 3 2 2" xfId="3279"/>
    <cellStyle name="Normal 5 2 3 2 2 2" xfId="3280"/>
    <cellStyle name="Normal 5 2 3 2 2 2 2" xfId="3281"/>
    <cellStyle name="Normal 5 2 3 2 2 2 2 2" xfId="7637"/>
    <cellStyle name="Normal 5 2 3 2 2 2 3" xfId="5847"/>
    <cellStyle name="Normal 5 2 3 2 2 3" xfId="3282"/>
    <cellStyle name="Normal 5 2 3 2 2 3 2" xfId="3283"/>
    <cellStyle name="Normal 5 2 3 2 2 3 2 2" xfId="7638"/>
    <cellStyle name="Normal 5 2 3 2 2 3 3" xfId="5848"/>
    <cellStyle name="Normal 5 2 3 2 2 4" xfId="3284"/>
    <cellStyle name="Normal 5 2 3 2 2 4 2" xfId="7636"/>
    <cellStyle name="Normal 5 2 3 2 2 5" xfId="5846"/>
    <cellStyle name="Normal 5 2 3 2 2_13008" xfId="3285"/>
    <cellStyle name="Normal 5 2 3 2 3" xfId="3286"/>
    <cellStyle name="Normal 5 2 3 2 3 2" xfId="3287"/>
    <cellStyle name="Normal 5 2 3 2 3 2 2" xfId="3288"/>
    <cellStyle name="Normal 5 2 3 2 3 2 2 2" xfId="7640"/>
    <cellStyle name="Normal 5 2 3 2 3 2 3" xfId="5850"/>
    <cellStyle name="Normal 5 2 3 2 3 3" xfId="3289"/>
    <cellStyle name="Normal 5 2 3 2 3 3 2" xfId="3290"/>
    <cellStyle name="Normal 5 2 3 2 3 3 2 2" xfId="7641"/>
    <cellStyle name="Normal 5 2 3 2 3 3 3" xfId="5851"/>
    <cellStyle name="Normal 5 2 3 2 3 4" xfId="3291"/>
    <cellStyle name="Normal 5 2 3 2 3 4 2" xfId="7639"/>
    <cellStyle name="Normal 5 2 3 2 3 5" xfId="5849"/>
    <cellStyle name="Normal 5 2 3 2 3_13008" xfId="3292"/>
    <cellStyle name="Normal 5 2 3 2 4" xfId="3293"/>
    <cellStyle name="Normal 5 2 3 2 4 2" xfId="3294"/>
    <cellStyle name="Normal 5 2 3 2 4 2 2" xfId="7642"/>
    <cellStyle name="Normal 5 2 3 2 4 3" xfId="5852"/>
    <cellStyle name="Normal 5 2 3 2 5" xfId="3295"/>
    <cellStyle name="Normal 5 2 3 2 5 2" xfId="3296"/>
    <cellStyle name="Normal 5 2 3 2 5 2 2" xfId="7643"/>
    <cellStyle name="Normal 5 2 3 2 5 3" xfId="5853"/>
    <cellStyle name="Normal 5 2 3 2 6" xfId="3297"/>
    <cellStyle name="Normal 5 2 3 2 6 2" xfId="3298"/>
    <cellStyle name="Normal 5 2 3 2 6 2 2" xfId="7644"/>
    <cellStyle name="Normal 5 2 3 2 6 3" xfId="5854"/>
    <cellStyle name="Normal 5 2 3 2 7" xfId="3299"/>
    <cellStyle name="Normal 5 2 3 2 7 2" xfId="7635"/>
    <cellStyle name="Normal 5 2 3 2 8" xfId="5845"/>
    <cellStyle name="Normal 5 2 3 2_13008" xfId="3300"/>
    <cellStyle name="Normal 5 2 3 3" xfId="3301"/>
    <cellStyle name="Normal 5 2 3 3 2" xfId="3302"/>
    <cellStyle name="Normal 5 2 3 3 2 2" xfId="3303"/>
    <cellStyle name="Normal 5 2 3 3 2 2 2" xfId="7646"/>
    <cellStyle name="Normal 5 2 3 3 2 3" xfId="5856"/>
    <cellStyle name="Normal 5 2 3 3 3" xfId="3304"/>
    <cellStyle name="Normal 5 2 3 3 3 2" xfId="3305"/>
    <cellStyle name="Normal 5 2 3 3 3 2 2" xfId="7647"/>
    <cellStyle name="Normal 5 2 3 3 3 3" xfId="5857"/>
    <cellStyle name="Normal 5 2 3 3 4" xfId="3306"/>
    <cellStyle name="Normal 5 2 3 3 4 2" xfId="3307"/>
    <cellStyle name="Normal 5 2 3 3 4 2 2" xfId="7648"/>
    <cellStyle name="Normal 5 2 3 3 4 3" xfId="5858"/>
    <cellStyle name="Normal 5 2 3 3 5" xfId="3308"/>
    <cellStyle name="Normal 5 2 3 3 5 2" xfId="7645"/>
    <cellStyle name="Normal 5 2 3 3 6" xfId="5855"/>
    <cellStyle name="Normal 5 2 3 3_13008" xfId="3309"/>
    <cellStyle name="Normal 5 2 3 4" xfId="3310"/>
    <cellStyle name="Normal 5 2 3 4 2" xfId="3311"/>
    <cellStyle name="Normal 5 2 3 4 2 2" xfId="3312"/>
    <cellStyle name="Normal 5 2 3 4 2 2 2" xfId="7650"/>
    <cellStyle name="Normal 5 2 3 4 2 3" xfId="5860"/>
    <cellStyle name="Normal 5 2 3 4 3" xfId="3313"/>
    <cellStyle name="Normal 5 2 3 4 3 2" xfId="3314"/>
    <cellStyle name="Normal 5 2 3 4 3 2 2" xfId="7651"/>
    <cellStyle name="Normal 5 2 3 4 3 3" xfId="5861"/>
    <cellStyle name="Normal 5 2 3 4 4" xfId="3315"/>
    <cellStyle name="Normal 5 2 3 4 4 2" xfId="7649"/>
    <cellStyle name="Normal 5 2 3 4 5" xfId="5859"/>
    <cellStyle name="Normal 5 2 3 4_13008" xfId="3316"/>
    <cellStyle name="Normal 5 2 3 5" xfId="3317"/>
    <cellStyle name="Normal 5 2 3 5 2" xfId="3318"/>
    <cellStyle name="Normal 5 2 3 5 2 2" xfId="3319"/>
    <cellStyle name="Normal 5 2 3 5 2 2 2" xfId="7653"/>
    <cellStyle name="Normal 5 2 3 5 2 3" xfId="5863"/>
    <cellStyle name="Normal 5 2 3 5 3" xfId="3320"/>
    <cellStyle name="Normal 5 2 3 5 3 2" xfId="3321"/>
    <cellStyle name="Normal 5 2 3 5 3 2 2" xfId="7654"/>
    <cellStyle name="Normal 5 2 3 5 3 3" xfId="5864"/>
    <cellStyle name="Normal 5 2 3 5 4" xfId="3322"/>
    <cellStyle name="Normal 5 2 3 5 4 2" xfId="7652"/>
    <cellStyle name="Normal 5 2 3 5 5" xfId="5862"/>
    <cellStyle name="Normal 5 2 3 5_13008" xfId="3323"/>
    <cellStyle name="Normal 5 2 3 6" xfId="3324"/>
    <cellStyle name="Normal 5 2 3 6 2" xfId="3325"/>
    <cellStyle name="Normal 5 2 3 6 2 2" xfId="7655"/>
    <cellStyle name="Normal 5 2 3 6 3" xfId="5865"/>
    <cellStyle name="Normal 5 2 3 7" xfId="3326"/>
    <cellStyle name="Normal 5 2 3 7 2" xfId="3327"/>
    <cellStyle name="Normal 5 2 3 7 2 2" xfId="7656"/>
    <cellStyle name="Normal 5 2 3 7 3" xfId="5866"/>
    <cellStyle name="Normal 5 2 3 8" xfId="3328"/>
    <cellStyle name="Normal 5 2 3 8 2" xfId="3329"/>
    <cellStyle name="Normal 5 2 3 8 2 2" xfId="7657"/>
    <cellStyle name="Normal 5 2 3 8 3" xfId="5867"/>
    <cellStyle name="Normal 5 2 3 9" xfId="3330"/>
    <cellStyle name="Normal 5 2 3 9 2" xfId="3331"/>
    <cellStyle name="Normal 5 2 3 9 2 2" xfId="7634"/>
    <cellStyle name="Normal 5 2 3 9 3" xfId="5844"/>
    <cellStyle name="Normal 5 2 3_13008" xfId="3332"/>
    <cellStyle name="Normal 5 2 4" xfId="3333"/>
    <cellStyle name="Normal 5 2 4 10" xfId="5868"/>
    <cellStyle name="Normal 5 2 4 2" xfId="3334"/>
    <cellStyle name="Normal 5 2 4 2 2" xfId="3335"/>
    <cellStyle name="Normal 5 2 4 2 2 2" xfId="3336"/>
    <cellStyle name="Normal 5 2 4 2 2 2 2" xfId="3337"/>
    <cellStyle name="Normal 5 2 4 2 2 2 2 2" xfId="7661"/>
    <cellStyle name="Normal 5 2 4 2 2 2 3" xfId="5871"/>
    <cellStyle name="Normal 5 2 4 2 2 3" xfId="3338"/>
    <cellStyle name="Normal 5 2 4 2 2 3 2" xfId="3339"/>
    <cellStyle name="Normal 5 2 4 2 2 3 2 2" xfId="7662"/>
    <cellStyle name="Normal 5 2 4 2 2 3 3" xfId="5872"/>
    <cellStyle name="Normal 5 2 4 2 2 4" xfId="3340"/>
    <cellStyle name="Normal 5 2 4 2 2 4 2" xfId="7660"/>
    <cellStyle name="Normal 5 2 4 2 2 5" xfId="5870"/>
    <cellStyle name="Normal 5 2 4 2 2_13008" xfId="3341"/>
    <cellStyle name="Normal 5 2 4 2 3" xfId="3342"/>
    <cellStyle name="Normal 5 2 4 2 3 2" xfId="3343"/>
    <cellStyle name="Normal 5 2 4 2 3 2 2" xfId="3344"/>
    <cellStyle name="Normal 5 2 4 2 3 2 2 2" xfId="7664"/>
    <cellStyle name="Normal 5 2 4 2 3 2 3" xfId="5874"/>
    <cellStyle name="Normal 5 2 4 2 3 3" xfId="3345"/>
    <cellStyle name="Normal 5 2 4 2 3 3 2" xfId="3346"/>
    <cellStyle name="Normal 5 2 4 2 3 3 2 2" xfId="7665"/>
    <cellStyle name="Normal 5 2 4 2 3 3 3" xfId="5875"/>
    <cellStyle name="Normal 5 2 4 2 3 4" xfId="3347"/>
    <cellStyle name="Normal 5 2 4 2 3 4 2" xfId="7663"/>
    <cellStyle name="Normal 5 2 4 2 3 5" xfId="5873"/>
    <cellStyle name="Normal 5 2 4 2 3_13008" xfId="3348"/>
    <cellStyle name="Normal 5 2 4 2 4" xfId="3349"/>
    <cellStyle name="Normal 5 2 4 2 4 2" xfId="3350"/>
    <cellStyle name="Normal 5 2 4 2 4 2 2" xfId="7666"/>
    <cellStyle name="Normal 5 2 4 2 4 3" xfId="5876"/>
    <cellStyle name="Normal 5 2 4 2 5" xfId="3351"/>
    <cellStyle name="Normal 5 2 4 2 5 2" xfId="3352"/>
    <cellStyle name="Normal 5 2 4 2 5 2 2" xfId="7667"/>
    <cellStyle name="Normal 5 2 4 2 5 3" xfId="5877"/>
    <cellStyle name="Normal 5 2 4 2 6" xfId="3353"/>
    <cellStyle name="Normal 5 2 4 2 6 2" xfId="3354"/>
    <cellStyle name="Normal 5 2 4 2 6 2 2" xfId="7668"/>
    <cellStyle name="Normal 5 2 4 2 6 3" xfId="5878"/>
    <cellStyle name="Normal 5 2 4 2 7" xfId="3355"/>
    <cellStyle name="Normal 5 2 4 2 7 2" xfId="7659"/>
    <cellStyle name="Normal 5 2 4 2 8" xfId="5869"/>
    <cellStyle name="Normal 5 2 4 2_13008" xfId="3356"/>
    <cellStyle name="Normal 5 2 4 3" xfId="3357"/>
    <cellStyle name="Normal 5 2 4 3 2" xfId="3358"/>
    <cellStyle name="Normal 5 2 4 3 2 2" xfId="3359"/>
    <cellStyle name="Normal 5 2 4 3 2 2 2" xfId="7670"/>
    <cellStyle name="Normal 5 2 4 3 2 3" xfId="5880"/>
    <cellStyle name="Normal 5 2 4 3 3" xfId="3360"/>
    <cellStyle name="Normal 5 2 4 3 3 2" xfId="3361"/>
    <cellStyle name="Normal 5 2 4 3 3 2 2" xfId="7671"/>
    <cellStyle name="Normal 5 2 4 3 3 3" xfId="5881"/>
    <cellStyle name="Normal 5 2 4 3 4" xfId="3362"/>
    <cellStyle name="Normal 5 2 4 3 4 2" xfId="3363"/>
    <cellStyle name="Normal 5 2 4 3 4 2 2" xfId="7672"/>
    <cellStyle name="Normal 5 2 4 3 4 3" xfId="5882"/>
    <cellStyle name="Normal 5 2 4 3 5" xfId="3364"/>
    <cellStyle name="Normal 5 2 4 3 5 2" xfId="7669"/>
    <cellStyle name="Normal 5 2 4 3 6" xfId="5879"/>
    <cellStyle name="Normal 5 2 4 3_13008" xfId="3365"/>
    <cellStyle name="Normal 5 2 4 4" xfId="3366"/>
    <cellStyle name="Normal 5 2 4 4 2" xfId="3367"/>
    <cellStyle name="Normal 5 2 4 4 2 2" xfId="3368"/>
    <cellStyle name="Normal 5 2 4 4 2 2 2" xfId="7674"/>
    <cellStyle name="Normal 5 2 4 4 2 3" xfId="5884"/>
    <cellStyle name="Normal 5 2 4 4 3" xfId="3369"/>
    <cellStyle name="Normal 5 2 4 4 3 2" xfId="3370"/>
    <cellStyle name="Normal 5 2 4 4 3 2 2" xfId="7675"/>
    <cellStyle name="Normal 5 2 4 4 3 3" xfId="5885"/>
    <cellStyle name="Normal 5 2 4 4 4" xfId="3371"/>
    <cellStyle name="Normal 5 2 4 4 4 2" xfId="7673"/>
    <cellStyle name="Normal 5 2 4 4 5" xfId="5883"/>
    <cellStyle name="Normal 5 2 4 4_13008" xfId="3372"/>
    <cellStyle name="Normal 5 2 4 5" xfId="3373"/>
    <cellStyle name="Normal 5 2 4 5 2" xfId="3374"/>
    <cellStyle name="Normal 5 2 4 5 2 2" xfId="3375"/>
    <cellStyle name="Normal 5 2 4 5 2 2 2" xfId="7677"/>
    <cellStyle name="Normal 5 2 4 5 2 3" xfId="5887"/>
    <cellStyle name="Normal 5 2 4 5 3" xfId="3376"/>
    <cellStyle name="Normal 5 2 4 5 3 2" xfId="3377"/>
    <cellStyle name="Normal 5 2 4 5 3 2 2" xfId="7678"/>
    <cellStyle name="Normal 5 2 4 5 3 3" xfId="5888"/>
    <cellStyle name="Normal 5 2 4 5 4" xfId="3378"/>
    <cellStyle name="Normal 5 2 4 5 4 2" xfId="7676"/>
    <cellStyle name="Normal 5 2 4 5 5" xfId="5886"/>
    <cellStyle name="Normal 5 2 4 5_13008" xfId="3379"/>
    <cellStyle name="Normal 5 2 4 6" xfId="3380"/>
    <cellStyle name="Normal 5 2 4 6 2" xfId="3381"/>
    <cellStyle name="Normal 5 2 4 6 2 2" xfId="7679"/>
    <cellStyle name="Normal 5 2 4 6 3" xfId="5889"/>
    <cellStyle name="Normal 5 2 4 7" xfId="3382"/>
    <cellStyle name="Normal 5 2 4 7 2" xfId="3383"/>
    <cellStyle name="Normal 5 2 4 7 2 2" xfId="7680"/>
    <cellStyle name="Normal 5 2 4 7 3" xfId="5890"/>
    <cellStyle name="Normal 5 2 4 8" xfId="3384"/>
    <cellStyle name="Normal 5 2 4 8 2" xfId="3385"/>
    <cellStyle name="Normal 5 2 4 8 2 2" xfId="7681"/>
    <cellStyle name="Normal 5 2 4 8 3" xfId="5891"/>
    <cellStyle name="Normal 5 2 4 9" xfId="3386"/>
    <cellStyle name="Normal 5 2 4 9 2" xfId="7658"/>
    <cellStyle name="Normal 5 2 4_13008" xfId="3387"/>
    <cellStyle name="Normal 5 2 5" xfId="3388"/>
    <cellStyle name="Normal 5 2 5 10" xfId="3389"/>
    <cellStyle name="Normal 5 2 5 10 2" xfId="3390"/>
    <cellStyle name="Normal 5 2 5 10 2 2" xfId="7683"/>
    <cellStyle name="Normal 5 2 5 10 3" xfId="5893"/>
    <cellStyle name="Normal 5 2 5 11" xfId="3391"/>
    <cellStyle name="Normal 5 2 5 11 2" xfId="3392"/>
    <cellStyle name="Normal 5 2 5 11 2 2" xfId="7684"/>
    <cellStyle name="Normal 5 2 5 11 3" xfId="5894"/>
    <cellStyle name="Normal 5 2 5 12" xfId="3393"/>
    <cellStyle name="Normal 5 2 5 12 2" xfId="7682"/>
    <cellStyle name="Normal 5 2 5 13" xfId="5892"/>
    <cellStyle name="Normal 5 2 5 19" xfId="3394"/>
    <cellStyle name="Normal 5 2 5 19 2" xfId="3395"/>
    <cellStyle name="Normal 5 2 5 19 2 2" xfId="3396"/>
    <cellStyle name="Normal 5 2 5 19 2 2 2" xfId="7686"/>
    <cellStyle name="Normal 5 2 5 19 2 3" xfId="5896"/>
    <cellStyle name="Normal 5 2 5 19 3" xfId="3397"/>
    <cellStyle name="Normal 5 2 5 19 3 2" xfId="7685"/>
    <cellStyle name="Normal 5 2 5 19 4" xfId="5895"/>
    <cellStyle name="Normal 5 2 5 19_13008" xfId="3398"/>
    <cellStyle name="Normal 5 2 5 2" xfId="3399"/>
    <cellStyle name="Normal 5 2 5 2 10" xfId="5897"/>
    <cellStyle name="Normal 5 2 5 2 2" xfId="3400"/>
    <cellStyle name="Normal 5 2 5 2 2 2" xfId="3401"/>
    <cellStyle name="Normal 5 2 5 2 2 2 2" xfId="3402"/>
    <cellStyle name="Normal 5 2 5 2 2 2 2 2" xfId="3403"/>
    <cellStyle name="Normal 5 2 5 2 2 2 2 2 2" xfId="7690"/>
    <cellStyle name="Normal 5 2 5 2 2 2 2 3" xfId="5900"/>
    <cellStyle name="Normal 5 2 5 2 2 2 3" xfId="3404"/>
    <cellStyle name="Normal 5 2 5 2 2 2 3 2" xfId="3405"/>
    <cellStyle name="Normal 5 2 5 2 2 2 3 2 2" xfId="7691"/>
    <cellStyle name="Normal 5 2 5 2 2 2 3 3" xfId="5901"/>
    <cellStyle name="Normal 5 2 5 2 2 2 4" xfId="3406"/>
    <cellStyle name="Normal 5 2 5 2 2 2 4 2" xfId="7689"/>
    <cellStyle name="Normal 5 2 5 2 2 2 5" xfId="5899"/>
    <cellStyle name="Normal 5 2 5 2 2 2_13008" xfId="3407"/>
    <cellStyle name="Normal 5 2 5 2 2 3" xfId="3408"/>
    <cellStyle name="Normal 5 2 5 2 2 3 2" xfId="3409"/>
    <cellStyle name="Normal 5 2 5 2 2 3 2 2" xfId="3410"/>
    <cellStyle name="Normal 5 2 5 2 2 3 2 2 2" xfId="7693"/>
    <cellStyle name="Normal 5 2 5 2 2 3 2 3" xfId="5903"/>
    <cellStyle name="Normal 5 2 5 2 2 3 3" xfId="3411"/>
    <cellStyle name="Normal 5 2 5 2 2 3 3 2" xfId="3412"/>
    <cellStyle name="Normal 5 2 5 2 2 3 3 2 2" xfId="7694"/>
    <cellStyle name="Normal 5 2 5 2 2 3 3 3" xfId="5904"/>
    <cellStyle name="Normal 5 2 5 2 2 3 4" xfId="3413"/>
    <cellStyle name="Normal 5 2 5 2 2 3 4 2" xfId="7692"/>
    <cellStyle name="Normal 5 2 5 2 2 3 5" xfId="5902"/>
    <cellStyle name="Normal 5 2 5 2 2 3_13008" xfId="3414"/>
    <cellStyle name="Normal 5 2 5 2 2 4" xfId="3415"/>
    <cellStyle name="Normal 5 2 5 2 2 4 2" xfId="3416"/>
    <cellStyle name="Normal 5 2 5 2 2 4 2 2" xfId="7695"/>
    <cellStyle name="Normal 5 2 5 2 2 4 3" xfId="5905"/>
    <cellStyle name="Normal 5 2 5 2 2 5" xfId="3417"/>
    <cellStyle name="Normal 5 2 5 2 2 5 2" xfId="3418"/>
    <cellStyle name="Normal 5 2 5 2 2 5 2 2" xfId="7696"/>
    <cellStyle name="Normal 5 2 5 2 2 5 3" xfId="5906"/>
    <cellStyle name="Normal 5 2 5 2 2 6" xfId="3419"/>
    <cellStyle name="Normal 5 2 5 2 2 6 2" xfId="7688"/>
    <cellStyle name="Normal 5 2 5 2 2 7" xfId="5898"/>
    <cellStyle name="Normal 5 2 5 2 2_13008" xfId="3420"/>
    <cellStyle name="Normal 5 2 5 2 3" xfId="3421"/>
    <cellStyle name="Normal 5 2 5 2 3 2" xfId="3422"/>
    <cellStyle name="Normal 5 2 5 2 3 2 2" xfId="3423"/>
    <cellStyle name="Normal 5 2 5 2 3 2 2 2" xfId="7698"/>
    <cellStyle name="Normal 5 2 5 2 3 2 3" xfId="5908"/>
    <cellStyle name="Normal 5 2 5 2 3 3" xfId="3424"/>
    <cellStyle name="Normal 5 2 5 2 3 3 2" xfId="3425"/>
    <cellStyle name="Normal 5 2 5 2 3 3 2 2" xfId="7699"/>
    <cellStyle name="Normal 5 2 5 2 3 3 3" xfId="5909"/>
    <cellStyle name="Normal 5 2 5 2 3 4" xfId="3426"/>
    <cellStyle name="Normal 5 2 5 2 3 4 2" xfId="7697"/>
    <cellStyle name="Normal 5 2 5 2 3 5" xfId="5907"/>
    <cellStyle name="Normal 5 2 5 2 3_13008" xfId="3427"/>
    <cellStyle name="Normal 5 2 5 2 4" xfId="3428"/>
    <cellStyle name="Normal 5 2 5 2 4 2" xfId="3429"/>
    <cellStyle name="Normal 5 2 5 2 4 2 2" xfId="3430"/>
    <cellStyle name="Normal 5 2 5 2 4 2 2 2" xfId="7701"/>
    <cellStyle name="Normal 5 2 5 2 4 2 3" xfId="5911"/>
    <cellStyle name="Normal 5 2 5 2 4 3" xfId="3431"/>
    <cellStyle name="Normal 5 2 5 2 4 3 2" xfId="3432"/>
    <cellStyle name="Normal 5 2 5 2 4 3 2 2" xfId="7702"/>
    <cellStyle name="Normal 5 2 5 2 4 3 3" xfId="5912"/>
    <cellStyle name="Normal 5 2 5 2 4 4" xfId="3433"/>
    <cellStyle name="Normal 5 2 5 2 4 4 2" xfId="7700"/>
    <cellStyle name="Normal 5 2 5 2 4 5" xfId="5910"/>
    <cellStyle name="Normal 5 2 5 2 4_13008" xfId="3434"/>
    <cellStyle name="Normal 5 2 5 2 5" xfId="3435"/>
    <cellStyle name="Normal 5 2 5 2 5 2" xfId="3436"/>
    <cellStyle name="Normal 5 2 5 2 5 2 2" xfId="3437"/>
    <cellStyle name="Normal 5 2 5 2 5 2 2 2" xfId="7704"/>
    <cellStyle name="Normal 5 2 5 2 5 2 3" xfId="5914"/>
    <cellStyle name="Normal 5 2 5 2 5 3" xfId="3438"/>
    <cellStyle name="Normal 5 2 5 2 5 3 2" xfId="3439"/>
    <cellStyle name="Normal 5 2 5 2 5 3 2 2" xfId="7705"/>
    <cellStyle name="Normal 5 2 5 2 5 3 3" xfId="5915"/>
    <cellStyle name="Normal 5 2 5 2 5 4" xfId="3440"/>
    <cellStyle name="Normal 5 2 5 2 5 4 2" xfId="7703"/>
    <cellStyle name="Normal 5 2 5 2 5 5" xfId="5913"/>
    <cellStyle name="Normal 5 2 5 2 5_13008" xfId="3441"/>
    <cellStyle name="Normal 5 2 5 2 6" xfId="3442"/>
    <cellStyle name="Normal 5 2 5 2 6 2" xfId="3443"/>
    <cellStyle name="Normal 5 2 5 2 6 2 2" xfId="7706"/>
    <cellStyle name="Normal 5 2 5 2 6 3" xfId="5916"/>
    <cellStyle name="Normal 5 2 5 2 7" xfId="3444"/>
    <cellStyle name="Normal 5 2 5 2 7 2" xfId="3445"/>
    <cellStyle name="Normal 5 2 5 2 7 2 2" xfId="7707"/>
    <cellStyle name="Normal 5 2 5 2 7 3" xfId="5917"/>
    <cellStyle name="Normal 5 2 5 2 8" xfId="3446"/>
    <cellStyle name="Normal 5 2 5 2 8 2" xfId="3447"/>
    <cellStyle name="Normal 5 2 5 2 8 2 2" xfId="7708"/>
    <cellStyle name="Normal 5 2 5 2 8 3" xfId="5918"/>
    <cellStyle name="Normal 5 2 5 2 9" xfId="3448"/>
    <cellStyle name="Normal 5 2 5 2 9 2" xfId="7687"/>
    <cellStyle name="Normal 5 2 5 2_13008" xfId="3449"/>
    <cellStyle name="Normal 5 2 5 3" xfId="3450"/>
    <cellStyle name="Normal 5 2 5 3 10" xfId="3451"/>
    <cellStyle name="Normal 5 2 5 3 10 2" xfId="3452"/>
    <cellStyle name="Normal 5 2 5 3 10 2 2" xfId="3453"/>
    <cellStyle name="Normal 5 2 5 3 10 2 2 2" xfId="7711"/>
    <cellStyle name="Normal 5 2 5 3 10 2 3" xfId="5921"/>
    <cellStyle name="Normal 5 2 5 3 10 3" xfId="3454"/>
    <cellStyle name="Normal 5 2 5 3 10 3 2" xfId="3455"/>
    <cellStyle name="Normal 5 2 5 3 10 3 2 2" xfId="7712"/>
    <cellStyle name="Normal 5 2 5 3 10 3 3" xfId="5922"/>
    <cellStyle name="Normal 5 2 5 3 10 4" xfId="3456"/>
    <cellStyle name="Normal 5 2 5 3 10 4 2" xfId="7710"/>
    <cellStyle name="Normal 5 2 5 3 10 5" xfId="5920"/>
    <cellStyle name="Normal 5 2 5 3 10_13008" xfId="3457"/>
    <cellStyle name="Normal 5 2 5 3 11" xfId="3458"/>
    <cellStyle name="Normal 5 2 5 3 11 2" xfId="3459"/>
    <cellStyle name="Normal 5 2 5 3 11 2 2" xfId="3460"/>
    <cellStyle name="Normal 5 2 5 3 11 2 2 2" xfId="7714"/>
    <cellStyle name="Normal 5 2 5 3 11 2 3" xfId="5924"/>
    <cellStyle name="Normal 5 2 5 3 11 3" xfId="3461"/>
    <cellStyle name="Normal 5 2 5 3 11 3 2" xfId="3462"/>
    <cellStyle name="Normal 5 2 5 3 11 3 2 2" xfId="7715"/>
    <cellStyle name="Normal 5 2 5 3 11 3 3" xfId="5925"/>
    <cellStyle name="Normal 5 2 5 3 11 4" xfId="3463"/>
    <cellStyle name="Normal 5 2 5 3 11 4 2" xfId="7713"/>
    <cellStyle name="Normal 5 2 5 3 11 5" xfId="5923"/>
    <cellStyle name="Normal 5 2 5 3 11_13008" xfId="3464"/>
    <cellStyle name="Normal 5 2 5 3 12" xfId="3465"/>
    <cellStyle name="Normal 5 2 5 3 12 2" xfId="3466"/>
    <cellStyle name="Normal 5 2 5 3 12 2 2" xfId="3467"/>
    <cellStyle name="Normal 5 2 5 3 12 2 2 2" xfId="7717"/>
    <cellStyle name="Normal 5 2 5 3 12 2 3" xfId="5927"/>
    <cellStyle name="Normal 5 2 5 3 12 3" xfId="3468"/>
    <cellStyle name="Normal 5 2 5 3 12 3 2" xfId="3469"/>
    <cellStyle name="Normal 5 2 5 3 12 3 2 2" xfId="7718"/>
    <cellStyle name="Normal 5 2 5 3 12 3 3" xfId="5928"/>
    <cellStyle name="Normal 5 2 5 3 12 4" xfId="3470"/>
    <cellStyle name="Normal 5 2 5 3 12 4 2" xfId="7716"/>
    <cellStyle name="Normal 5 2 5 3 12 5" xfId="5926"/>
    <cellStyle name="Normal 5 2 5 3 12_13008" xfId="3471"/>
    <cellStyle name="Normal 5 2 5 3 13" xfId="3472"/>
    <cellStyle name="Normal 5 2 5 3 13 2" xfId="3473"/>
    <cellStyle name="Normal 5 2 5 3 13 2 2" xfId="7719"/>
    <cellStyle name="Normal 5 2 5 3 13 3" xfId="5929"/>
    <cellStyle name="Normal 5 2 5 3 14" xfId="3474"/>
    <cellStyle name="Normal 5 2 5 3 14 2" xfId="3475"/>
    <cellStyle name="Normal 5 2 5 3 14 2 2" xfId="7720"/>
    <cellStyle name="Normal 5 2 5 3 14 3" xfId="5930"/>
    <cellStyle name="Normal 5 2 5 3 15" xfId="3476"/>
    <cellStyle name="Normal 5 2 5 3 15 2" xfId="3477"/>
    <cellStyle name="Normal 5 2 5 3 15 2 2" xfId="7721"/>
    <cellStyle name="Normal 5 2 5 3 15 3" xfId="5931"/>
    <cellStyle name="Normal 5 2 5 3 16" xfId="3478"/>
    <cellStyle name="Normal 5 2 5 3 16 2" xfId="3479"/>
    <cellStyle name="Normal 5 2 5 3 16 2 2" xfId="7722"/>
    <cellStyle name="Normal 5 2 5 3 16 3" xfId="5932"/>
    <cellStyle name="Normal 5 2 5 3 17" xfId="3480"/>
    <cellStyle name="Normal 5 2 5 3 17 2" xfId="3481"/>
    <cellStyle name="Normal 5 2 5 3 17 2 2" xfId="7723"/>
    <cellStyle name="Normal 5 2 5 3 17 3" xfId="5933"/>
    <cellStyle name="Normal 5 2 5 3 18" xfId="3482"/>
    <cellStyle name="Normal 5 2 5 3 18 2" xfId="7709"/>
    <cellStyle name="Normal 5 2 5 3 19" xfId="5919"/>
    <cellStyle name="Normal 5 2 5 3 2" xfId="3483"/>
    <cellStyle name="Normal 5 2 5 3 2 2" xfId="3484"/>
    <cellStyle name="Normal 5 2 5 3 2 2 2" xfId="3485"/>
    <cellStyle name="Normal 5 2 5 3 2 2 2 2" xfId="3486"/>
    <cellStyle name="Normal 5 2 5 3 2 2 2 2 2" xfId="3487"/>
    <cellStyle name="Normal 5 2 5 3 2 2 2 2 2 2" xfId="7727"/>
    <cellStyle name="Normal 5 2 5 3 2 2 2 2 3" xfId="5937"/>
    <cellStyle name="Normal 5 2 5 3 2 2 2 3" xfId="3488"/>
    <cellStyle name="Normal 5 2 5 3 2 2 2 3 2" xfId="3489"/>
    <cellStyle name="Normal 5 2 5 3 2 2 2 3 2 2" xfId="7728"/>
    <cellStyle name="Normal 5 2 5 3 2 2 2 3 3" xfId="5938"/>
    <cellStyle name="Normal 5 2 5 3 2 2 2 4" xfId="3490"/>
    <cellStyle name="Normal 5 2 5 3 2 2 2 4 2" xfId="7726"/>
    <cellStyle name="Normal 5 2 5 3 2 2 2 5" xfId="5936"/>
    <cellStyle name="Normal 5 2 5 3 2 2 2_13008" xfId="3491"/>
    <cellStyle name="Normal 5 2 5 3 2 2 3" xfId="3492"/>
    <cellStyle name="Normal 5 2 5 3 2 2 3 2" xfId="3493"/>
    <cellStyle name="Normal 5 2 5 3 2 2 3 2 2" xfId="3494"/>
    <cellStyle name="Normal 5 2 5 3 2 2 3 2 2 2" xfId="7730"/>
    <cellStyle name="Normal 5 2 5 3 2 2 3 2 3" xfId="5940"/>
    <cellStyle name="Normal 5 2 5 3 2 2 3 3" xfId="3495"/>
    <cellStyle name="Normal 5 2 5 3 2 2 3 3 2" xfId="3496"/>
    <cellStyle name="Normal 5 2 5 3 2 2 3 3 2 2" xfId="7731"/>
    <cellStyle name="Normal 5 2 5 3 2 2 3 3 3" xfId="5941"/>
    <cellStyle name="Normal 5 2 5 3 2 2 3 4" xfId="3497"/>
    <cellStyle name="Normal 5 2 5 3 2 2 3 4 2" xfId="7729"/>
    <cellStyle name="Normal 5 2 5 3 2 2 3 5" xfId="5939"/>
    <cellStyle name="Normal 5 2 5 3 2 2 3_13008" xfId="3498"/>
    <cellStyle name="Normal 5 2 5 3 2 2 4" xfId="3499"/>
    <cellStyle name="Normal 5 2 5 3 2 2 4 2" xfId="3500"/>
    <cellStyle name="Normal 5 2 5 3 2 2 4 2 2" xfId="7732"/>
    <cellStyle name="Normal 5 2 5 3 2 2 4 3" xfId="5942"/>
    <cellStyle name="Normal 5 2 5 3 2 2 5" xfId="3501"/>
    <cellStyle name="Normal 5 2 5 3 2 2 5 2" xfId="3502"/>
    <cellStyle name="Normal 5 2 5 3 2 2 5 2 2" xfId="7733"/>
    <cellStyle name="Normal 5 2 5 3 2 2 5 3" xfId="5943"/>
    <cellStyle name="Normal 5 2 5 3 2 2 6" xfId="3503"/>
    <cellStyle name="Normal 5 2 5 3 2 2 6 2" xfId="7725"/>
    <cellStyle name="Normal 5 2 5 3 2 2 7" xfId="5935"/>
    <cellStyle name="Normal 5 2 5 3 2 2_13008" xfId="3504"/>
    <cellStyle name="Normal 5 2 5 3 2 3" xfId="3505"/>
    <cellStyle name="Normal 5 2 5 3 2 3 2" xfId="3506"/>
    <cellStyle name="Normal 5 2 5 3 2 3 2 2" xfId="3507"/>
    <cellStyle name="Normal 5 2 5 3 2 3 2 2 2" xfId="7735"/>
    <cellStyle name="Normal 5 2 5 3 2 3 2 3" xfId="5945"/>
    <cellStyle name="Normal 5 2 5 3 2 3 3" xfId="3508"/>
    <cellStyle name="Normal 5 2 5 3 2 3 3 2" xfId="3509"/>
    <cellStyle name="Normal 5 2 5 3 2 3 3 2 2" xfId="7736"/>
    <cellStyle name="Normal 5 2 5 3 2 3 3 3" xfId="5946"/>
    <cellStyle name="Normal 5 2 5 3 2 3 4" xfId="3510"/>
    <cellStyle name="Normal 5 2 5 3 2 3 4 2" xfId="7734"/>
    <cellStyle name="Normal 5 2 5 3 2 3 5" xfId="5944"/>
    <cellStyle name="Normal 5 2 5 3 2 3_13008" xfId="3511"/>
    <cellStyle name="Normal 5 2 5 3 2 4" xfId="3512"/>
    <cellStyle name="Normal 5 2 5 3 2 4 2" xfId="3513"/>
    <cellStyle name="Normal 5 2 5 3 2 4 2 2" xfId="3514"/>
    <cellStyle name="Normal 5 2 5 3 2 4 2 2 2" xfId="7738"/>
    <cellStyle name="Normal 5 2 5 3 2 4 2 3" xfId="5948"/>
    <cellStyle name="Normal 5 2 5 3 2 4 3" xfId="3515"/>
    <cellStyle name="Normal 5 2 5 3 2 4 3 2" xfId="3516"/>
    <cellStyle name="Normal 5 2 5 3 2 4 3 2 2" xfId="7739"/>
    <cellStyle name="Normal 5 2 5 3 2 4 3 3" xfId="5949"/>
    <cellStyle name="Normal 5 2 5 3 2 4 4" xfId="3517"/>
    <cellStyle name="Normal 5 2 5 3 2 4 4 2" xfId="7737"/>
    <cellStyle name="Normal 5 2 5 3 2 4 5" xfId="5947"/>
    <cellStyle name="Normal 5 2 5 3 2 4_13008" xfId="3518"/>
    <cellStyle name="Normal 5 2 5 3 2 5" xfId="3519"/>
    <cellStyle name="Normal 5 2 5 3 2 5 2" xfId="3520"/>
    <cellStyle name="Normal 5 2 5 3 2 5 2 2" xfId="3521"/>
    <cellStyle name="Normal 5 2 5 3 2 5 2 2 2" xfId="7741"/>
    <cellStyle name="Normal 5 2 5 3 2 5 2 3" xfId="5951"/>
    <cellStyle name="Normal 5 2 5 3 2 5 3" xfId="3522"/>
    <cellStyle name="Normal 5 2 5 3 2 5 3 2" xfId="3523"/>
    <cellStyle name="Normal 5 2 5 3 2 5 3 2 2" xfId="7742"/>
    <cellStyle name="Normal 5 2 5 3 2 5 3 3" xfId="5952"/>
    <cellStyle name="Normal 5 2 5 3 2 5 4" xfId="3524"/>
    <cellStyle name="Normal 5 2 5 3 2 5 4 2" xfId="7740"/>
    <cellStyle name="Normal 5 2 5 3 2 5 5" xfId="5950"/>
    <cellStyle name="Normal 5 2 5 3 2 5_13008" xfId="3525"/>
    <cellStyle name="Normal 5 2 5 3 2 6" xfId="3526"/>
    <cellStyle name="Normal 5 2 5 3 2 6 2" xfId="3527"/>
    <cellStyle name="Normal 5 2 5 3 2 6 2 2" xfId="7743"/>
    <cellStyle name="Normal 5 2 5 3 2 6 3" xfId="5953"/>
    <cellStyle name="Normal 5 2 5 3 2 7" xfId="3528"/>
    <cellStyle name="Normal 5 2 5 3 2 7 2" xfId="3529"/>
    <cellStyle name="Normal 5 2 5 3 2 7 2 2" xfId="7744"/>
    <cellStyle name="Normal 5 2 5 3 2 7 3" xfId="5954"/>
    <cellStyle name="Normal 5 2 5 3 2 8" xfId="3530"/>
    <cellStyle name="Normal 5 2 5 3 2 8 2" xfId="7724"/>
    <cellStyle name="Normal 5 2 5 3 2 9" xfId="5934"/>
    <cellStyle name="Normal 5 2 5 3 2_13008" xfId="3531"/>
    <cellStyle name="Normal 5 2 5 3 3" xfId="3532"/>
    <cellStyle name="Normal 5 2 5 3 3 2" xfId="3533"/>
    <cellStyle name="Normal 5 2 5 3 3 2 2" xfId="3534"/>
    <cellStyle name="Normal 5 2 5 3 3 2 2 2" xfId="3535"/>
    <cellStyle name="Normal 5 2 5 3 3 2 2 2 2" xfId="7747"/>
    <cellStyle name="Normal 5 2 5 3 3 2 2 3" xfId="5957"/>
    <cellStyle name="Normal 5 2 5 3 3 2 3" xfId="3536"/>
    <cellStyle name="Normal 5 2 5 3 3 2 3 2" xfId="3537"/>
    <cellStyle name="Normal 5 2 5 3 3 2 3 2 2" xfId="7748"/>
    <cellStyle name="Normal 5 2 5 3 3 2 3 3" xfId="5958"/>
    <cellStyle name="Normal 5 2 5 3 3 2 4" xfId="3538"/>
    <cellStyle name="Normal 5 2 5 3 3 2 4 2" xfId="7746"/>
    <cellStyle name="Normal 5 2 5 3 3 2 5" xfId="5956"/>
    <cellStyle name="Normal 5 2 5 3 3 2_13008" xfId="3539"/>
    <cellStyle name="Normal 5 2 5 3 3 3" xfId="3540"/>
    <cellStyle name="Normal 5 2 5 3 3 3 2" xfId="3541"/>
    <cellStyle name="Normal 5 2 5 3 3 3 2 2" xfId="3542"/>
    <cellStyle name="Normal 5 2 5 3 3 3 2 2 2" xfId="7750"/>
    <cellStyle name="Normal 5 2 5 3 3 3 2 3" xfId="5960"/>
    <cellStyle name="Normal 5 2 5 3 3 3 3" xfId="3543"/>
    <cellStyle name="Normal 5 2 5 3 3 3 3 2" xfId="3544"/>
    <cellStyle name="Normal 5 2 5 3 3 3 3 2 2" xfId="7751"/>
    <cellStyle name="Normal 5 2 5 3 3 3 3 3" xfId="5961"/>
    <cellStyle name="Normal 5 2 5 3 3 3 4" xfId="3545"/>
    <cellStyle name="Normal 5 2 5 3 3 3 4 2" xfId="7749"/>
    <cellStyle name="Normal 5 2 5 3 3 3 5" xfId="5959"/>
    <cellStyle name="Normal 5 2 5 3 3 3_13008" xfId="3546"/>
    <cellStyle name="Normal 5 2 5 3 3 4" xfId="3547"/>
    <cellStyle name="Normal 5 2 5 3 3 4 2" xfId="3548"/>
    <cellStyle name="Normal 5 2 5 3 3 4 2 2" xfId="7752"/>
    <cellStyle name="Normal 5 2 5 3 3 4 3" xfId="5962"/>
    <cellStyle name="Normal 5 2 5 3 3 5" xfId="3549"/>
    <cellStyle name="Normal 5 2 5 3 3 5 2" xfId="3550"/>
    <cellStyle name="Normal 5 2 5 3 3 5 2 2" xfId="7753"/>
    <cellStyle name="Normal 5 2 5 3 3 5 3" xfId="5963"/>
    <cellStyle name="Normal 5 2 5 3 3 6" xfId="3551"/>
    <cellStyle name="Normal 5 2 5 3 3 6 2" xfId="7745"/>
    <cellStyle name="Normal 5 2 5 3 3 7" xfId="5955"/>
    <cellStyle name="Normal 5 2 5 3 3_13008" xfId="3552"/>
    <cellStyle name="Normal 5 2 5 3 4" xfId="3553"/>
    <cellStyle name="Normal 5 2 5 3 4 2" xfId="3554"/>
    <cellStyle name="Normal 5 2 5 3 4 2 2" xfId="3555"/>
    <cellStyle name="Normal 5 2 5 3 4 2 2 2" xfId="7755"/>
    <cellStyle name="Normal 5 2 5 3 4 2 3" xfId="5965"/>
    <cellStyle name="Normal 5 2 5 3 4 3" xfId="3556"/>
    <cellStyle name="Normal 5 2 5 3 4 3 2" xfId="3557"/>
    <cellStyle name="Normal 5 2 5 3 4 3 2 2" xfId="7756"/>
    <cellStyle name="Normal 5 2 5 3 4 3 3" xfId="5966"/>
    <cellStyle name="Normal 5 2 5 3 4 4" xfId="3558"/>
    <cellStyle name="Normal 5 2 5 3 4 4 2" xfId="7754"/>
    <cellStyle name="Normal 5 2 5 3 4 5" xfId="5964"/>
    <cellStyle name="Normal 5 2 5 3 4_13008" xfId="3559"/>
    <cellStyle name="Normal 5 2 5 3 5" xfId="3560"/>
    <cellStyle name="Normal 5 2 5 3 5 2" xfId="3561"/>
    <cellStyle name="Normal 5 2 5 3 5 2 2" xfId="3562"/>
    <cellStyle name="Normal 5 2 5 3 5 2 2 2" xfId="7758"/>
    <cellStyle name="Normal 5 2 5 3 5 2 3" xfId="5968"/>
    <cellStyle name="Normal 5 2 5 3 5 3" xfId="3563"/>
    <cellStyle name="Normal 5 2 5 3 5 3 2" xfId="3564"/>
    <cellStyle name="Normal 5 2 5 3 5 3 2 2" xfId="7759"/>
    <cellStyle name="Normal 5 2 5 3 5 3 3" xfId="5969"/>
    <cellStyle name="Normal 5 2 5 3 5 4" xfId="3565"/>
    <cellStyle name="Normal 5 2 5 3 5 4 2" xfId="7757"/>
    <cellStyle name="Normal 5 2 5 3 5 5" xfId="5967"/>
    <cellStyle name="Normal 5 2 5 3 5_13008" xfId="3566"/>
    <cellStyle name="Normal 5 2 5 3 6" xfId="3567"/>
    <cellStyle name="Normal 5 2 5 3 6 2" xfId="3568"/>
    <cellStyle name="Normal 5 2 5 3 6 2 2" xfId="3569"/>
    <cellStyle name="Normal 5 2 5 3 6 2 2 2" xfId="7761"/>
    <cellStyle name="Normal 5 2 5 3 6 2 3" xfId="5971"/>
    <cellStyle name="Normal 5 2 5 3 6 3" xfId="3570"/>
    <cellStyle name="Normal 5 2 5 3 6 3 2" xfId="3571"/>
    <cellStyle name="Normal 5 2 5 3 6 3 2 2" xfId="7762"/>
    <cellStyle name="Normal 5 2 5 3 6 3 3" xfId="5972"/>
    <cellStyle name="Normal 5 2 5 3 6 4" xfId="3572"/>
    <cellStyle name="Normal 5 2 5 3 6 4 2" xfId="7760"/>
    <cellStyle name="Normal 5 2 5 3 6 5" xfId="5970"/>
    <cellStyle name="Normal 5 2 5 3 6_13008" xfId="3573"/>
    <cellStyle name="Normal 5 2 5 3 7" xfId="3574"/>
    <cellStyle name="Normal 5 2 5 3 7 2" xfId="3575"/>
    <cellStyle name="Normal 5 2 5 3 7 2 2" xfId="3576"/>
    <cellStyle name="Normal 5 2 5 3 7 2 2 2" xfId="7764"/>
    <cellStyle name="Normal 5 2 5 3 7 2 3" xfId="5974"/>
    <cellStyle name="Normal 5 2 5 3 7 3" xfId="3577"/>
    <cellStyle name="Normal 5 2 5 3 7 3 2" xfId="3578"/>
    <cellStyle name="Normal 5 2 5 3 7 3 2 2" xfId="7765"/>
    <cellStyle name="Normal 5 2 5 3 7 3 3" xfId="5975"/>
    <cellStyle name="Normal 5 2 5 3 7 4" xfId="3579"/>
    <cellStyle name="Normal 5 2 5 3 7 4 2" xfId="7763"/>
    <cellStyle name="Normal 5 2 5 3 7 5" xfId="5973"/>
    <cellStyle name="Normal 5 2 5 3 7_13008" xfId="3580"/>
    <cellStyle name="Normal 5 2 5 3 8" xfId="3581"/>
    <cellStyle name="Normal 5 2 5 3 8 2" xfId="3582"/>
    <cellStyle name="Normal 5 2 5 3 8 2 2" xfId="3583"/>
    <cellStyle name="Normal 5 2 5 3 8 2 2 2" xfId="7767"/>
    <cellStyle name="Normal 5 2 5 3 8 2 3" xfId="5977"/>
    <cellStyle name="Normal 5 2 5 3 8 3" xfId="3584"/>
    <cellStyle name="Normal 5 2 5 3 8 3 2" xfId="3585"/>
    <cellStyle name="Normal 5 2 5 3 8 3 2 2" xfId="7768"/>
    <cellStyle name="Normal 5 2 5 3 8 3 3" xfId="5978"/>
    <cellStyle name="Normal 5 2 5 3 8 4" xfId="3586"/>
    <cellStyle name="Normal 5 2 5 3 8 4 2" xfId="7766"/>
    <cellStyle name="Normal 5 2 5 3 8 5" xfId="5976"/>
    <cellStyle name="Normal 5 2 5 3 8_13008" xfId="3587"/>
    <cellStyle name="Normal 5 2 5 3 9" xfId="3588"/>
    <cellStyle name="Normal 5 2 5 3 9 2" xfId="3589"/>
    <cellStyle name="Normal 5 2 5 3 9 2 2" xfId="3590"/>
    <cellStyle name="Normal 5 2 5 3 9 2 2 2" xfId="7770"/>
    <cellStyle name="Normal 5 2 5 3 9 2 3" xfId="5980"/>
    <cellStyle name="Normal 5 2 5 3 9 3" xfId="3591"/>
    <cellStyle name="Normal 5 2 5 3 9 3 2" xfId="3592"/>
    <cellStyle name="Normal 5 2 5 3 9 3 2 2" xfId="7771"/>
    <cellStyle name="Normal 5 2 5 3 9 3 3" xfId="5981"/>
    <cellStyle name="Normal 5 2 5 3 9 4" xfId="3593"/>
    <cellStyle name="Normal 5 2 5 3 9 4 2" xfId="7769"/>
    <cellStyle name="Normal 5 2 5 3 9 5" xfId="5979"/>
    <cellStyle name="Normal 5 2 5 3 9_13008" xfId="3594"/>
    <cellStyle name="Normal 5 2 5 3_13008" xfId="3595"/>
    <cellStyle name="Normal 5 2 5 4" xfId="3596"/>
    <cellStyle name="Normal 5 2 5 4 2" xfId="3597"/>
    <cellStyle name="Normal 5 2 5 4 2 2" xfId="3598"/>
    <cellStyle name="Normal 5 2 5 4 2 2 2" xfId="3599"/>
    <cellStyle name="Normal 5 2 5 4 2 2 2 2" xfId="7774"/>
    <cellStyle name="Normal 5 2 5 4 2 2 3" xfId="5984"/>
    <cellStyle name="Normal 5 2 5 4 2 3" xfId="3600"/>
    <cellStyle name="Normal 5 2 5 4 2 3 2" xfId="3601"/>
    <cellStyle name="Normal 5 2 5 4 2 3 2 2" xfId="7775"/>
    <cellStyle name="Normal 5 2 5 4 2 3 3" xfId="5985"/>
    <cellStyle name="Normal 5 2 5 4 2 4" xfId="3602"/>
    <cellStyle name="Normal 5 2 5 4 2 4 2" xfId="7773"/>
    <cellStyle name="Normal 5 2 5 4 2 5" xfId="5983"/>
    <cellStyle name="Normal 5 2 5 4 2_13008" xfId="3603"/>
    <cellStyle name="Normal 5 2 5 4 3" xfId="3604"/>
    <cellStyle name="Normal 5 2 5 4 3 2" xfId="3605"/>
    <cellStyle name="Normal 5 2 5 4 3 2 2" xfId="3606"/>
    <cellStyle name="Normal 5 2 5 4 3 2 2 2" xfId="7777"/>
    <cellStyle name="Normal 5 2 5 4 3 2 3" xfId="5987"/>
    <cellStyle name="Normal 5 2 5 4 3 3" xfId="3607"/>
    <cellStyle name="Normal 5 2 5 4 3 3 2" xfId="3608"/>
    <cellStyle name="Normal 5 2 5 4 3 3 2 2" xfId="7778"/>
    <cellStyle name="Normal 5 2 5 4 3 3 3" xfId="5988"/>
    <cellStyle name="Normal 5 2 5 4 3 4" xfId="3609"/>
    <cellStyle name="Normal 5 2 5 4 3 4 2" xfId="7776"/>
    <cellStyle name="Normal 5 2 5 4 3 5" xfId="5986"/>
    <cellStyle name="Normal 5 2 5 4 3_13008" xfId="3610"/>
    <cellStyle name="Normal 5 2 5 4 4" xfId="3611"/>
    <cellStyle name="Normal 5 2 5 4 4 2" xfId="3612"/>
    <cellStyle name="Normal 5 2 5 4 4 2 2" xfId="7779"/>
    <cellStyle name="Normal 5 2 5 4 4 3" xfId="5989"/>
    <cellStyle name="Normal 5 2 5 4 5" xfId="3613"/>
    <cellStyle name="Normal 5 2 5 4 5 2" xfId="3614"/>
    <cellStyle name="Normal 5 2 5 4 5 2 2" xfId="7780"/>
    <cellStyle name="Normal 5 2 5 4 5 3" xfId="5990"/>
    <cellStyle name="Normal 5 2 5 4 6" xfId="3615"/>
    <cellStyle name="Normal 5 2 5 4 6 2" xfId="7772"/>
    <cellStyle name="Normal 5 2 5 4 7" xfId="5982"/>
    <cellStyle name="Normal 5 2 5 4_13008" xfId="3616"/>
    <cellStyle name="Normal 5 2 5 5" xfId="3617"/>
    <cellStyle name="Normal 5 2 5 5 2" xfId="3618"/>
    <cellStyle name="Normal 5 2 5 5 2 2" xfId="3619"/>
    <cellStyle name="Normal 5 2 5 5 2 2 2" xfId="7782"/>
    <cellStyle name="Normal 5 2 5 5 2 3" xfId="5992"/>
    <cellStyle name="Normal 5 2 5 5 3" xfId="3620"/>
    <cellStyle name="Normal 5 2 5 5 3 2" xfId="3621"/>
    <cellStyle name="Normal 5 2 5 5 3 2 2" xfId="7783"/>
    <cellStyle name="Normal 5 2 5 5 3 3" xfId="5993"/>
    <cellStyle name="Normal 5 2 5 5 4" xfId="3622"/>
    <cellStyle name="Normal 5 2 5 5 4 2" xfId="7781"/>
    <cellStyle name="Normal 5 2 5 5 5" xfId="5991"/>
    <cellStyle name="Normal 5 2 5 5_13008" xfId="3623"/>
    <cellStyle name="Normal 5 2 5 6" xfId="3624"/>
    <cellStyle name="Normal 5 2 5 6 2" xfId="3625"/>
    <cellStyle name="Normal 5 2 5 6 2 2" xfId="3626"/>
    <cellStyle name="Normal 5 2 5 6 2 2 2" xfId="7785"/>
    <cellStyle name="Normal 5 2 5 6 2 3" xfId="5995"/>
    <cellStyle name="Normal 5 2 5 6 3" xfId="3627"/>
    <cellStyle name="Normal 5 2 5 6 3 2" xfId="3628"/>
    <cellStyle name="Normal 5 2 5 6 3 2 2" xfId="7786"/>
    <cellStyle name="Normal 5 2 5 6 3 3" xfId="5996"/>
    <cellStyle name="Normal 5 2 5 6 4" xfId="3629"/>
    <cellStyle name="Normal 5 2 5 6 4 2" xfId="7784"/>
    <cellStyle name="Normal 5 2 5 6 5" xfId="5994"/>
    <cellStyle name="Normal 5 2 5 6_13008" xfId="3630"/>
    <cellStyle name="Normal 5 2 5 7" xfId="3631"/>
    <cellStyle name="Normal 5 2 5 7 2" xfId="3632"/>
    <cellStyle name="Normal 5 2 5 7 2 2" xfId="3633"/>
    <cellStyle name="Normal 5 2 5 7 2 2 2" xfId="7788"/>
    <cellStyle name="Normal 5 2 5 7 2 3" xfId="5998"/>
    <cellStyle name="Normal 5 2 5 7 3" xfId="3634"/>
    <cellStyle name="Normal 5 2 5 7 3 2" xfId="3635"/>
    <cellStyle name="Normal 5 2 5 7 3 2 2" xfId="7789"/>
    <cellStyle name="Normal 5 2 5 7 3 3" xfId="5999"/>
    <cellStyle name="Normal 5 2 5 7 4" xfId="3636"/>
    <cellStyle name="Normal 5 2 5 7 4 2" xfId="7787"/>
    <cellStyle name="Normal 5 2 5 7 5" xfId="5997"/>
    <cellStyle name="Normal 5 2 5 7_13008" xfId="3637"/>
    <cellStyle name="Normal 5 2 5 8" xfId="3638"/>
    <cellStyle name="Normal 5 2 5 8 2" xfId="3639"/>
    <cellStyle name="Normal 5 2 5 8 2 2" xfId="3640"/>
    <cellStyle name="Normal 5 2 5 8 2 2 2" xfId="7791"/>
    <cellStyle name="Normal 5 2 5 8 2 3" xfId="6001"/>
    <cellStyle name="Normal 5 2 5 8 3" xfId="3641"/>
    <cellStyle name="Normal 5 2 5 8 3 2" xfId="3642"/>
    <cellStyle name="Normal 5 2 5 8 3 2 2" xfId="7792"/>
    <cellStyle name="Normal 5 2 5 8 3 3" xfId="6002"/>
    <cellStyle name="Normal 5 2 5 8 4" xfId="3643"/>
    <cellStyle name="Normal 5 2 5 8 4 2" xfId="7790"/>
    <cellStyle name="Normal 5 2 5 8 5" xfId="6000"/>
    <cellStyle name="Normal 5 2 5 8_13008" xfId="3644"/>
    <cellStyle name="Normal 5 2 5 9" xfId="3645"/>
    <cellStyle name="Normal 5 2 5 9 2" xfId="3646"/>
    <cellStyle name="Normal 5 2 5 9 2 2" xfId="7793"/>
    <cellStyle name="Normal 5 2 5 9 3" xfId="6003"/>
    <cellStyle name="Normal 5 2 5_10070" xfId="3647"/>
    <cellStyle name="Normal 5 2 6" xfId="3648"/>
    <cellStyle name="Normal 5 2 6 2" xfId="3649"/>
    <cellStyle name="Normal 5 2 6 2 2" xfId="3650"/>
    <cellStyle name="Normal 5 2 6 3" xfId="3651"/>
    <cellStyle name="Normal 5 2 6 3 2" xfId="7794"/>
    <cellStyle name="Normal 5 2 6 4" xfId="6004"/>
    <cellStyle name="Normal 5 2 7" xfId="3652"/>
    <cellStyle name="Normal 5 2 7 2" xfId="3653"/>
    <cellStyle name="Normal 5 2 7 2 2" xfId="3654"/>
    <cellStyle name="Normal 5 2 7 2 2 2" xfId="7796"/>
    <cellStyle name="Normal 5 2 7 2 3" xfId="6006"/>
    <cellStyle name="Normal 5 2 7 3" xfId="3655"/>
    <cellStyle name="Normal 5 2 7 3 2" xfId="3656"/>
    <cellStyle name="Normal 5 2 7 3 2 2" xfId="7797"/>
    <cellStyle name="Normal 5 2 7 3 3" xfId="6007"/>
    <cellStyle name="Normal 5 2 7 4" xfId="3657"/>
    <cellStyle name="Normal 5 2 7 4 2" xfId="3658"/>
    <cellStyle name="Normal 5 2 7 4 2 2" xfId="7798"/>
    <cellStyle name="Normal 5 2 7 4 3" xfId="6008"/>
    <cellStyle name="Normal 5 2 7 5" xfId="3659"/>
    <cellStyle name="Normal 5 2 7 5 2" xfId="7795"/>
    <cellStyle name="Normal 5 2 7 6" xfId="6005"/>
    <cellStyle name="Normal 5 2 7_13008" xfId="3660"/>
    <cellStyle name="Normal 5 2 8" xfId="3661"/>
    <cellStyle name="Normal 5 2 8 2" xfId="3662"/>
    <cellStyle name="Normal 5 2 8 2 2" xfId="3663"/>
    <cellStyle name="Normal 5 2 8 2 2 2" xfId="7800"/>
    <cellStyle name="Normal 5 2 8 2 3" xfId="6010"/>
    <cellStyle name="Normal 5 2 8 3" xfId="3664"/>
    <cellStyle name="Normal 5 2 8 3 2" xfId="3665"/>
    <cellStyle name="Normal 5 2 8 3 2 2" xfId="7801"/>
    <cellStyle name="Normal 5 2 8 3 3" xfId="6011"/>
    <cellStyle name="Normal 5 2 8 4" xfId="3666"/>
    <cellStyle name="Normal 5 2 8 4 2" xfId="7799"/>
    <cellStyle name="Normal 5 2 8 5" xfId="6009"/>
    <cellStyle name="Normal 5 2 8_13008" xfId="3667"/>
    <cellStyle name="Normal 5 2 9" xfId="3668"/>
    <cellStyle name="Normal 5 2 9 2" xfId="3669"/>
    <cellStyle name="Normal 5 2 9 2 2" xfId="3670"/>
    <cellStyle name="Normal 5 2 9 2 2 2" xfId="7803"/>
    <cellStyle name="Normal 5 2 9 2 3" xfId="6013"/>
    <cellStyle name="Normal 5 2 9 3" xfId="3671"/>
    <cellStyle name="Normal 5 2 9 3 2" xfId="3672"/>
    <cellStyle name="Normal 5 2 9 3 2 2" xfId="7804"/>
    <cellStyle name="Normal 5 2 9 3 3" xfId="6014"/>
    <cellStyle name="Normal 5 2 9 4" xfId="3673"/>
    <cellStyle name="Normal 5 2 9 4 2" xfId="7802"/>
    <cellStyle name="Normal 5 2 9 5" xfId="6012"/>
    <cellStyle name="Normal 5 2 9_13008" xfId="3674"/>
    <cellStyle name="Normal 5 2_13008" xfId="3675"/>
    <cellStyle name="Normal 5 3" xfId="3676"/>
    <cellStyle name="Normal 5 3 2" xfId="3677"/>
    <cellStyle name="Normal 5 3 2 2" xfId="3678"/>
    <cellStyle name="Normal 5 3 2 2 2" xfId="3679"/>
    <cellStyle name="Normal 5 3 2 2 2 2" xfId="7807"/>
    <cellStyle name="Normal 5 3 2 2 3" xfId="6017"/>
    <cellStyle name="Normal 5 3 2 3" xfId="3680"/>
    <cellStyle name="Normal 5 3 2 3 2" xfId="7806"/>
    <cellStyle name="Normal 5 3 2 4" xfId="6016"/>
    <cellStyle name="Normal 5 3 3" xfId="3681"/>
    <cellStyle name="Normal 5 3 3 2" xfId="3682"/>
    <cellStyle name="Normal 5 3 3 2 2" xfId="7808"/>
    <cellStyle name="Normal 5 3 3 3" xfId="6018"/>
    <cellStyle name="Normal 5 3 4" xfId="3683"/>
    <cellStyle name="Normal 5 3 4 2" xfId="3684"/>
    <cellStyle name="Normal 5 3 4 2 2" xfId="7809"/>
    <cellStyle name="Normal 5 3 4 3" xfId="6019"/>
    <cellStyle name="Normal 5 3 5" xfId="3685"/>
    <cellStyle name="Normal 5 3 6" xfId="3686"/>
    <cellStyle name="Normal 5 3 6 2" xfId="3687"/>
    <cellStyle name="Normal 5 3 6 2 2" xfId="7805"/>
    <cellStyle name="Normal 5 3 6 3" xfId="6015"/>
    <cellStyle name="Normal 5 3 7" xfId="3688"/>
    <cellStyle name="Normal 5 4" xfId="3689"/>
    <cellStyle name="Normal 5 4 2" xfId="3690"/>
    <cellStyle name="Normal 5 4 2 2" xfId="3691"/>
    <cellStyle name="Normal 5 4 2 2 2" xfId="3692"/>
    <cellStyle name="Normal 5 4 2 2 2 2" xfId="7812"/>
    <cellStyle name="Normal 5 4 2 2 3" xfId="6022"/>
    <cellStyle name="Normal 5 4 2 3" xfId="3693"/>
    <cellStyle name="Normal 5 4 2 3 2" xfId="3694"/>
    <cellStyle name="Normal 5 4 2 3 2 2" xfId="7813"/>
    <cellStyle name="Normal 5 4 2 3 3" xfId="6023"/>
    <cellStyle name="Normal 5 4 2 4" xfId="3695"/>
    <cellStyle name="Normal 5 4 2 4 2" xfId="3696"/>
    <cellStyle name="Normal 5 4 2 4 2 2" xfId="7814"/>
    <cellStyle name="Normal 5 4 2 4 3" xfId="6024"/>
    <cellStyle name="Normal 5 4 2 5" xfId="3697"/>
    <cellStyle name="Normal 5 4 2 5 2" xfId="3698"/>
    <cellStyle name="Normal 5 4 2 5 2 2" xfId="7811"/>
    <cellStyle name="Normal 5 4 2 5 3" xfId="6021"/>
    <cellStyle name="Normal 5 4 2 6" xfId="3699"/>
    <cellStyle name="Normal 5 4 2 6 2" xfId="6465"/>
    <cellStyle name="Normal 5 4 2 7" xfId="4673"/>
    <cellStyle name="Normal 5 4 2_13008" xfId="3700"/>
    <cellStyle name="Normal 5 4 3" xfId="3701"/>
    <cellStyle name="Normal 5 4 3 2" xfId="3702"/>
    <cellStyle name="Normal 5 4 3 2 2" xfId="3703"/>
    <cellStyle name="Normal 5 4 3 2 2 2" xfId="7816"/>
    <cellStyle name="Normal 5 4 3 2 3" xfId="6026"/>
    <cellStyle name="Normal 5 4 3 3" xfId="3704"/>
    <cellStyle name="Normal 5 4 3 3 2" xfId="3705"/>
    <cellStyle name="Normal 5 4 3 3 2 2" xfId="7817"/>
    <cellStyle name="Normal 5 4 3 3 3" xfId="6027"/>
    <cellStyle name="Normal 5 4 3 4" xfId="3706"/>
    <cellStyle name="Normal 5 4 3 4 2" xfId="3707"/>
    <cellStyle name="Normal 5 4 3 4 2 2" xfId="7818"/>
    <cellStyle name="Normal 5 4 3 4 3" xfId="6028"/>
    <cellStyle name="Normal 5 4 3 5" xfId="3708"/>
    <cellStyle name="Normal 5 4 3 5 2" xfId="7815"/>
    <cellStyle name="Normal 5 4 3 6" xfId="6025"/>
    <cellStyle name="Normal 5 4 3_13008" xfId="3709"/>
    <cellStyle name="Normal 5 4 4" xfId="3710"/>
    <cellStyle name="Normal 5 4 4 2" xfId="3711"/>
    <cellStyle name="Normal 5 4 4 2 2" xfId="7819"/>
    <cellStyle name="Normal 5 4 4 3" xfId="6029"/>
    <cellStyle name="Normal 5 4 5" xfId="3712"/>
    <cellStyle name="Normal 5 4 5 2" xfId="3713"/>
    <cellStyle name="Normal 5 4 5 2 2" xfId="7820"/>
    <cellStyle name="Normal 5 4 5 3" xfId="6030"/>
    <cellStyle name="Normal 5 4 6" xfId="3714"/>
    <cellStyle name="Normal 5 4 6 2" xfId="3715"/>
    <cellStyle name="Normal 5 4 6 2 2" xfId="7821"/>
    <cellStyle name="Normal 5 4 6 3" xfId="6031"/>
    <cellStyle name="Normal 5 4 7" xfId="3716"/>
    <cellStyle name="Normal 5 4 7 2" xfId="3717"/>
    <cellStyle name="Normal 5 4 7 2 2" xfId="7810"/>
    <cellStyle name="Normal 5 4 7 3" xfId="6020"/>
    <cellStyle name="Normal 5 4 8" xfId="3718"/>
    <cellStyle name="Normal 5 4 8 2" xfId="6396"/>
    <cellStyle name="Normal 5 4 9" xfId="4603"/>
    <cellStyle name="Normal 5 4_13008" xfId="3719"/>
    <cellStyle name="Normal 5 5" xfId="3720"/>
    <cellStyle name="Normal 5 5 2" xfId="3721"/>
    <cellStyle name="Normal 5 5 2 2" xfId="3722"/>
    <cellStyle name="Normal 5 5 2 3" xfId="3723"/>
    <cellStyle name="Normal 5 5 2 3 2" xfId="7823"/>
    <cellStyle name="Normal 5 5 2 4" xfId="6033"/>
    <cellStyle name="Normal 5 5 3" xfId="3724"/>
    <cellStyle name="Normal 5 5 3 2" xfId="3725"/>
    <cellStyle name="Normal 5 5 3 2 2" xfId="3726"/>
    <cellStyle name="Normal 5 5 3 2 2 2" xfId="7825"/>
    <cellStyle name="Normal 5 5 3 2 3" xfId="6035"/>
    <cellStyle name="Normal 5 5 3 3" xfId="3727"/>
    <cellStyle name="Normal 5 5 3 3 2" xfId="7824"/>
    <cellStyle name="Normal 5 5 3 4" xfId="6034"/>
    <cellStyle name="Normal 5 5 4" xfId="3728"/>
    <cellStyle name="Normal 5 5 4 2" xfId="3729"/>
    <cellStyle name="Normal 5 5 4 2 2" xfId="7826"/>
    <cellStyle name="Normal 5 5 4 3" xfId="6036"/>
    <cellStyle name="Normal 5 5 5" xfId="3730"/>
    <cellStyle name="Normal 5 5 5 2" xfId="3731"/>
    <cellStyle name="Normal 5 5 5 2 2" xfId="7822"/>
    <cellStyle name="Normal 5 5 5 3" xfId="6032"/>
    <cellStyle name="Normal 5 5 6" xfId="3732"/>
    <cellStyle name="Normal 5 5 6 2" xfId="6413"/>
    <cellStyle name="Normal 5 5 7" xfId="4621"/>
    <cellStyle name="Normal 5 5_13008" xfId="3733"/>
    <cellStyle name="Normal 5 6" xfId="3734"/>
    <cellStyle name="Normal 5 6 2" xfId="3735"/>
    <cellStyle name="Normal 5 6 2 2" xfId="3736"/>
    <cellStyle name="Normal 5 6 2 2 2" xfId="3737"/>
    <cellStyle name="Normal 5 6 2 2 2 2" xfId="7829"/>
    <cellStyle name="Normal 5 6 2 2 3" xfId="6039"/>
    <cellStyle name="Normal 5 6 2 3" xfId="3738"/>
    <cellStyle name="Normal 5 6 2 3 2" xfId="7828"/>
    <cellStyle name="Normal 5 6 2 4" xfId="6038"/>
    <cellStyle name="Normal 5 6 3" xfId="3739"/>
    <cellStyle name="Normal 5 6 3 2" xfId="3740"/>
    <cellStyle name="Normal 5 6 3 2 2" xfId="7830"/>
    <cellStyle name="Normal 5 6 3 3" xfId="6040"/>
    <cellStyle name="Normal 5 6 4" xfId="3741"/>
    <cellStyle name="Normal 5 6 4 2" xfId="3742"/>
    <cellStyle name="Normal 5 6 4 2 2" xfId="7831"/>
    <cellStyle name="Normal 5 6 4 3" xfId="6041"/>
    <cellStyle name="Normal 5 6 5" xfId="3743"/>
    <cellStyle name="Normal 5 6 5 2" xfId="7827"/>
    <cellStyle name="Normal 5 6 6" xfId="6037"/>
    <cellStyle name="Normal 5 6_13008" xfId="3744"/>
    <cellStyle name="Normal 5 7" xfId="3745"/>
    <cellStyle name="Normal 5 7 2" xfId="3746"/>
    <cellStyle name="Normal 5 7 2 2" xfId="3747"/>
    <cellStyle name="Normal 5 7 2 2 2" xfId="7833"/>
    <cellStyle name="Normal 5 7 2 3" xfId="6043"/>
    <cellStyle name="Normal 5 7 3" xfId="3748"/>
    <cellStyle name="Normal 5 7 3 2" xfId="7832"/>
    <cellStyle name="Normal 5 7 4" xfId="6042"/>
    <cellStyle name="Normal 5 8" xfId="3749"/>
    <cellStyle name="Normal 5 8 2" xfId="3750"/>
    <cellStyle name="Normal 5 8 2 2" xfId="3751"/>
    <cellStyle name="Normal 5 8 2 2 2" xfId="7835"/>
    <cellStyle name="Normal 5 8 2 3" xfId="6045"/>
    <cellStyle name="Normal 5 8 3" xfId="3752"/>
    <cellStyle name="Normal 5 8 3 2" xfId="7834"/>
    <cellStyle name="Normal 5 8 4" xfId="6044"/>
    <cellStyle name="Normal 5 9" xfId="3753"/>
    <cellStyle name="Normal 5 9 2" xfId="3754"/>
    <cellStyle name="Normal 5 9 2 2" xfId="7836"/>
    <cellStyle name="Normal 5 9 3" xfId="6046"/>
    <cellStyle name="Normal 5_10051" xfId="3755"/>
    <cellStyle name="Normal 50" xfId="3756"/>
    <cellStyle name="Normal 51" xfId="3757"/>
    <cellStyle name="Normal 52" xfId="3758"/>
    <cellStyle name="Normal 53" xfId="3759"/>
    <cellStyle name="Normal 54" xfId="3760"/>
    <cellStyle name="Normal 55" xfId="3761"/>
    <cellStyle name="Normal 56" xfId="3762"/>
    <cellStyle name="Normal 57" xfId="3763"/>
    <cellStyle name="Normal 58" xfId="3764"/>
    <cellStyle name="Normal 59" xfId="3765"/>
    <cellStyle name="Normal 6" xfId="3766"/>
    <cellStyle name="Normal 6 10" xfId="3767"/>
    <cellStyle name="Normal 6 10 2" xfId="3768"/>
    <cellStyle name="Normal 6 10 2 2" xfId="7837"/>
    <cellStyle name="Normal 6 10 3" xfId="6047"/>
    <cellStyle name="Normal 6 11" xfId="3769"/>
    <cellStyle name="Normal 6 11 2" xfId="6349"/>
    <cellStyle name="Normal 6 12" xfId="4490"/>
    <cellStyle name="Normal 6 2" xfId="3770"/>
    <cellStyle name="Normal 6 2 10" xfId="3771"/>
    <cellStyle name="Normal 6 2 10 2" xfId="3772"/>
    <cellStyle name="Normal 6 2 10 2 2" xfId="8091"/>
    <cellStyle name="Normal 6 2 10 3" xfId="6335"/>
    <cellStyle name="Normal 6 2 11" xfId="3773"/>
    <cellStyle name="Normal 6 2 11 2" xfId="6363"/>
    <cellStyle name="Normal 6 2 12" xfId="4509"/>
    <cellStyle name="Normal 6 2 2" xfId="3774"/>
    <cellStyle name="Normal 6 2 2 2" xfId="3775"/>
    <cellStyle name="Normal 6 2 2 2 2" xfId="3776"/>
    <cellStyle name="Normal 6 2 2 2 2 2" xfId="3777"/>
    <cellStyle name="Normal 6 2 2 2 2 2 2" xfId="7841"/>
    <cellStyle name="Normal 6 2 2 2 2 3" xfId="6051"/>
    <cellStyle name="Normal 6 2 2 2 3" xfId="3778"/>
    <cellStyle name="Normal 6 2 2 2 3 2" xfId="3779"/>
    <cellStyle name="Normal 6 2 2 2 3 2 2" xfId="7842"/>
    <cellStyle name="Normal 6 2 2 2 3 3" xfId="6052"/>
    <cellStyle name="Normal 6 2 2 2 4" xfId="3780"/>
    <cellStyle name="Normal 6 2 2 2 4 2" xfId="7840"/>
    <cellStyle name="Normal 6 2 2 2 5" xfId="6050"/>
    <cellStyle name="Normal 6 2 2 3" xfId="3781"/>
    <cellStyle name="Normal 6 2 2 3 2" xfId="3782"/>
    <cellStyle name="Normal 6 2 2 3 2 2" xfId="3783"/>
    <cellStyle name="Normal 6 2 2 3 2 2 2" xfId="7844"/>
    <cellStyle name="Normal 6 2 2 3 2 3" xfId="6054"/>
    <cellStyle name="Normal 6 2 2 3 3" xfId="3784"/>
    <cellStyle name="Normal 6 2 2 3 3 2" xfId="7843"/>
    <cellStyle name="Normal 6 2 2 3 4" xfId="6053"/>
    <cellStyle name="Normal 6 2 2 4" xfId="3785"/>
    <cellStyle name="Normal 6 2 2 4 2" xfId="3786"/>
    <cellStyle name="Normal 6 2 2 4 2 2" xfId="7845"/>
    <cellStyle name="Normal 6 2 2 4 3" xfId="6055"/>
    <cellStyle name="Normal 6 2 2 5" xfId="3787"/>
    <cellStyle name="Normal 6 2 2 5 2" xfId="3788"/>
    <cellStyle name="Normal 6 2 2 5 2 2" xfId="7846"/>
    <cellStyle name="Normal 6 2 2 5 3" xfId="6056"/>
    <cellStyle name="Normal 6 2 2 6" xfId="3789"/>
    <cellStyle name="Normal 6 2 2 6 2" xfId="3790"/>
    <cellStyle name="Normal 6 2 2 6 2 2" xfId="7839"/>
    <cellStyle name="Normal 6 2 2 6 3" xfId="6049"/>
    <cellStyle name="Normal 6 2 2 7" xfId="3791"/>
    <cellStyle name="Normal 6 2 2 7 2" xfId="6432"/>
    <cellStyle name="Normal 6 2 2 8" xfId="4640"/>
    <cellStyle name="Normal 6 2 2_13008" xfId="3792"/>
    <cellStyle name="Normal 6 2 3" xfId="3793"/>
    <cellStyle name="Normal 6 2 3 2" xfId="3794"/>
    <cellStyle name="Normal 6 2 3 2 2" xfId="3795"/>
    <cellStyle name="Normal 6 2 3 2 2 2" xfId="3796"/>
    <cellStyle name="Normal 6 2 3 2 2 2 2" xfId="7849"/>
    <cellStyle name="Normal 6 2 3 2 2 3" xfId="6059"/>
    <cellStyle name="Normal 6 2 3 2 3" xfId="3797"/>
    <cellStyle name="Normal 6 2 3 2 3 2" xfId="7848"/>
    <cellStyle name="Normal 6 2 3 2 4" xfId="6058"/>
    <cellStyle name="Normal 6 2 3 3" xfId="3798"/>
    <cellStyle name="Normal 6 2 3 3 2" xfId="3799"/>
    <cellStyle name="Normal 6 2 3 3 2 2" xfId="3800"/>
    <cellStyle name="Normal 6 2 3 3 2 2 2" xfId="7851"/>
    <cellStyle name="Normal 6 2 3 3 2 3" xfId="6061"/>
    <cellStyle name="Normal 6 2 3 3 3" xfId="3801"/>
    <cellStyle name="Normal 6 2 3 3 3 2" xfId="7850"/>
    <cellStyle name="Normal 6 2 3 3 4" xfId="6060"/>
    <cellStyle name="Normal 6 2 3 4" xfId="3802"/>
    <cellStyle name="Normal 6 2 3 4 2" xfId="3803"/>
    <cellStyle name="Normal 6 2 3 4 2 2" xfId="7852"/>
    <cellStyle name="Normal 6 2 3 4 3" xfId="6062"/>
    <cellStyle name="Normal 6 2 3 5" xfId="3804"/>
    <cellStyle name="Normal 6 2 3 5 2" xfId="3805"/>
    <cellStyle name="Normal 6 2 3 5 2 2" xfId="7847"/>
    <cellStyle name="Normal 6 2 3 5 3" xfId="6057"/>
    <cellStyle name="Normal 6 2 3 6" xfId="3806"/>
    <cellStyle name="Normal 6 2 3 6 2" xfId="6480"/>
    <cellStyle name="Normal 6 2 3 7" xfId="4688"/>
    <cellStyle name="Normal 6 2 3_13008" xfId="3807"/>
    <cellStyle name="Normal 6 2 4" xfId="3808"/>
    <cellStyle name="Normal 6 2 4 2" xfId="3809"/>
    <cellStyle name="Normal 6 2 4 2 2" xfId="3810"/>
    <cellStyle name="Normal 6 2 4 2 2 2" xfId="7854"/>
    <cellStyle name="Normal 6 2 4 2 3" xfId="6064"/>
    <cellStyle name="Normal 6 2 4 3" xfId="3811"/>
    <cellStyle name="Normal 6 2 4 3 2" xfId="3812"/>
    <cellStyle name="Normal 6 2 4 3 2 2" xfId="7855"/>
    <cellStyle name="Normal 6 2 4 3 3" xfId="6065"/>
    <cellStyle name="Normal 6 2 4 4" xfId="3813"/>
    <cellStyle name="Normal 6 2 4 4 2" xfId="3814"/>
    <cellStyle name="Normal 6 2 4 4 2 2" xfId="7856"/>
    <cellStyle name="Normal 6 2 4 4 3" xfId="6066"/>
    <cellStyle name="Normal 6 2 4 5" xfId="3815"/>
    <cellStyle name="Normal 6 2 4 5 2" xfId="7853"/>
    <cellStyle name="Normal 6 2 4 6" xfId="6063"/>
    <cellStyle name="Normal 6 2 5" xfId="3816"/>
    <cellStyle name="Normal 6 2 5 2" xfId="3817"/>
    <cellStyle name="Normal 6 2 5 2 2" xfId="3818"/>
    <cellStyle name="Normal 6 2 5 2 2 2" xfId="7858"/>
    <cellStyle name="Normal 6 2 5 2 3" xfId="6068"/>
    <cellStyle name="Normal 6 2 5 3" xfId="3819"/>
    <cellStyle name="Normal 6 2 5 3 2" xfId="3820"/>
    <cellStyle name="Normal 6 2 5 3 2 2" xfId="7859"/>
    <cellStyle name="Normal 6 2 5 3 3" xfId="6069"/>
    <cellStyle name="Normal 6 2 5 4" xfId="3821"/>
    <cellStyle name="Normal 6 2 5 4 2" xfId="7857"/>
    <cellStyle name="Normal 6 2 5 5" xfId="6067"/>
    <cellStyle name="Normal 6 2 6" xfId="3822"/>
    <cellStyle name="Normal 6 2 6 2" xfId="3823"/>
    <cellStyle name="Normal 6 2 6 2 2" xfId="7860"/>
    <cellStyle name="Normal 6 2 6 3" xfId="6070"/>
    <cellStyle name="Normal 6 2 7" xfId="3824"/>
    <cellStyle name="Normal 6 2 7 2" xfId="3825"/>
    <cellStyle name="Normal 6 2 7 2 2" xfId="7861"/>
    <cellStyle name="Normal 6 2 7 3" xfId="6071"/>
    <cellStyle name="Normal 6 2 8" xfId="3826"/>
    <cellStyle name="Normal 6 2 8 2" xfId="3827"/>
    <cellStyle name="Normal 6 2 8 2 2" xfId="7862"/>
    <cellStyle name="Normal 6 2 8 3" xfId="6072"/>
    <cellStyle name="Normal 6 2 9" xfId="3828"/>
    <cellStyle name="Normal 6 2 9 2" xfId="3829"/>
    <cellStyle name="Normal 6 2 9 2 2" xfId="7838"/>
    <cellStyle name="Normal 6 2 9 3" xfId="6048"/>
    <cellStyle name="Normal 6 2_13008" xfId="3830"/>
    <cellStyle name="Normal 6 3" xfId="3831"/>
    <cellStyle name="Normal 6 3 2" xfId="3832"/>
    <cellStyle name="Normal 6 3 2 2" xfId="3833"/>
    <cellStyle name="Normal 6 3 2 2 2" xfId="3834"/>
    <cellStyle name="Normal 6 3 2 2 2 2" xfId="7865"/>
    <cellStyle name="Normal 6 3 2 2 3" xfId="6075"/>
    <cellStyle name="Normal 6 3 2 3" xfId="3835"/>
    <cellStyle name="Normal 6 3 2 4" xfId="3836"/>
    <cellStyle name="Normal 6 3 2 4 2" xfId="7864"/>
    <cellStyle name="Normal 6 3 2 5" xfId="6074"/>
    <cellStyle name="Normal 6 3 3" xfId="3837"/>
    <cellStyle name="Normal 6 3 3 2" xfId="3838"/>
    <cellStyle name="Normal 6 3 3 2 2" xfId="3839"/>
    <cellStyle name="Normal 6 3 3 2 2 2" xfId="7867"/>
    <cellStyle name="Normal 6 3 3 2 3" xfId="6077"/>
    <cellStyle name="Normal 6 3 3 3" xfId="3840"/>
    <cellStyle name="Normal 6 3 3 3 2" xfId="7866"/>
    <cellStyle name="Normal 6 3 3 4" xfId="6076"/>
    <cellStyle name="Normal 6 3 4" xfId="3841"/>
    <cellStyle name="Normal 6 3 4 2" xfId="3842"/>
    <cellStyle name="Normal 6 3 4 2 2" xfId="7868"/>
    <cellStyle name="Normal 6 3 4 3" xfId="6078"/>
    <cellStyle name="Normal 6 3 5" xfId="3843"/>
    <cellStyle name="Normal 6 3 5 2" xfId="3844"/>
    <cellStyle name="Normal 6 3 5 2 2" xfId="7869"/>
    <cellStyle name="Normal 6 3 5 3" xfId="6079"/>
    <cellStyle name="Normal 6 3 6" xfId="3845"/>
    <cellStyle name="Normal 6 3 6 2" xfId="3846"/>
    <cellStyle name="Normal 6 3 6 2 2" xfId="7863"/>
    <cellStyle name="Normal 6 3 6 3" xfId="6073"/>
    <cellStyle name="Normal 6 3 7" xfId="3847"/>
    <cellStyle name="Normal 6 3_13008" xfId="3848"/>
    <cellStyle name="Normal 6 4" xfId="3849"/>
    <cellStyle name="Normal 6 4 2" xfId="3850"/>
    <cellStyle name="Normal 6 4 2 2" xfId="3851"/>
    <cellStyle name="Normal 6 4 2 2 2" xfId="3852"/>
    <cellStyle name="Normal 6 4 2 2 2 2" xfId="7872"/>
    <cellStyle name="Normal 6 4 2 2 3" xfId="6082"/>
    <cellStyle name="Normal 6 4 2 3" xfId="3853"/>
    <cellStyle name="Normal 6 4 2 3 2" xfId="3854"/>
    <cellStyle name="Normal 6 4 2 3 2 2" xfId="7871"/>
    <cellStyle name="Normal 6 4 2 3 3" xfId="6081"/>
    <cellStyle name="Normal 6 4 2 4" xfId="3855"/>
    <cellStyle name="Normal 6 4 2 4 2" xfId="6470"/>
    <cellStyle name="Normal 6 4 2 5" xfId="4678"/>
    <cellStyle name="Normal 6 4 3" xfId="3856"/>
    <cellStyle name="Normal 6 4 3 2" xfId="3857"/>
    <cellStyle name="Normal 6 4 3 2 2" xfId="3858"/>
    <cellStyle name="Normal 6 4 3 2 2 2" xfId="7874"/>
    <cellStyle name="Normal 6 4 3 2 3" xfId="6084"/>
    <cellStyle name="Normal 6 4 3 3" xfId="3859"/>
    <cellStyle name="Normal 6 4 3 3 2" xfId="7873"/>
    <cellStyle name="Normal 6 4 3 4" xfId="6083"/>
    <cellStyle name="Normal 6 4 4" xfId="3860"/>
    <cellStyle name="Normal 6 4 4 2" xfId="3861"/>
    <cellStyle name="Normal 6 4 4 2 2" xfId="7875"/>
    <cellStyle name="Normal 6 4 4 3" xfId="6085"/>
    <cellStyle name="Normal 6 4 5" xfId="3862"/>
    <cellStyle name="Normal 6 4 5 2" xfId="3863"/>
    <cellStyle name="Normal 6 4 5 2 2" xfId="7870"/>
    <cellStyle name="Normal 6 4 5 3" xfId="6080"/>
    <cellStyle name="Normal 6 4 6" xfId="3864"/>
    <cellStyle name="Normal 6 4 6 2" xfId="6401"/>
    <cellStyle name="Normal 6 4 7" xfId="4608"/>
    <cellStyle name="Normal 6 4_13008" xfId="3865"/>
    <cellStyle name="Normal 6 5" xfId="3866"/>
    <cellStyle name="Normal 6 5 2" xfId="3867"/>
    <cellStyle name="Normal 6 5 2 2" xfId="3868"/>
    <cellStyle name="Normal 6 5 2 2 2" xfId="3869"/>
    <cellStyle name="Normal 6 5 2 2 2 2" xfId="7878"/>
    <cellStyle name="Normal 6 5 2 2 3" xfId="6088"/>
    <cellStyle name="Normal 6 5 2 3" xfId="3870"/>
    <cellStyle name="Normal 6 5 2 3 2" xfId="3871"/>
    <cellStyle name="Normal 6 5 2 3 2 2" xfId="7877"/>
    <cellStyle name="Normal 6 5 2 3 3" xfId="6087"/>
    <cellStyle name="Normal 6 5 2 4" xfId="3872"/>
    <cellStyle name="Normal 6 5 2 4 2" xfId="6479"/>
    <cellStyle name="Normal 6 5 2 5" xfId="4687"/>
    <cellStyle name="Normal 6 5 3" xfId="3873"/>
    <cellStyle name="Normal 6 5 3 2" xfId="3874"/>
    <cellStyle name="Normal 6 5 3 2 2" xfId="3875"/>
    <cellStyle name="Normal 6 5 3 2 2 2" xfId="7880"/>
    <cellStyle name="Normal 6 5 3 2 3" xfId="6090"/>
    <cellStyle name="Normal 6 5 3 3" xfId="3876"/>
    <cellStyle name="Normal 6 5 3 3 2" xfId="7879"/>
    <cellStyle name="Normal 6 5 3 4" xfId="6089"/>
    <cellStyle name="Normal 6 5 4" xfId="3877"/>
    <cellStyle name="Normal 6 5 4 2" xfId="3878"/>
    <cellStyle name="Normal 6 5 4 2 2" xfId="7881"/>
    <cellStyle name="Normal 6 5 4 3" xfId="6091"/>
    <cellStyle name="Normal 6 5 5" xfId="3879"/>
    <cellStyle name="Normal 6 5 5 2" xfId="3880"/>
    <cellStyle name="Normal 6 5 5 2 2" xfId="7876"/>
    <cellStyle name="Normal 6 5 5 3" xfId="6086"/>
    <cellStyle name="Normal 6 5 6" xfId="3881"/>
    <cellStyle name="Normal 6 5 6 2" xfId="6418"/>
    <cellStyle name="Normal 6 5 7" xfId="4626"/>
    <cellStyle name="Normal 6 5_13008" xfId="3882"/>
    <cellStyle name="Normal 6 6" xfId="3883"/>
    <cellStyle name="Normal 6 6 2" xfId="3884"/>
    <cellStyle name="Normal 6 6 2 2" xfId="3885"/>
    <cellStyle name="Normal 6 6 2 2 2" xfId="7883"/>
    <cellStyle name="Normal 6 6 2 3" xfId="6093"/>
    <cellStyle name="Normal 6 6 3" xfId="3886"/>
    <cellStyle name="Normal 6 6 3 2" xfId="3887"/>
    <cellStyle name="Normal 6 6 3 2 2" xfId="7884"/>
    <cellStyle name="Normal 6 6 3 3" xfId="6094"/>
    <cellStyle name="Normal 6 6 4" xfId="3888"/>
    <cellStyle name="Normal 6 6 4 2" xfId="7882"/>
    <cellStyle name="Normal 6 6 5" xfId="6092"/>
    <cellStyle name="Normal 6 7" xfId="3889"/>
    <cellStyle name="Normal 6 7 2" xfId="3890"/>
    <cellStyle name="Normal 6 7 2 2" xfId="3891"/>
    <cellStyle name="Normal 6 7 2 2 2" xfId="7886"/>
    <cellStyle name="Normal 6 7 2 3" xfId="6096"/>
    <cellStyle name="Normal 6 7 3" xfId="3892"/>
    <cellStyle name="Normal 6 7 3 2" xfId="7885"/>
    <cellStyle name="Normal 6 7 4" xfId="6095"/>
    <cellStyle name="Normal 6 8" xfId="3893"/>
    <cellStyle name="Normal 6 8 2" xfId="3894"/>
    <cellStyle name="Normal 6 8 2 2" xfId="7887"/>
    <cellStyle name="Normal 6 8 3" xfId="6097"/>
    <cellStyle name="Normal 6 9" xfId="3895"/>
    <cellStyle name="Normal 6 9 2" xfId="3896"/>
    <cellStyle name="Normal 6 9 2 2" xfId="7888"/>
    <cellStyle name="Normal 6 9 3" xfId="6098"/>
    <cellStyle name="Normal 6_13008" xfId="3897"/>
    <cellStyle name="Normal 60" xfId="3898"/>
    <cellStyle name="Normal 61" xfId="3899"/>
    <cellStyle name="Normal 62" xfId="3900"/>
    <cellStyle name="Normal 63" xfId="3901"/>
    <cellStyle name="Normal 64" xfId="3902"/>
    <cellStyle name="Normal 65" xfId="3903"/>
    <cellStyle name="Normal 66" xfId="3904"/>
    <cellStyle name="Normal 67" xfId="3905"/>
    <cellStyle name="Normal 68" xfId="3906"/>
    <cellStyle name="Normal 69" xfId="3907"/>
    <cellStyle name="Normal 7" xfId="3908"/>
    <cellStyle name="Normal 7 10" xfId="3909"/>
    <cellStyle name="Normal 7 10 2" xfId="3910"/>
    <cellStyle name="Normal 7 10 2 2" xfId="7889"/>
    <cellStyle name="Normal 7 10 3" xfId="6099"/>
    <cellStyle name="Normal 7 11" xfId="3911"/>
    <cellStyle name="Normal 7 11 2" xfId="3912"/>
    <cellStyle name="Normal 7 11 2 2" xfId="8092"/>
    <cellStyle name="Normal 7 11 3" xfId="6336"/>
    <cellStyle name="Normal 7 12" xfId="3913"/>
    <cellStyle name="Normal 7 12 2" xfId="6350"/>
    <cellStyle name="Normal 7 13" xfId="4491"/>
    <cellStyle name="Normal 7 2" xfId="3914"/>
    <cellStyle name="Normal 7 2 10" xfId="3915"/>
    <cellStyle name="Normal 7 2 10 2" xfId="6364"/>
    <cellStyle name="Normal 7 2 11" xfId="4510"/>
    <cellStyle name="Normal 7 2 2" xfId="3916"/>
    <cellStyle name="Normal 7 2 2 2" xfId="3917"/>
    <cellStyle name="Normal 7 2 2 2 2" xfId="3918"/>
    <cellStyle name="Normal 7 2 2 2 2 2" xfId="3919"/>
    <cellStyle name="Normal 7 2 2 2 2 2 2" xfId="7893"/>
    <cellStyle name="Normal 7 2 2 2 2 3" xfId="6103"/>
    <cellStyle name="Normal 7 2 2 2 3" xfId="3920"/>
    <cellStyle name="Normal 7 2 2 2 3 2" xfId="3921"/>
    <cellStyle name="Normal 7 2 2 2 3 2 2" xfId="7894"/>
    <cellStyle name="Normal 7 2 2 2 3 3" xfId="6104"/>
    <cellStyle name="Normal 7 2 2 2 4" xfId="3922"/>
    <cellStyle name="Normal 7 2 2 2 4 2" xfId="7892"/>
    <cellStyle name="Normal 7 2 2 2 5" xfId="6102"/>
    <cellStyle name="Normal 7 2 2 3" xfId="3923"/>
    <cellStyle name="Normal 7 2 2 3 2" xfId="3924"/>
    <cellStyle name="Normal 7 2 2 3 2 2" xfId="3925"/>
    <cellStyle name="Normal 7 2 2 3 2 2 2" xfId="7896"/>
    <cellStyle name="Normal 7 2 2 3 2 3" xfId="6106"/>
    <cellStyle name="Normal 7 2 2 3 3" xfId="3926"/>
    <cellStyle name="Normal 7 2 2 3 3 2" xfId="7895"/>
    <cellStyle name="Normal 7 2 2 3 4" xfId="6105"/>
    <cellStyle name="Normal 7 2 2 4" xfId="3927"/>
    <cellStyle name="Normal 7 2 2 4 2" xfId="3928"/>
    <cellStyle name="Normal 7 2 2 4 2 2" xfId="7897"/>
    <cellStyle name="Normal 7 2 2 4 3" xfId="6107"/>
    <cellStyle name="Normal 7 2 2 5" xfId="3929"/>
    <cellStyle name="Normal 7 2 2 5 2" xfId="3930"/>
    <cellStyle name="Normal 7 2 2 5 2 2" xfId="7898"/>
    <cellStyle name="Normal 7 2 2 5 3" xfId="6108"/>
    <cellStyle name="Normal 7 2 2 6" xfId="3931"/>
    <cellStyle name="Normal 7 2 2 6 2" xfId="3932"/>
    <cellStyle name="Normal 7 2 2 6 2 2" xfId="7891"/>
    <cellStyle name="Normal 7 2 2 6 3" xfId="6101"/>
    <cellStyle name="Normal 7 2 2 7" xfId="3933"/>
    <cellStyle name="Normal 7 2 2 7 2" xfId="6433"/>
    <cellStyle name="Normal 7 2 2 8" xfId="4641"/>
    <cellStyle name="Normal 7 2 2_13008" xfId="3934"/>
    <cellStyle name="Normal 7 2 3" xfId="3935"/>
    <cellStyle name="Normal 7 2 3 2" xfId="3936"/>
    <cellStyle name="Normal 7 2 3 2 2" xfId="3937"/>
    <cellStyle name="Normal 7 2 3 2 2 2" xfId="3938"/>
    <cellStyle name="Normal 7 2 3 2 2 2 2" xfId="7901"/>
    <cellStyle name="Normal 7 2 3 2 2 3" xfId="6111"/>
    <cellStyle name="Normal 7 2 3 2 3" xfId="3939"/>
    <cellStyle name="Normal 7 2 3 2 3 2" xfId="7900"/>
    <cellStyle name="Normal 7 2 3 2 4" xfId="6110"/>
    <cellStyle name="Normal 7 2 3 3" xfId="3940"/>
    <cellStyle name="Normal 7 2 3 3 2" xfId="3941"/>
    <cellStyle name="Normal 7 2 3 3 2 2" xfId="3942"/>
    <cellStyle name="Normal 7 2 3 3 2 2 2" xfId="7903"/>
    <cellStyle name="Normal 7 2 3 3 2 3" xfId="6113"/>
    <cellStyle name="Normal 7 2 3 3 3" xfId="3943"/>
    <cellStyle name="Normal 7 2 3 3 3 2" xfId="7902"/>
    <cellStyle name="Normal 7 2 3 3 4" xfId="6112"/>
    <cellStyle name="Normal 7 2 3 4" xfId="3944"/>
    <cellStyle name="Normal 7 2 3 4 2" xfId="3945"/>
    <cellStyle name="Normal 7 2 3 4 2 2" xfId="7904"/>
    <cellStyle name="Normal 7 2 3 4 3" xfId="6114"/>
    <cellStyle name="Normal 7 2 3 5" xfId="3946"/>
    <cellStyle name="Normal 7 2 3 5 2" xfId="7899"/>
    <cellStyle name="Normal 7 2 3 6" xfId="6109"/>
    <cellStyle name="Normal 7 2 3_13008" xfId="3947"/>
    <cellStyle name="Normal 7 2 4" xfId="3948"/>
    <cellStyle name="Normal 7 2 4 2" xfId="3949"/>
    <cellStyle name="Normal 7 2 4 2 2" xfId="3950"/>
    <cellStyle name="Normal 7 2 4 2 2 2" xfId="7906"/>
    <cellStyle name="Normal 7 2 4 2 3" xfId="6116"/>
    <cellStyle name="Normal 7 2 4 3" xfId="3951"/>
    <cellStyle name="Normal 7 2 4 3 2" xfId="3952"/>
    <cellStyle name="Normal 7 2 4 3 2 2" xfId="7907"/>
    <cellStyle name="Normal 7 2 4 3 3" xfId="6117"/>
    <cellStyle name="Normal 7 2 4 4" xfId="3953"/>
    <cellStyle name="Normal 7 2 4 4 2" xfId="3954"/>
    <cellStyle name="Normal 7 2 4 4 2 2" xfId="7908"/>
    <cellStyle name="Normal 7 2 4 4 3" xfId="6118"/>
    <cellStyle name="Normal 7 2 4 5" xfId="3955"/>
    <cellStyle name="Normal 7 2 4 5 2" xfId="7905"/>
    <cellStyle name="Normal 7 2 4 6" xfId="6115"/>
    <cellStyle name="Normal 7 2 5" xfId="3956"/>
    <cellStyle name="Normal 7 2 5 2" xfId="3957"/>
    <cellStyle name="Normal 7 2 5 2 2" xfId="3958"/>
    <cellStyle name="Normal 7 2 5 2 2 2" xfId="7910"/>
    <cellStyle name="Normal 7 2 5 2 3" xfId="6120"/>
    <cellStyle name="Normal 7 2 5 3" xfId="3959"/>
    <cellStyle name="Normal 7 2 5 3 2" xfId="3960"/>
    <cellStyle name="Normal 7 2 5 3 2 2" xfId="7911"/>
    <cellStyle name="Normal 7 2 5 3 3" xfId="6121"/>
    <cellStyle name="Normal 7 2 5 4" xfId="3961"/>
    <cellStyle name="Normal 7 2 5 4 2" xfId="7909"/>
    <cellStyle name="Normal 7 2 5 5" xfId="6119"/>
    <cellStyle name="Normal 7 2 6" xfId="3962"/>
    <cellStyle name="Normal 7 2 6 2" xfId="3963"/>
    <cellStyle name="Normal 7 2 6 2 2" xfId="7912"/>
    <cellStyle name="Normal 7 2 6 3" xfId="6122"/>
    <cellStyle name="Normal 7 2 7" xfId="3964"/>
    <cellStyle name="Normal 7 2 7 2" xfId="3965"/>
    <cellStyle name="Normal 7 2 7 2 2" xfId="7913"/>
    <cellStyle name="Normal 7 2 7 3" xfId="6123"/>
    <cellStyle name="Normal 7 2 8" xfId="3966"/>
    <cellStyle name="Normal 7 2 8 2" xfId="3967"/>
    <cellStyle name="Normal 7 2 8 2 2" xfId="7914"/>
    <cellStyle name="Normal 7 2 8 3" xfId="6124"/>
    <cellStyle name="Normal 7 2 9" xfId="3968"/>
    <cellStyle name="Normal 7 2 9 2" xfId="3969"/>
    <cellStyle name="Normal 7 2 9 2 2" xfId="7890"/>
    <cellStyle name="Normal 7 2 9 3" xfId="6100"/>
    <cellStyle name="Normal 7 2_13008" xfId="3970"/>
    <cellStyle name="Normal 7 3" xfId="3971"/>
    <cellStyle name="Normal 7 3 2" xfId="3972"/>
    <cellStyle name="Normal 7 3 2 2" xfId="3973"/>
    <cellStyle name="Normal 7 3 2 2 2" xfId="3974"/>
    <cellStyle name="Normal 7 3 2 2 2 2" xfId="7917"/>
    <cellStyle name="Normal 7 3 2 2 3" xfId="6127"/>
    <cellStyle name="Normal 7 3 2 3" xfId="3975"/>
    <cellStyle name="Normal 7 3 2 4" xfId="3976"/>
    <cellStyle name="Normal 7 3 2 4 2" xfId="7916"/>
    <cellStyle name="Normal 7 3 2 5" xfId="6126"/>
    <cellStyle name="Normal 7 3 3" xfId="3977"/>
    <cellStyle name="Normal 7 3 3 2" xfId="3978"/>
    <cellStyle name="Normal 7 3 3 2 2" xfId="3979"/>
    <cellStyle name="Normal 7 3 3 2 2 2" xfId="7919"/>
    <cellStyle name="Normal 7 3 3 2 3" xfId="6129"/>
    <cellStyle name="Normal 7 3 3 3" xfId="3980"/>
    <cellStyle name="Normal 7 3 3 3 2" xfId="7918"/>
    <cellStyle name="Normal 7 3 3 4" xfId="6128"/>
    <cellStyle name="Normal 7 3 4" xfId="3981"/>
    <cellStyle name="Normal 7 3 4 2" xfId="3982"/>
    <cellStyle name="Normal 7 3 4 2 2" xfId="7920"/>
    <cellStyle name="Normal 7 3 4 3" xfId="6130"/>
    <cellStyle name="Normal 7 3 5" xfId="3983"/>
    <cellStyle name="Normal 7 3 5 2" xfId="3984"/>
    <cellStyle name="Normal 7 3 5 2 2" xfId="7921"/>
    <cellStyle name="Normal 7 3 5 3" xfId="6131"/>
    <cellStyle name="Normal 7 3 6" xfId="3985"/>
    <cellStyle name="Normal 7 3 6 2" xfId="3986"/>
    <cellStyle name="Normal 7 3 6 2 2" xfId="7915"/>
    <cellStyle name="Normal 7 3 6 3" xfId="6125"/>
    <cellStyle name="Normal 7 3 7" xfId="3987"/>
    <cellStyle name="Normal 7 3_13008" xfId="3988"/>
    <cellStyle name="Normal 7 4" xfId="3989"/>
    <cellStyle name="Normal 7 4 2" xfId="3990"/>
    <cellStyle name="Normal 7 4 2 2" xfId="3991"/>
    <cellStyle name="Normal 7 4 2 2 2" xfId="3992"/>
    <cellStyle name="Normal 7 4 2 2 2 2" xfId="7924"/>
    <cellStyle name="Normal 7 4 2 2 3" xfId="6134"/>
    <cellStyle name="Normal 7 4 2 3" xfId="3993"/>
    <cellStyle name="Normal 7 4 2 3 2" xfId="3994"/>
    <cellStyle name="Normal 7 4 2 3 2 2" xfId="7923"/>
    <cellStyle name="Normal 7 4 2 3 3" xfId="6133"/>
    <cellStyle name="Normal 7 4 2 4" xfId="3995"/>
    <cellStyle name="Normal 7 4 2 4 2" xfId="6471"/>
    <cellStyle name="Normal 7 4 2 5" xfId="4679"/>
    <cellStyle name="Normal 7 4 3" xfId="3996"/>
    <cellStyle name="Normal 7 4 3 2" xfId="3997"/>
    <cellStyle name="Normal 7 4 3 2 2" xfId="3998"/>
    <cellStyle name="Normal 7 4 3 2 2 2" xfId="7926"/>
    <cellStyle name="Normal 7 4 3 2 3" xfId="6136"/>
    <cellStyle name="Normal 7 4 3 3" xfId="3999"/>
    <cellStyle name="Normal 7 4 3 3 2" xfId="7925"/>
    <cellStyle name="Normal 7 4 3 4" xfId="6135"/>
    <cellStyle name="Normal 7 4 4" xfId="4000"/>
    <cellStyle name="Normal 7 4 4 2" xfId="4001"/>
    <cellStyle name="Normal 7 4 4 2 2" xfId="7927"/>
    <cellStyle name="Normal 7 4 4 3" xfId="6137"/>
    <cellStyle name="Normal 7 4 5" xfId="4002"/>
    <cellStyle name="Normal 7 4 5 2" xfId="4003"/>
    <cellStyle name="Normal 7 4 5 2 2" xfId="7922"/>
    <cellStyle name="Normal 7 4 5 3" xfId="6132"/>
    <cellStyle name="Normal 7 4 6" xfId="4004"/>
    <cellStyle name="Normal 7 4 6 2" xfId="6402"/>
    <cellStyle name="Normal 7 4 7" xfId="4609"/>
    <cellStyle name="Normal 7 4_13008" xfId="4005"/>
    <cellStyle name="Normal 7 5" xfId="4006"/>
    <cellStyle name="Normal 7 5 2" xfId="4007"/>
    <cellStyle name="Normal 7 5 2 2" xfId="4008"/>
    <cellStyle name="Normal 7 5 2 2 2" xfId="7929"/>
    <cellStyle name="Normal 7 5 2 3" xfId="6139"/>
    <cellStyle name="Normal 7 5 3" xfId="4009"/>
    <cellStyle name="Normal 7 5 3 2" xfId="4010"/>
    <cellStyle name="Normal 7 5 3 2 2" xfId="7930"/>
    <cellStyle name="Normal 7 5 3 3" xfId="6140"/>
    <cellStyle name="Normal 7 5 4" xfId="4011"/>
    <cellStyle name="Normal 7 5 5" xfId="4012"/>
    <cellStyle name="Normal 7 5 5 2" xfId="4013"/>
    <cellStyle name="Normal 7 5 5 2 2" xfId="7928"/>
    <cellStyle name="Normal 7 5 5 3" xfId="6138"/>
    <cellStyle name="Normal 7 5 6" xfId="4014"/>
    <cellStyle name="Normal 7 5 6 2" xfId="6419"/>
    <cellStyle name="Normal 7 5 7" xfId="4627"/>
    <cellStyle name="Normal 7 6" xfId="4015"/>
    <cellStyle name="Normal 7 6 2" xfId="4016"/>
    <cellStyle name="Normal 7 6 2 2" xfId="4017"/>
    <cellStyle name="Normal 7 6 2 2 2" xfId="7932"/>
    <cellStyle name="Normal 7 6 2 3" xfId="6142"/>
    <cellStyle name="Normal 7 6 3" xfId="4018"/>
    <cellStyle name="Normal 7 6 3 2" xfId="4019"/>
    <cellStyle name="Normal 7 6 3 2 2" xfId="7933"/>
    <cellStyle name="Normal 7 6 3 3" xfId="6143"/>
    <cellStyle name="Normal 7 6 4" xfId="4020"/>
    <cellStyle name="Normal 7 6 4 2" xfId="7931"/>
    <cellStyle name="Normal 7 6 5" xfId="6141"/>
    <cellStyle name="Normal 7 7" xfId="4021"/>
    <cellStyle name="Normal 7 7 2" xfId="4022"/>
    <cellStyle name="Normal 7 7 2 2" xfId="4023"/>
    <cellStyle name="Normal 7 7 2 2 2" xfId="7935"/>
    <cellStyle name="Normal 7 7 2 3" xfId="6145"/>
    <cellStyle name="Normal 7 7 3" xfId="4024"/>
    <cellStyle name="Normal 7 7 3 2" xfId="7934"/>
    <cellStyle name="Normal 7 7 4" xfId="6144"/>
    <cellStyle name="Normal 7 8" xfId="4025"/>
    <cellStyle name="Normal 7 8 2" xfId="4026"/>
    <cellStyle name="Normal 7 8 2 2" xfId="7936"/>
    <cellStyle name="Normal 7 8 3" xfId="6146"/>
    <cellStyle name="Normal 7 9" xfId="4027"/>
    <cellStyle name="Normal 7 9 2" xfId="4028"/>
    <cellStyle name="Normal 7 9 2 2" xfId="7937"/>
    <cellStyle name="Normal 7 9 3" xfId="6147"/>
    <cellStyle name="Normal 7_13008" xfId="4029"/>
    <cellStyle name="Normal 70" xfId="4030"/>
    <cellStyle name="Normal 70 2" xfId="4539"/>
    <cellStyle name="Normal 71" xfId="4031"/>
    <cellStyle name="Normal 71 2" xfId="4540"/>
    <cellStyle name="Normal 72" xfId="4032"/>
    <cellStyle name="Normal 72 2" xfId="4541"/>
    <cellStyle name="Normal 73" xfId="4033"/>
    <cellStyle name="Normal 73 2" xfId="4542"/>
    <cellStyle name="Normal 74" xfId="4034"/>
    <cellStyle name="Normal 74 2" xfId="4543"/>
    <cellStyle name="Normal 75" xfId="4035"/>
    <cellStyle name="Normal 75 2" xfId="4544"/>
    <cellStyle name="Normal 76" xfId="4036"/>
    <cellStyle name="Normal 76 2" xfId="4545"/>
    <cellStyle name="Normal 77" xfId="4037"/>
    <cellStyle name="Normal 77 2" xfId="4546"/>
    <cellStyle name="Normal 78" xfId="4038"/>
    <cellStyle name="Normal 78 2" xfId="4547"/>
    <cellStyle name="Normal 79" xfId="4039"/>
    <cellStyle name="Normal 79 2" xfId="4548"/>
    <cellStyle name="Normal 8" xfId="4040"/>
    <cellStyle name="Normal 8 10" xfId="4041"/>
    <cellStyle name="Normal 8 10 2" xfId="4042"/>
    <cellStyle name="Normal 8 10 2 2" xfId="7938"/>
    <cellStyle name="Normal 8 10 3" xfId="6148"/>
    <cellStyle name="Normal 8 11" xfId="4043"/>
    <cellStyle name="Normal 8 11 2" xfId="6351"/>
    <cellStyle name="Normal 8 12" xfId="4492"/>
    <cellStyle name="Normal 8 2" xfId="4044"/>
    <cellStyle name="Normal 8 2 10" xfId="4045"/>
    <cellStyle name="Normal 8 2 10 2" xfId="6365"/>
    <cellStyle name="Normal 8 2 11" xfId="4511"/>
    <cellStyle name="Normal 8 2 2" xfId="4046"/>
    <cellStyle name="Normal 8 2 2 2" xfId="4047"/>
    <cellStyle name="Normal 8 2 2 2 2" xfId="4048"/>
    <cellStyle name="Normal 8 2 2 2 2 2" xfId="4049"/>
    <cellStyle name="Normal 8 2 2 2 2 2 2" xfId="7942"/>
    <cellStyle name="Normal 8 2 2 2 2 3" xfId="6152"/>
    <cellStyle name="Normal 8 2 2 2 3" xfId="4050"/>
    <cellStyle name="Normal 8 2 2 2 3 2" xfId="4051"/>
    <cellStyle name="Normal 8 2 2 2 3 2 2" xfId="7943"/>
    <cellStyle name="Normal 8 2 2 2 3 3" xfId="6153"/>
    <cellStyle name="Normal 8 2 2 2 4" xfId="4052"/>
    <cellStyle name="Normal 8 2 2 2 4 2" xfId="7941"/>
    <cellStyle name="Normal 8 2 2 2 5" xfId="6151"/>
    <cellStyle name="Normal 8 2 2 3" xfId="4053"/>
    <cellStyle name="Normal 8 2 2 3 2" xfId="4054"/>
    <cellStyle name="Normal 8 2 2 3 2 2" xfId="4055"/>
    <cellStyle name="Normal 8 2 2 3 2 2 2" xfId="7945"/>
    <cellStyle name="Normal 8 2 2 3 2 3" xfId="6155"/>
    <cellStyle name="Normal 8 2 2 3 3" xfId="4056"/>
    <cellStyle name="Normal 8 2 2 3 3 2" xfId="7944"/>
    <cellStyle name="Normal 8 2 2 3 4" xfId="6154"/>
    <cellStyle name="Normal 8 2 2 4" xfId="4057"/>
    <cellStyle name="Normal 8 2 2 4 2" xfId="4058"/>
    <cellStyle name="Normal 8 2 2 4 2 2" xfId="7946"/>
    <cellStyle name="Normal 8 2 2 4 3" xfId="6156"/>
    <cellStyle name="Normal 8 2 2 5" xfId="4059"/>
    <cellStyle name="Normal 8 2 2 5 2" xfId="4060"/>
    <cellStyle name="Normal 8 2 2 5 2 2" xfId="7947"/>
    <cellStyle name="Normal 8 2 2 5 3" xfId="6157"/>
    <cellStyle name="Normal 8 2 2 6" xfId="4061"/>
    <cellStyle name="Normal 8 2 2 6 2" xfId="4062"/>
    <cellStyle name="Normal 8 2 2 6 2 2" xfId="7940"/>
    <cellStyle name="Normal 8 2 2 6 3" xfId="6150"/>
    <cellStyle name="Normal 8 2 2 7" xfId="4063"/>
    <cellStyle name="Normal 8 2 2 7 2" xfId="6434"/>
    <cellStyle name="Normal 8 2 2 8" xfId="4642"/>
    <cellStyle name="Normal 8 2 2_13008" xfId="4064"/>
    <cellStyle name="Normal 8 2 3" xfId="4065"/>
    <cellStyle name="Normal 8 2 3 2" xfId="4066"/>
    <cellStyle name="Normal 8 2 3 2 2" xfId="4067"/>
    <cellStyle name="Normal 8 2 3 2 2 2" xfId="4068"/>
    <cellStyle name="Normal 8 2 3 2 2 2 2" xfId="7950"/>
    <cellStyle name="Normal 8 2 3 2 2 3" xfId="6160"/>
    <cellStyle name="Normal 8 2 3 2 3" xfId="4069"/>
    <cellStyle name="Normal 8 2 3 2 3 2" xfId="7949"/>
    <cellStyle name="Normal 8 2 3 2 4" xfId="6159"/>
    <cellStyle name="Normal 8 2 3 3" xfId="4070"/>
    <cellStyle name="Normal 8 2 3 3 2" xfId="4071"/>
    <cellStyle name="Normal 8 2 3 3 2 2" xfId="4072"/>
    <cellStyle name="Normal 8 2 3 3 2 2 2" xfId="7952"/>
    <cellStyle name="Normal 8 2 3 3 2 3" xfId="6162"/>
    <cellStyle name="Normal 8 2 3 3 3" xfId="4073"/>
    <cellStyle name="Normal 8 2 3 3 3 2" xfId="7951"/>
    <cellStyle name="Normal 8 2 3 3 4" xfId="6161"/>
    <cellStyle name="Normal 8 2 3 4" xfId="4074"/>
    <cellStyle name="Normal 8 2 3 4 2" xfId="4075"/>
    <cellStyle name="Normal 8 2 3 4 2 2" xfId="7953"/>
    <cellStyle name="Normal 8 2 3 4 3" xfId="6163"/>
    <cellStyle name="Normal 8 2 3 5" xfId="4076"/>
    <cellStyle name="Normal 8 2 3 5 2" xfId="7948"/>
    <cellStyle name="Normal 8 2 3 6" xfId="6158"/>
    <cellStyle name="Normal 8 2 3_13008" xfId="4077"/>
    <cellStyle name="Normal 8 2 4" xfId="4078"/>
    <cellStyle name="Normal 8 2 4 2" xfId="4079"/>
    <cellStyle name="Normal 8 2 4 2 2" xfId="4080"/>
    <cellStyle name="Normal 8 2 4 2 2 2" xfId="7955"/>
    <cellStyle name="Normal 8 2 4 2 3" xfId="6165"/>
    <cellStyle name="Normal 8 2 4 3" xfId="4081"/>
    <cellStyle name="Normal 8 2 4 3 2" xfId="4082"/>
    <cellStyle name="Normal 8 2 4 3 2 2" xfId="7956"/>
    <cellStyle name="Normal 8 2 4 3 3" xfId="6166"/>
    <cellStyle name="Normal 8 2 4 4" xfId="4083"/>
    <cellStyle name="Normal 8 2 4 4 2" xfId="4084"/>
    <cellStyle name="Normal 8 2 4 4 2 2" xfId="7957"/>
    <cellStyle name="Normal 8 2 4 4 3" xfId="6167"/>
    <cellStyle name="Normal 8 2 4 5" xfId="4085"/>
    <cellStyle name="Normal 8 2 4 5 2" xfId="7954"/>
    <cellStyle name="Normal 8 2 4 6" xfId="6164"/>
    <cellStyle name="Normal 8 2 5" xfId="4086"/>
    <cellStyle name="Normal 8 2 5 2" xfId="4087"/>
    <cellStyle name="Normal 8 2 5 2 2" xfId="4088"/>
    <cellStyle name="Normal 8 2 5 2 2 2" xfId="7959"/>
    <cellStyle name="Normal 8 2 5 2 3" xfId="6169"/>
    <cellStyle name="Normal 8 2 5 3" xfId="4089"/>
    <cellStyle name="Normal 8 2 5 3 2" xfId="4090"/>
    <cellStyle name="Normal 8 2 5 3 2 2" xfId="7960"/>
    <cellStyle name="Normal 8 2 5 3 3" xfId="6170"/>
    <cellStyle name="Normal 8 2 5 4" xfId="4091"/>
    <cellStyle name="Normal 8 2 5 4 2" xfId="7958"/>
    <cellStyle name="Normal 8 2 5 5" xfId="6168"/>
    <cellStyle name="Normal 8 2 6" xfId="4092"/>
    <cellStyle name="Normal 8 2 6 2" xfId="4093"/>
    <cellStyle name="Normal 8 2 6 2 2" xfId="7961"/>
    <cellStyle name="Normal 8 2 6 3" xfId="6171"/>
    <cellStyle name="Normal 8 2 7" xfId="4094"/>
    <cellStyle name="Normal 8 2 7 2" xfId="4095"/>
    <cellStyle name="Normal 8 2 7 2 2" xfId="7962"/>
    <cellStyle name="Normal 8 2 7 3" xfId="6172"/>
    <cellStyle name="Normal 8 2 8" xfId="4096"/>
    <cellStyle name="Normal 8 2 8 2" xfId="4097"/>
    <cellStyle name="Normal 8 2 8 2 2" xfId="7963"/>
    <cellStyle name="Normal 8 2 8 3" xfId="6173"/>
    <cellStyle name="Normal 8 2 9" xfId="4098"/>
    <cellStyle name="Normal 8 2 9 2" xfId="4099"/>
    <cellStyle name="Normal 8 2 9 2 2" xfId="7939"/>
    <cellStyle name="Normal 8 2 9 3" xfId="6149"/>
    <cellStyle name="Normal 8 2_13008" xfId="4100"/>
    <cellStyle name="Normal 8 3" xfId="4101"/>
    <cellStyle name="Normal 8 3 2" xfId="4102"/>
    <cellStyle name="Normal 8 3 2 2" xfId="4103"/>
    <cellStyle name="Normal 8 3 2 2 2" xfId="4104"/>
    <cellStyle name="Normal 8 3 2 2 2 2" xfId="7966"/>
    <cellStyle name="Normal 8 3 2 2 3" xfId="6176"/>
    <cellStyle name="Normal 8 3 2 3" xfId="4105"/>
    <cellStyle name="Normal 8 3 2 3 2" xfId="6177"/>
    <cellStyle name="Normal 8 3 2 4" xfId="4106"/>
    <cellStyle name="Normal 8 3 2 4 2" xfId="4107"/>
    <cellStyle name="Normal 8 3 2 4 2 2" xfId="7965"/>
    <cellStyle name="Normal 8 3 2 4 3" xfId="6175"/>
    <cellStyle name="Normal 8 3 2 5" xfId="4108"/>
    <cellStyle name="Normal 8 3 2 5 2" xfId="6446"/>
    <cellStyle name="Normal 8 3 2 6" xfId="4654"/>
    <cellStyle name="Normal 8 3 3" xfId="4109"/>
    <cellStyle name="Normal 8 3 3 2" xfId="4110"/>
    <cellStyle name="Normal 8 3 3 2 2" xfId="4111"/>
    <cellStyle name="Normal 8 3 3 2 2 2" xfId="7968"/>
    <cellStyle name="Normal 8 3 3 2 3" xfId="6179"/>
    <cellStyle name="Normal 8 3 3 3" xfId="4112"/>
    <cellStyle name="Normal 8 3 3 3 2" xfId="7967"/>
    <cellStyle name="Normal 8 3 3 4" xfId="6178"/>
    <cellStyle name="Normal 8 3 4" xfId="4113"/>
    <cellStyle name="Normal 8 3 4 2" xfId="4114"/>
    <cellStyle name="Normal 8 3 4 2 2" xfId="7969"/>
    <cellStyle name="Normal 8 3 4 3" xfId="6180"/>
    <cellStyle name="Normal 8 3 5" xfId="4115"/>
    <cellStyle name="Normal 8 3 5 2" xfId="4116"/>
    <cellStyle name="Normal 8 3 5 2 2" xfId="7970"/>
    <cellStyle name="Normal 8 3 5 3" xfId="6181"/>
    <cellStyle name="Normal 8 3 6" xfId="4117"/>
    <cellStyle name="Normal 8 3 6 2" xfId="4118"/>
    <cellStyle name="Normal 8 3 6 2 2" xfId="7964"/>
    <cellStyle name="Normal 8 3 6 3" xfId="6174"/>
    <cellStyle name="Normal 8 3 7" xfId="4119"/>
    <cellStyle name="Normal 8 3 7 2" xfId="6377"/>
    <cellStyle name="Normal 8 3 8" xfId="4532"/>
    <cellStyle name="Normal 8 3_13008" xfId="4120"/>
    <cellStyle name="Normal 8 4" xfId="4121"/>
    <cellStyle name="Normal 8 4 2" xfId="4122"/>
    <cellStyle name="Normal 8 4 2 2" xfId="4123"/>
    <cellStyle name="Normal 8 4 2 2 2" xfId="4124"/>
    <cellStyle name="Normal 8 4 2 2 2 2" xfId="7973"/>
    <cellStyle name="Normal 8 4 2 2 3" xfId="6184"/>
    <cellStyle name="Normal 8 4 2 3" xfId="4125"/>
    <cellStyle name="Normal 8 4 2 3 2" xfId="4126"/>
    <cellStyle name="Normal 8 4 2 3 2 2" xfId="7972"/>
    <cellStyle name="Normal 8 4 2 3 3" xfId="6183"/>
    <cellStyle name="Normal 8 4 2 4" xfId="4127"/>
    <cellStyle name="Normal 8 4 2 4 2" xfId="6458"/>
    <cellStyle name="Normal 8 4 2 5" xfId="4666"/>
    <cellStyle name="Normal 8 4 3" xfId="4128"/>
    <cellStyle name="Normal 8 4 3 2" xfId="4129"/>
    <cellStyle name="Normal 8 4 3 2 2" xfId="4130"/>
    <cellStyle name="Normal 8 4 3 2 2 2" xfId="7975"/>
    <cellStyle name="Normal 8 4 3 2 3" xfId="6186"/>
    <cellStyle name="Normal 8 4 3 3" xfId="4131"/>
    <cellStyle name="Normal 8 4 3 3 2" xfId="7974"/>
    <cellStyle name="Normal 8 4 3 4" xfId="6185"/>
    <cellStyle name="Normal 8 4 4" xfId="4132"/>
    <cellStyle name="Normal 8 4 4 2" xfId="4133"/>
    <cellStyle name="Normal 8 4 4 2 2" xfId="7976"/>
    <cellStyle name="Normal 8 4 4 3" xfId="6187"/>
    <cellStyle name="Normal 8 4 5" xfId="4134"/>
    <cellStyle name="Normal 8 4 5 2" xfId="4135"/>
    <cellStyle name="Normal 8 4 5 2 2" xfId="7971"/>
    <cellStyle name="Normal 8 4 5 3" xfId="6182"/>
    <cellStyle name="Normal 8 4 6" xfId="4136"/>
    <cellStyle name="Normal 8 4 6 2" xfId="6389"/>
    <cellStyle name="Normal 8 4 7" xfId="4596"/>
    <cellStyle name="Normal 8 4_13008" xfId="4137"/>
    <cellStyle name="Normal 8 5" xfId="4138"/>
    <cellStyle name="Normal 8 5 2" xfId="4139"/>
    <cellStyle name="Normal 8 5 2 2" xfId="4140"/>
    <cellStyle name="Normal 8 5 2 2 2" xfId="4141"/>
    <cellStyle name="Normal 8 5 2 2 2 2" xfId="7979"/>
    <cellStyle name="Normal 8 5 2 2 3" xfId="6190"/>
    <cellStyle name="Normal 8 5 2 3" xfId="4142"/>
    <cellStyle name="Normal 8 5 2 3 2" xfId="4143"/>
    <cellStyle name="Normal 8 5 2 3 2 2" xfId="7978"/>
    <cellStyle name="Normal 8 5 2 3 3" xfId="6189"/>
    <cellStyle name="Normal 8 5 2 4" xfId="4144"/>
    <cellStyle name="Normal 8 5 2 4 2" xfId="6472"/>
    <cellStyle name="Normal 8 5 2 5" xfId="4680"/>
    <cellStyle name="Normal 8 5 3" xfId="4145"/>
    <cellStyle name="Normal 8 5 3 2" xfId="4146"/>
    <cellStyle name="Normal 8 5 3 2 2" xfId="4147"/>
    <cellStyle name="Normal 8 5 3 2 2 2" xfId="7981"/>
    <cellStyle name="Normal 8 5 3 2 3" xfId="6192"/>
    <cellStyle name="Normal 8 5 3 3" xfId="4148"/>
    <cellStyle name="Normal 8 5 3 3 2" xfId="7980"/>
    <cellStyle name="Normal 8 5 3 4" xfId="6191"/>
    <cellStyle name="Normal 8 5 4" xfId="4149"/>
    <cellStyle name="Normal 8 5 4 2" xfId="4150"/>
    <cellStyle name="Normal 8 5 4 2 2" xfId="7982"/>
    <cellStyle name="Normal 8 5 4 3" xfId="6193"/>
    <cellStyle name="Normal 8 5 5" xfId="4151"/>
    <cellStyle name="Normal 8 5 5 2" xfId="4152"/>
    <cellStyle name="Normal 8 5 5 2 2" xfId="7977"/>
    <cellStyle name="Normal 8 5 5 3" xfId="6188"/>
    <cellStyle name="Normal 8 5 6" xfId="4153"/>
    <cellStyle name="Normal 8 5 6 2" xfId="6403"/>
    <cellStyle name="Normal 8 5 7" xfId="4610"/>
    <cellStyle name="Normal 8 5_13008" xfId="4154"/>
    <cellStyle name="Normal 8 6" xfId="4155"/>
    <cellStyle name="Normal 8 6 2" xfId="4156"/>
    <cellStyle name="Normal 8 6 2 2" xfId="4157"/>
    <cellStyle name="Normal 8 6 2 2 2" xfId="7984"/>
    <cellStyle name="Normal 8 6 2 3" xfId="6195"/>
    <cellStyle name="Normal 8 6 3" xfId="4158"/>
    <cellStyle name="Normal 8 6 3 2" xfId="4159"/>
    <cellStyle name="Normal 8 6 3 2 2" xfId="7985"/>
    <cellStyle name="Normal 8 6 3 3" xfId="6196"/>
    <cellStyle name="Normal 8 6 4" xfId="4160"/>
    <cellStyle name="Normal 8 6 4 2" xfId="4161"/>
    <cellStyle name="Normal 8 6 4 2 2" xfId="7983"/>
    <cellStyle name="Normal 8 6 4 3" xfId="6194"/>
    <cellStyle name="Normal 8 6 5" xfId="4162"/>
    <cellStyle name="Normal 8 6 5 2" xfId="6420"/>
    <cellStyle name="Normal 8 6 6" xfId="4628"/>
    <cellStyle name="Normal 8 7" xfId="4163"/>
    <cellStyle name="Normal 8 7 2" xfId="4164"/>
    <cellStyle name="Normal 8 7 2 2" xfId="4165"/>
    <cellStyle name="Normal 8 7 2 2 2" xfId="7987"/>
    <cellStyle name="Normal 8 7 2 3" xfId="6198"/>
    <cellStyle name="Normal 8 7 3" xfId="4166"/>
    <cellStyle name="Normal 8 7 3 2" xfId="7986"/>
    <cellStyle name="Normal 8 7 4" xfId="6197"/>
    <cellStyle name="Normal 8 8" xfId="4167"/>
    <cellStyle name="Normal 8 8 2" xfId="4168"/>
    <cellStyle name="Normal 8 8 2 2" xfId="7988"/>
    <cellStyle name="Normal 8 8 3" xfId="6199"/>
    <cellStyle name="Normal 8 9" xfId="4169"/>
    <cellStyle name="Normal 8 9 2" xfId="4170"/>
    <cellStyle name="Normal 8 9 2 2" xfId="7989"/>
    <cellStyle name="Normal 8 9 3" xfId="6200"/>
    <cellStyle name="Normal 8_13008" xfId="4171"/>
    <cellStyle name="Normal 80" xfId="4172"/>
    <cellStyle name="Normal 80 2" xfId="4549"/>
    <cellStyle name="Normal 81" xfId="4173"/>
    <cellStyle name="Normal 81 2" xfId="4550"/>
    <cellStyle name="Normal 82" xfId="4174"/>
    <cellStyle name="Normal 82 2" xfId="4551"/>
    <cellStyle name="Normal 83" xfId="4175"/>
    <cellStyle name="Normal 83 2" xfId="4552"/>
    <cellStyle name="Normal 84" xfId="4176"/>
    <cellStyle name="Normal 84 2" xfId="4177"/>
    <cellStyle name="Normal 84 3" xfId="4178"/>
    <cellStyle name="Normal 84 4" xfId="4553"/>
    <cellStyle name="Normal 85" xfId="4179"/>
    <cellStyle name="Normal 85 2" xfId="4180"/>
    <cellStyle name="Normal 85 3" xfId="4181"/>
    <cellStyle name="Normal 85 4" xfId="4554"/>
    <cellStyle name="Normal 86" xfId="4182"/>
    <cellStyle name="Normal 86 2" xfId="4183"/>
    <cellStyle name="Normal 86 3" xfId="4515"/>
    <cellStyle name="Normal 87" xfId="4184"/>
    <cellStyle name="Normal 87 2" xfId="4185"/>
    <cellStyle name="Normal 87 3" xfId="4516"/>
    <cellStyle name="Normal 88" xfId="4186"/>
    <cellStyle name="Normal 88 2" xfId="4187"/>
    <cellStyle name="Normal 88 2 2" xfId="6309"/>
    <cellStyle name="Normal 88 3" xfId="4578"/>
    <cellStyle name="Normal 89" xfId="4188"/>
    <cellStyle name="Normal 89 2" xfId="4189"/>
    <cellStyle name="Normal 89 2 2" xfId="4190"/>
    <cellStyle name="Normal 89 2 2 2" xfId="8067"/>
    <cellStyle name="Normal 89 2 3" xfId="6308"/>
    <cellStyle name="Normal 89 3" xfId="4576"/>
    <cellStyle name="Normal 9" xfId="4191"/>
    <cellStyle name="Normal 9 10" xfId="4192"/>
    <cellStyle name="Normal 9 10 2" xfId="4193"/>
    <cellStyle name="Normal 9 10 2 2" xfId="7990"/>
    <cellStyle name="Normal 9 10 3" xfId="6201"/>
    <cellStyle name="Normal 9 11" xfId="4194"/>
    <cellStyle name="Normal 9 11 2" xfId="6352"/>
    <cellStyle name="Normal 9 12" xfId="4493"/>
    <cellStyle name="Normal 9 2" xfId="4195"/>
    <cellStyle name="Normal 9 2 10" xfId="4196"/>
    <cellStyle name="Normal 9 2 10 2" xfId="6366"/>
    <cellStyle name="Normal 9 2 11" xfId="4512"/>
    <cellStyle name="Normal 9 2 2" xfId="4197"/>
    <cellStyle name="Normal 9 2 2 2" xfId="4198"/>
    <cellStyle name="Normal 9 2 2 2 2" xfId="4199"/>
    <cellStyle name="Normal 9 2 2 2 2 2" xfId="4200"/>
    <cellStyle name="Normal 9 2 2 2 2 2 2" xfId="7994"/>
    <cellStyle name="Normal 9 2 2 2 2 3" xfId="6205"/>
    <cellStyle name="Normal 9 2 2 2 3" xfId="4201"/>
    <cellStyle name="Normal 9 2 2 2 3 2" xfId="4202"/>
    <cellStyle name="Normal 9 2 2 2 3 2 2" xfId="7995"/>
    <cellStyle name="Normal 9 2 2 2 3 3" xfId="6206"/>
    <cellStyle name="Normal 9 2 2 2 4" xfId="4203"/>
    <cellStyle name="Normal 9 2 2 2 4 2" xfId="7993"/>
    <cellStyle name="Normal 9 2 2 2 5" xfId="6204"/>
    <cellStyle name="Normal 9 2 2 3" xfId="4204"/>
    <cellStyle name="Normal 9 2 2 3 2" xfId="4205"/>
    <cellStyle name="Normal 9 2 2 3 2 2" xfId="4206"/>
    <cellStyle name="Normal 9 2 2 3 2 2 2" xfId="7997"/>
    <cellStyle name="Normal 9 2 2 3 2 3" xfId="6208"/>
    <cellStyle name="Normal 9 2 2 3 3" xfId="4207"/>
    <cellStyle name="Normal 9 2 2 3 3 2" xfId="7996"/>
    <cellStyle name="Normal 9 2 2 3 4" xfId="6207"/>
    <cellStyle name="Normal 9 2 2 4" xfId="4208"/>
    <cellStyle name="Normal 9 2 2 4 2" xfId="4209"/>
    <cellStyle name="Normal 9 2 2 4 2 2" xfId="7998"/>
    <cellStyle name="Normal 9 2 2 4 3" xfId="6209"/>
    <cellStyle name="Normal 9 2 2 5" xfId="4210"/>
    <cellStyle name="Normal 9 2 2 5 2" xfId="4211"/>
    <cellStyle name="Normal 9 2 2 5 2 2" xfId="7999"/>
    <cellStyle name="Normal 9 2 2 5 3" xfId="6210"/>
    <cellStyle name="Normal 9 2 2 6" xfId="4212"/>
    <cellStyle name="Normal 9 2 2 6 2" xfId="4213"/>
    <cellStyle name="Normal 9 2 2 6 2 2" xfId="7992"/>
    <cellStyle name="Normal 9 2 2 6 3" xfId="6203"/>
    <cellStyle name="Normal 9 2 2 7" xfId="4214"/>
    <cellStyle name="Normal 9 2 2 7 2" xfId="6435"/>
    <cellStyle name="Normal 9 2 2 8" xfId="4643"/>
    <cellStyle name="Normal 9 2 2_13008" xfId="4215"/>
    <cellStyle name="Normal 9 2 3" xfId="4216"/>
    <cellStyle name="Normal 9 2 3 2" xfId="4217"/>
    <cellStyle name="Normal 9 2 3 2 2" xfId="4218"/>
    <cellStyle name="Normal 9 2 3 2 2 2" xfId="4219"/>
    <cellStyle name="Normal 9 2 3 2 2 2 2" xfId="8002"/>
    <cellStyle name="Normal 9 2 3 2 2 3" xfId="6213"/>
    <cellStyle name="Normal 9 2 3 2 3" xfId="4220"/>
    <cellStyle name="Normal 9 2 3 2 3 2" xfId="8001"/>
    <cellStyle name="Normal 9 2 3 2 4" xfId="6212"/>
    <cellStyle name="Normal 9 2 3 3" xfId="4221"/>
    <cellStyle name="Normal 9 2 3 3 2" xfId="4222"/>
    <cellStyle name="Normal 9 2 3 3 2 2" xfId="4223"/>
    <cellStyle name="Normal 9 2 3 3 2 2 2" xfId="8004"/>
    <cellStyle name="Normal 9 2 3 3 2 3" xfId="6215"/>
    <cellStyle name="Normal 9 2 3 3 3" xfId="4224"/>
    <cellStyle name="Normal 9 2 3 3 3 2" xfId="8003"/>
    <cellStyle name="Normal 9 2 3 3 4" xfId="6214"/>
    <cellStyle name="Normal 9 2 3 4" xfId="4225"/>
    <cellStyle name="Normal 9 2 3 4 2" xfId="4226"/>
    <cellStyle name="Normal 9 2 3 4 2 2" xfId="8005"/>
    <cellStyle name="Normal 9 2 3 4 3" xfId="6216"/>
    <cellStyle name="Normal 9 2 3 5" xfId="4227"/>
    <cellStyle name="Normal 9 2 3 5 2" xfId="8000"/>
    <cellStyle name="Normal 9 2 3 6" xfId="6211"/>
    <cellStyle name="Normal 9 2 3_13008" xfId="4228"/>
    <cellStyle name="Normal 9 2 4" xfId="4229"/>
    <cellStyle name="Normal 9 2 4 2" xfId="4230"/>
    <cellStyle name="Normal 9 2 4 2 2" xfId="4231"/>
    <cellStyle name="Normal 9 2 4 2 2 2" xfId="4232"/>
    <cellStyle name="Normal 9 2 4 2 2 2 2" xfId="8008"/>
    <cellStyle name="Normal 9 2 4 2 2 3" xfId="6219"/>
    <cellStyle name="Normal 9 2 4 2 3" xfId="4233"/>
    <cellStyle name="Normal 9 2 4 2 3 2" xfId="8007"/>
    <cellStyle name="Normal 9 2 4 2 4" xfId="6218"/>
    <cellStyle name="Normal 9 2 4 3" xfId="4234"/>
    <cellStyle name="Normal 9 2 4 3 2" xfId="4235"/>
    <cellStyle name="Normal 9 2 4 3 2 2" xfId="8009"/>
    <cellStyle name="Normal 9 2 4 3 3" xfId="6220"/>
    <cellStyle name="Normal 9 2 4 4" xfId="4236"/>
    <cellStyle name="Normal 9 2 4 4 2" xfId="4237"/>
    <cellStyle name="Normal 9 2 4 4 2 2" xfId="8010"/>
    <cellStyle name="Normal 9 2 4 4 3" xfId="6221"/>
    <cellStyle name="Normal 9 2 4 5" xfId="4238"/>
    <cellStyle name="Normal 9 2 4 5 2" xfId="8006"/>
    <cellStyle name="Normal 9 2 4 6" xfId="6217"/>
    <cellStyle name="Normal 9 2 4_13008" xfId="4239"/>
    <cellStyle name="Normal 9 2 5" xfId="4240"/>
    <cellStyle name="Normal 9 2 5 2" xfId="4241"/>
    <cellStyle name="Normal 9 2 5 2 2" xfId="4242"/>
    <cellStyle name="Normal 9 2 5 2 2 2" xfId="4243"/>
    <cellStyle name="Normal 9 2 5 2 2 2 2" xfId="8013"/>
    <cellStyle name="Normal 9 2 5 2 2 3" xfId="6224"/>
    <cellStyle name="Normal 9 2 5 2 3" xfId="4244"/>
    <cellStyle name="Normal 9 2 5 2 3 2" xfId="8012"/>
    <cellStyle name="Normal 9 2 5 2 4" xfId="6223"/>
    <cellStyle name="Normal 9 2 5 3" xfId="4245"/>
    <cellStyle name="Normal 9 2 5 3 2" xfId="4246"/>
    <cellStyle name="Normal 9 2 5 3 2 2" xfId="4247"/>
    <cellStyle name="Normal 9 2 5 3 2 3" xfId="8014"/>
    <cellStyle name="Normal 9 2 5 3 3" xfId="4248"/>
    <cellStyle name="Normal 9 2 5 3 4" xfId="4249"/>
    <cellStyle name="Normal 9 2 5 3 5" xfId="6225"/>
    <cellStyle name="Normal 9 2 5 4" xfId="4250"/>
    <cellStyle name="Normal 9 2 5 4 2" xfId="4251"/>
    <cellStyle name="Normal 9 2 5 4 3" xfId="8011"/>
    <cellStyle name="Normal 9 2 5 5" xfId="4252"/>
    <cellStyle name="Normal 9 2 5 6" xfId="4253"/>
    <cellStyle name="Normal 9 2 5 7" xfId="6222"/>
    <cellStyle name="Normal 9 2 5_10070" xfId="4254"/>
    <cellStyle name="Normal 9 2 6" xfId="4255"/>
    <cellStyle name="Normal 9 2 6 2" xfId="4256"/>
    <cellStyle name="Normal 9 2 6 2 2" xfId="4257"/>
    <cellStyle name="Normal 9 2 6 2 2 2" xfId="8016"/>
    <cellStyle name="Normal 9 2 6 2 3" xfId="6227"/>
    <cellStyle name="Normal 9 2 6 3" xfId="4258"/>
    <cellStyle name="Normal 9 2 6 3 2" xfId="8015"/>
    <cellStyle name="Normal 9 2 6 4" xfId="6226"/>
    <cellStyle name="Normal 9 2 7" xfId="4259"/>
    <cellStyle name="Normal 9 2 7 2" xfId="4260"/>
    <cellStyle name="Normal 9 2 7 2 2" xfId="8017"/>
    <cellStyle name="Normal 9 2 7 3" xfId="6228"/>
    <cellStyle name="Normal 9 2 8" xfId="4261"/>
    <cellStyle name="Normal 9 2 8 2" xfId="4262"/>
    <cellStyle name="Normal 9 2 8 2 2" xfId="8018"/>
    <cellStyle name="Normal 9 2 8 3" xfId="6229"/>
    <cellStyle name="Normal 9 2 9" xfId="4263"/>
    <cellStyle name="Normal 9 2 9 2" xfId="4264"/>
    <cellStyle name="Normal 9 2 9 2 2" xfId="7991"/>
    <cellStyle name="Normal 9 2 9 3" xfId="6202"/>
    <cellStyle name="Normal 9 2_13008" xfId="4265"/>
    <cellStyle name="Normal 9 3" xfId="4266"/>
    <cellStyle name="Normal 9 3 2" xfId="4267"/>
    <cellStyle name="Normal 9 3 2 2" xfId="4268"/>
    <cellStyle name="Normal 9 3 2 2 2" xfId="4269"/>
    <cellStyle name="Normal 9 3 2 2 2 2" xfId="8021"/>
    <cellStyle name="Normal 9 3 2 2 3" xfId="6232"/>
    <cellStyle name="Normal 9 3 2 3" xfId="4270"/>
    <cellStyle name="Normal 9 3 2 3 2" xfId="6233"/>
    <cellStyle name="Normal 9 3 2 4" xfId="4271"/>
    <cellStyle name="Normal 9 3 2 4 2" xfId="8020"/>
    <cellStyle name="Normal 9 3 2 5" xfId="6231"/>
    <cellStyle name="Normal 9 3 3" xfId="4272"/>
    <cellStyle name="Normal 9 3 3 2" xfId="4273"/>
    <cellStyle name="Normal 9 3 3 2 2" xfId="4274"/>
    <cellStyle name="Normal 9 3 3 2 2 2" xfId="8023"/>
    <cellStyle name="Normal 9 3 3 2 3" xfId="6235"/>
    <cellStyle name="Normal 9 3 3 3" xfId="4275"/>
    <cellStyle name="Normal 9 3 3 3 2" xfId="8022"/>
    <cellStyle name="Normal 9 3 3 4" xfId="6234"/>
    <cellStyle name="Normal 9 3 4" xfId="4276"/>
    <cellStyle name="Normal 9 3 4 2" xfId="4277"/>
    <cellStyle name="Normal 9 3 4 2 2" xfId="8024"/>
    <cellStyle name="Normal 9 3 4 3" xfId="6236"/>
    <cellStyle name="Normal 9 3 5" xfId="4278"/>
    <cellStyle name="Normal 9 3 5 2" xfId="4279"/>
    <cellStyle name="Normal 9 3 5 2 2" xfId="8025"/>
    <cellStyle name="Normal 9 3 5 3" xfId="6237"/>
    <cellStyle name="Normal 9 3 6" xfId="4280"/>
    <cellStyle name="Normal 9 3 6 2" xfId="4281"/>
    <cellStyle name="Normal 9 3 6 2 2" xfId="8019"/>
    <cellStyle name="Normal 9 3 6 3" xfId="6230"/>
    <cellStyle name="Normal 9 3 7" xfId="4282"/>
    <cellStyle name="Normal 9 3 8" xfId="4535"/>
    <cellStyle name="Normal 9 3_13008" xfId="4283"/>
    <cellStyle name="Normal 9 4" xfId="4284"/>
    <cellStyle name="Normal 9 4 2" xfId="4285"/>
    <cellStyle name="Normal 9 4 2 2" xfId="4286"/>
    <cellStyle name="Normal 9 4 2 2 2" xfId="4287"/>
    <cellStyle name="Normal 9 4 2 2 2 2" xfId="8028"/>
    <cellStyle name="Normal 9 4 2 2 3" xfId="6240"/>
    <cellStyle name="Normal 9 4 2 3" xfId="4288"/>
    <cellStyle name="Normal 9 4 2 3 2" xfId="4289"/>
    <cellStyle name="Normal 9 4 2 3 2 2" xfId="8027"/>
    <cellStyle name="Normal 9 4 2 3 3" xfId="6239"/>
    <cellStyle name="Normal 9 4 2 4" xfId="4290"/>
    <cellStyle name="Normal 9 4 2 4 2" xfId="6473"/>
    <cellStyle name="Normal 9 4 2 5" xfId="4681"/>
    <cellStyle name="Normal 9 4 3" xfId="4291"/>
    <cellStyle name="Normal 9 4 3 2" xfId="4292"/>
    <cellStyle name="Normal 9 4 3 2 2" xfId="4293"/>
    <cellStyle name="Normal 9 4 3 2 2 2" xfId="8030"/>
    <cellStyle name="Normal 9 4 3 2 3" xfId="6242"/>
    <cellStyle name="Normal 9 4 3 3" xfId="4294"/>
    <cellStyle name="Normal 9 4 3 3 2" xfId="8029"/>
    <cellStyle name="Normal 9 4 3 4" xfId="6241"/>
    <cellStyle name="Normal 9 4 4" xfId="4295"/>
    <cellStyle name="Normal 9 4 4 2" xfId="4296"/>
    <cellStyle name="Normal 9 4 4 2 2" xfId="8031"/>
    <cellStyle name="Normal 9 4 4 3" xfId="6243"/>
    <cellStyle name="Normal 9 4 5" xfId="4297"/>
    <cellStyle name="Normal 9 4 5 2" xfId="4298"/>
    <cellStyle name="Normal 9 4 5 2 2" xfId="8026"/>
    <cellStyle name="Normal 9 4 5 3" xfId="6238"/>
    <cellStyle name="Normal 9 4 6" xfId="4299"/>
    <cellStyle name="Normal 9 4 6 2" xfId="6404"/>
    <cellStyle name="Normal 9 4 7" xfId="4611"/>
    <cellStyle name="Normal 9 4_13008" xfId="4300"/>
    <cellStyle name="Normal 9 5" xfId="4301"/>
    <cellStyle name="Normal 9 5 2" xfId="4302"/>
    <cellStyle name="Normal 9 5 2 2" xfId="4303"/>
    <cellStyle name="Normal 9 5 2 2 2" xfId="4304"/>
    <cellStyle name="Normal 9 5 2 2 2 2" xfId="8034"/>
    <cellStyle name="Normal 9 5 2 2 3" xfId="6246"/>
    <cellStyle name="Normal 9 5 2 3" xfId="4305"/>
    <cellStyle name="Normal 9 5 2 3 2" xfId="8033"/>
    <cellStyle name="Normal 9 5 2 4" xfId="6245"/>
    <cellStyle name="Normal 9 5 3" xfId="4306"/>
    <cellStyle name="Normal 9 5 3 2" xfId="4307"/>
    <cellStyle name="Normal 9 5 3 2 2" xfId="4308"/>
    <cellStyle name="Normal 9 5 3 2 3" xfId="8035"/>
    <cellStyle name="Normal 9 5 3 3" xfId="4309"/>
    <cellStyle name="Normal 9 5 3 4" xfId="4310"/>
    <cellStyle name="Normal 9 5 3 5" xfId="6247"/>
    <cellStyle name="Normal 9 5 4" xfId="4311"/>
    <cellStyle name="Normal 9 5 4 2" xfId="4312"/>
    <cellStyle name="Normal 9 5 4 3" xfId="4313"/>
    <cellStyle name="Normal 9 5 4 4" xfId="6248"/>
    <cellStyle name="Normal 9 5 5" xfId="4314"/>
    <cellStyle name="Normal 9 5 5 2" xfId="4315"/>
    <cellStyle name="Normal 9 5 5 2 2" xfId="8032"/>
    <cellStyle name="Normal 9 5 5 3" xfId="6244"/>
    <cellStyle name="Normal 9 5 6" xfId="4316"/>
    <cellStyle name="Normal 9 5 6 2" xfId="6421"/>
    <cellStyle name="Normal 9 5 7" xfId="4629"/>
    <cellStyle name="Normal 9 5_10070" xfId="4317"/>
    <cellStyle name="Normal 9 6" xfId="4318"/>
    <cellStyle name="Normal 9 6 2" xfId="4319"/>
    <cellStyle name="Normal 9 6 2 2" xfId="4320"/>
    <cellStyle name="Normal 9 6 2 2 2" xfId="8037"/>
    <cellStyle name="Normal 9 6 2 3" xfId="6250"/>
    <cellStyle name="Normal 9 6 3" xfId="4321"/>
    <cellStyle name="Normal 9 6 3 2" xfId="4322"/>
    <cellStyle name="Normal 9 6 3 2 2" xfId="8038"/>
    <cellStyle name="Normal 9 6 3 3" xfId="6251"/>
    <cellStyle name="Normal 9 6 4" xfId="4323"/>
    <cellStyle name="Normal 9 6 4 2" xfId="8036"/>
    <cellStyle name="Normal 9 6 5" xfId="6249"/>
    <cellStyle name="Normal 9 7" xfId="4324"/>
    <cellStyle name="Normal 9 7 2" xfId="4325"/>
    <cellStyle name="Normal 9 7 2 2" xfId="4326"/>
    <cellStyle name="Normal 9 7 2 2 2" xfId="8040"/>
    <cellStyle name="Normal 9 7 2 3" xfId="6253"/>
    <cellStyle name="Normal 9 7 3" xfId="4327"/>
    <cellStyle name="Normal 9 7 3 2" xfId="8039"/>
    <cellStyle name="Normal 9 7 4" xfId="6252"/>
    <cellStyle name="Normal 9 8" xfId="4328"/>
    <cellStyle name="Normal 9 8 2" xfId="4329"/>
    <cellStyle name="Normal 9 8 2 2" xfId="8041"/>
    <cellStyle name="Normal 9 8 3" xfId="6254"/>
    <cellStyle name="Normal 9 9" xfId="4330"/>
    <cellStyle name="Normal 9 9 2" xfId="4331"/>
    <cellStyle name="Normal 9 9 2 2" xfId="8042"/>
    <cellStyle name="Normal 9 9 3" xfId="6255"/>
    <cellStyle name="Normal 9_13008" xfId="4332"/>
    <cellStyle name="Normal 90" xfId="4333"/>
    <cellStyle name="Normal 90 2" xfId="4579"/>
    <cellStyle name="Normal 91" xfId="4334"/>
    <cellStyle name="Normal 91 2" xfId="4580"/>
    <cellStyle name="Normal 92" xfId="4335"/>
    <cellStyle name="Normal 92 2" xfId="4577"/>
    <cellStyle name="Normal 93" xfId="4336"/>
    <cellStyle name="Normal 93 2" xfId="4581"/>
    <cellStyle name="Normal 94" xfId="4337"/>
    <cellStyle name="Normal 94 2" xfId="4582"/>
    <cellStyle name="Normal 95" xfId="4338"/>
    <cellStyle name="Normal 95 2" xfId="4583"/>
    <cellStyle name="Normal 96" xfId="4339"/>
    <cellStyle name="Normal 96 2" xfId="4584"/>
    <cellStyle name="Normal 97" xfId="4340"/>
    <cellStyle name="Normal 97 2" xfId="4585"/>
    <cellStyle name="Normal 98" xfId="4341"/>
    <cellStyle name="Normal 98 2" xfId="4586"/>
    <cellStyle name="Normal 99" xfId="4342"/>
    <cellStyle name="Normal 99 2" xfId="4343"/>
    <cellStyle name="Normal 99 3" xfId="4587"/>
    <cellStyle name="Normal_5th year actual" xfId="6333"/>
    <cellStyle name="Normal_Fifth Year Adj" xfId="6334"/>
    <cellStyle name="Note" xfId="4344" builtinId="10" customBuiltin="1"/>
    <cellStyle name="Note 2" xfId="4345"/>
    <cellStyle name="Note 2 2" xfId="4346"/>
    <cellStyle name="Note 2 2 2" xfId="4347"/>
    <cellStyle name="Note 2 2 2 2" xfId="6256"/>
    <cellStyle name="Note 2 2 3" xfId="4348"/>
    <cellStyle name="Note 2 2 4" xfId="4536"/>
    <cellStyle name="Note 2 3" xfId="4349"/>
    <cellStyle name="Note 2 4" xfId="4497"/>
    <cellStyle name="Note 3" xfId="4350"/>
    <cellStyle name="Note 3 2" xfId="4351"/>
    <cellStyle name="Note 3 2 2" xfId="6257"/>
    <cellStyle name="Note 3 3" xfId="4555"/>
    <cellStyle name="Notes" xfId="4352"/>
    <cellStyle name="Notes 2" xfId="4556"/>
    <cellStyle name="NotIncluded1" xfId="4353"/>
    <cellStyle name="NotIncluded1 2" xfId="4527"/>
    <cellStyle name="OptionalGood" xfId="4354"/>
    <cellStyle name="OptionalGood 2" xfId="4528"/>
    <cellStyle name="Output" xfId="4355" builtinId="21" customBuiltin="1"/>
    <cellStyle name="Output 2" xfId="4356"/>
    <cellStyle name="Output 2 2" xfId="4357"/>
    <cellStyle name="Output 2 3" xfId="4529"/>
    <cellStyle name="Output 3" xfId="4358"/>
    <cellStyle name="Output 3 2" xfId="4557"/>
    <cellStyle name="Percent" xfId="4478" builtinId="5"/>
    <cellStyle name="Percent 10" xfId="4359"/>
    <cellStyle name="Percent 10 2" xfId="4360"/>
    <cellStyle name="Percent 11" xfId="4361"/>
    <cellStyle name="Percent 11 2" xfId="4362"/>
    <cellStyle name="Percent 12" xfId="4363"/>
    <cellStyle name="Percent 12 2" xfId="4364"/>
    <cellStyle name="Percent 2" xfId="4365"/>
    <cellStyle name="Percent 2 2" xfId="4366"/>
    <cellStyle name="Percent 2 2 10" xfId="4367"/>
    <cellStyle name="Percent 2 2 10 2" xfId="4368"/>
    <cellStyle name="Percent 2 2 10 2 2" xfId="8043"/>
    <cellStyle name="Percent 2 2 10 3" xfId="6258"/>
    <cellStyle name="Percent 2 2 11" xfId="4525"/>
    <cellStyle name="Percent 2 2 2" xfId="4369"/>
    <cellStyle name="Percent 2 2 2 2" xfId="4370"/>
    <cellStyle name="Percent 2 2 2 2 2" xfId="6260"/>
    <cellStyle name="Percent 2 2 2 3" xfId="4371"/>
    <cellStyle name="Percent 2 2 2 3 2" xfId="4372"/>
    <cellStyle name="Percent 2 2 2 3 2 2" xfId="8045"/>
    <cellStyle name="Percent 2 2 2 3 3" xfId="6261"/>
    <cellStyle name="Percent 2 2 2 4" xfId="4373"/>
    <cellStyle name="Percent 2 2 2 4 2" xfId="8044"/>
    <cellStyle name="Percent 2 2 2 5" xfId="6259"/>
    <cellStyle name="Percent 2 2 3" xfId="4374"/>
    <cellStyle name="Percent 2 2 3 2" xfId="4375"/>
    <cellStyle name="Percent 2 2 3 2 2" xfId="6263"/>
    <cellStyle name="Percent 2 2 3 3" xfId="4376"/>
    <cellStyle name="Percent 2 2 3 3 2" xfId="4377"/>
    <cellStyle name="Percent 2 2 3 3 2 2" xfId="8047"/>
    <cellStyle name="Percent 2 2 3 3 3" xfId="6264"/>
    <cellStyle name="Percent 2 2 3 4" xfId="4378"/>
    <cellStyle name="Percent 2 2 3 4 2" xfId="8046"/>
    <cellStyle name="Percent 2 2 3 5" xfId="6262"/>
    <cellStyle name="Percent 2 2 4" xfId="4379"/>
    <cellStyle name="Percent 2 2 4 2" xfId="4380"/>
    <cellStyle name="Percent 2 2 4 2 2" xfId="4381"/>
    <cellStyle name="Percent 2 2 4 2 2 2" xfId="8049"/>
    <cellStyle name="Percent 2 2 4 2 3" xfId="6266"/>
    <cellStyle name="Percent 2 2 4 3" xfId="4382"/>
    <cellStyle name="Percent 2 2 4 3 2" xfId="4383"/>
    <cellStyle name="Percent 2 2 4 3 2 2" xfId="8050"/>
    <cellStyle name="Percent 2 2 4 3 3" xfId="6267"/>
    <cellStyle name="Percent 2 2 4 4" xfId="4384"/>
    <cellStyle name="Percent 2 2 4 4 2" xfId="8048"/>
    <cellStyle name="Percent 2 2 4 5" xfId="6265"/>
    <cellStyle name="Percent 2 2 5" xfId="4385"/>
    <cellStyle name="Percent 2 2 5 2" xfId="4386"/>
    <cellStyle name="Percent 2 2 5 2 2" xfId="4387"/>
    <cellStyle name="Percent 2 2 5 2 2 2" xfId="8052"/>
    <cellStyle name="Percent 2 2 5 2 3" xfId="6269"/>
    <cellStyle name="Percent 2 2 5 3" xfId="4388"/>
    <cellStyle name="Percent 2 2 5 3 2" xfId="4389"/>
    <cellStyle name="Percent 2 2 5 3 2 2" xfId="8053"/>
    <cellStyle name="Percent 2 2 5 3 3" xfId="6270"/>
    <cellStyle name="Percent 2 2 5 4" xfId="4390"/>
    <cellStyle name="Percent 2 2 5 4 2" xfId="8051"/>
    <cellStyle name="Percent 2 2 5 5" xfId="6268"/>
    <cellStyle name="Percent 2 2 6" xfId="4391"/>
    <cellStyle name="Percent 2 2 6 2" xfId="4392"/>
    <cellStyle name="Percent 2 2 6 2 2" xfId="4393"/>
    <cellStyle name="Percent 2 2 6 2 2 2" xfId="8055"/>
    <cellStyle name="Percent 2 2 6 2 3" xfId="6272"/>
    <cellStyle name="Percent 2 2 6 3" xfId="4394"/>
    <cellStyle name="Percent 2 2 6 3 2" xfId="4395"/>
    <cellStyle name="Percent 2 2 6 3 2 2" xfId="8056"/>
    <cellStyle name="Percent 2 2 6 3 3" xfId="6273"/>
    <cellStyle name="Percent 2 2 6 4" xfId="4396"/>
    <cellStyle name="Percent 2 2 6 4 2" xfId="8054"/>
    <cellStyle name="Percent 2 2 6 5" xfId="6271"/>
    <cellStyle name="Percent 2 2 7" xfId="4397"/>
    <cellStyle name="Percent 2 2 7 2" xfId="4398"/>
    <cellStyle name="Percent 2 2 7 2 2" xfId="4399"/>
    <cellStyle name="Percent 2 2 7 2 2 2" xfId="8058"/>
    <cellStyle name="Percent 2 2 7 2 3" xfId="6275"/>
    <cellStyle name="Percent 2 2 7 3" xfId="4400"/>
    <cellStyle name="Percent 2 2 7 3 2" xfId="4401"/>
    <cellStyle name="Percent 2 2 7 3 2 2" xfId="8059"/>
    <cellStyle name="Percent 2 2 7 3 3" xfId="6276"/>
    <cellStyle name="Percent 2 2 7 4" xfId="4402"/>
    <cellStyle name="Percent 2 2 7 4 2" xfId="8057"/>
    <cellStyle name="Percent 2 2 7 5" xfId="6274"/>
    <cellStyle name="Percent 2 2 8" xfId="4403"/>
    <cellStyle name="Percent 2 2 8 2" xfId="4404"/>
    <cellStyle name="Percent 2 2 8 2 2" xfId="8060"/>
    <cellStyle name="Percent 2 2 8 3" xfId="6277"/>
    <cellStyle name="Percent 2 2 9" xfId="4405"/>
    <cellStyle name="Percent 2 2 9 2" xfId="4406"/>
    <cellStyle name="Percent 2 2 9 2 2" xfId="8061"/>
    <cellStyle name="Percent 2 2 9 3" xfId="6278"/>
    <cellStyle name="Percent 2 3" xfId="4407"/>
    <cellStyle name="Percent 2 4" xfId="4408"/>
    <cellStyle name="Percent 2 5" xfId="4498"/>
    <cellStyle name="Percent 3" xfId="4409"/>
    <cellStyle name="Percent 3 2" xfId="4410"/>
    <cellStyle name="Percent 3 2 2" xfId="6279"/>
    <cellStyle name="Percent 3 3" xfId="4411"/>
    <cellStyle name="Percent 3 3 2" xfId="4412"/>
    <cellStyle name="Percent 3 3 2 2" xfId="8066"/>
    <cellStyle name="Percent 3 3 3" xfId="6307"/>
    <cellStyle name="Percent 3 4" xfId="4413"/>
    <cellStyle name="Percent 3 4 2" xfId="4414"/>
    <cellStyle name="Percent 3 4 2 2" xfId="8065"/>
    <cellStyle name="Percent 3 4 3" xfId="6306"/>
    <cellStyle name="Percent 3 5" xfId="4415"/>
    <cellStyle name="Percent 3 5 2" xfId="4416"/>
    <cellStyle name="Percent 3 5 2 2" xfId="8064"/>
    <cellStyle name="Percent 3 5 3" xfId="6305"/>
    <cellStyle name="Percent 3 6" xfId="4417"/>
    <cellStyle name="Percent 3 6 2" xfId="4418"/>
    <cellStyle name="Percent 3 6 2 2" xfId="8063"/>
    <cellStyle name="Percent 3 6 3" xfId="6304"/>
    <cellStyle name="Percent 3 7" xfId="4419"/>
    <cellStyle name="Percent 3 7 2" xfId="4420"/>
    <cellStyle name="Percent 3 7 2 2" xfId="8062"/>
    <cellStyle name="Percent 3 7 3" xfId="6303"/>
    <cellStyle name="Percent 3 8" xfId="4499"/>
    <cellStyle name="Percent 4" xfId="4421"/>
    <cellStyle name="Percent 4 2" xfId="4422"/>
    <cellStyle name="Percent 4 2 2" xfId="4423"/>
    <cellStyle name="Percent 4 2 2 2" xfId="6280"/>
    <cellStyle name="Percent 4 2 3" xfId="4424"/>
    <cellStyle name="Percent 4 2 4" xfId="4558"/>
    <cellStyle name="Percent 4 3" xfId="4425"/>
    <cellStyle name="Percent 4 3 2" xfId="4426"/>
    <cellStyle name="Percent 4 3 2 2" xfId="6282"/>
    <cellStyle name="Percent 4 3 3" xfId="4427"/>
    <cellStyle name="Percent 4 3 3 2" xfId="6283"/>
    <cellStyle name="Percent 4 3 4" xfId="6281"/>
    <cellStyle name="Percent 4 4" xfId="4428"/>
    <cellStyle name="Percent 4 4 2" xfId="6284"/>
    <cellStyle name="Percent 4 5" xfId="4429"/>
    <cellStyle name="Percent 4 6" xfId="4530"/>
    <cellStyle name="Percent 5" xfId="4430"/>
    <cellStyle name="Percent 5 2" xfId="4431"/>
    <cellStyle name="Percent 5 2 2" xfId="6286"/>
    <cellStyle name="Percent 5 3" xfId="4432"/>
    <cellStyle name="Percent 5 3 2" xfId="6285"/>
    <cellStyle name="Percent 5 4" xfId="4531"/>
    <cellStyle name="Percent 6" xfId="4433"/>
    <cellStyle name="Percent 6 2" xfId="4559"/>
    <cellStyle name="Percent 7" xfId="4434"/>
    <cellStyle name="Percent 7 2" xfId="4560"/>
    <cellStyle name="Percent 8" xfId="4435"/>
    <cellStyle name="Percent 8 2" xfId="4436"/>
    <cellStyle name="Percent 8 3" xfId="4437"/>
    <cellStyle name="Percent 8 4" xfId="6302"/>
    <cellStyle name="Percent 9" xfId="4438"/>
    <cellStyle name="Percent 9 2" xfId="4439"/>
    <cellStyle name="Percent(1)" xfId="4440"/>
    <cellStyle name="Percent(1) 2" xfId="4561"/>
    <cellStyle name="Percent(2)" xfId="4441"/>
    <cellStyle name="Percent(2) 2" xfId="4562"/>
    <cellStyle name="PRM" xfId="4442"/>
    <cellStyle name="PRM 2" xfId="4443"/>
    <cellStyle name="PRM 2 2" xfId="4563"/>
    <cellStyle name="PRM 3" xfId="4444"/>
    <cellStyle name="PRM 3 2" xfId="4564"/>
    <cellStyle name="PRM 4" xfId="4480"/>
    <cellStyle name="PRM_2011-11" xfId="4445"/>
    <cellStyle name="PSChar" xfId="4446"/>
    <cellStyle name="PSChar 2" xfId="4565"/>
    <cellStyle name="PSHeading" xfId="4447"/>
    <cellStyle name="PSHeading 2" xfId="4566"/>
    <cellStyle name="Reset  - Style4" xfId="4448"/>
    <cellStyle name="Reset  - Style4 2" xfId="6287"/>
    <cellStyle name="Reset  - Style7" xfId="4449"/>
    <cellStyle name="Reset  - Style7 2" xfId="6288"/>
    <cellStyle name="Style 1" xfId="4450"/>
    <cellStyle name="Style 1 2" xfId="4451"/>
    <cellStyle name="Style 1 2 2" xfId="4452"/>
    <cellStyle name="Style 1 2 2 2" xfId="6289"/>
    <cellStyle name="Style 1 2 3" xfId="4568"/>
    <cellStyle name="Style 1 3" xfId="4453"/>
    <cellStyle name="Style 1 3 2" xfId="4454"/>
    <cellStyle name="Style 1 3 3" xfId="6290"/>
    <cellStyle name="Style 1 4" xfId="4567"/>
    <cellStyle name="Style 1_Recycle Center Commodities MRF" xfId="4455"/>
    <cellStyle name="STYLE1" xfId="4456"/>
    <cellStyle name="STYLE1 2" xfId="4457"/>
    <cellStyle name="STYLE1 2 2" xfId="6291"/>
    <cellStyle name="STYLE1 3" xfId="4458"/>
    <cellStyle name="STYLE1 3 2" xfId="6292"/>
    <cellStyle name="STYLE1 4" xfId="4569"/>
    <cellStyle name="Table  - Style5" xfId="4459"/>
    <cellStyle name="Table  - Style5 2" xfId="6293"/>
    <cellStyle name="Table  - Style6" xfId="4460"/>
    <cellStyle name="Table  - Style6 2" xfId="6294"/>
    <cellStyle name="Title" xfId="4461" builtinId="15" customBuiltin="1"/>
    <cellStyle name="Title  - Style1" xfId="4462"/>
    <cellStyle name="Title  - Style1 2" xfId="6295"/>
    <cellStyle name="Title  - Style6" xfId="4463"/>
    <cellStyle name="Title  - Style6 2" xfId="6296"/>
    <cellStyle name="Title 2" xfId="4464"/>
    <cellStyle name="Title 2 2" xfId="4465"/>
    <cellStyle name="Title 2 2 2" xfId="6297"/>
    <cellStyle name="Title 2 3" xfId="4570"/>
    <cellStyle name="Title 3" xfId="4466"/>
    <cellStyle name="Title 3 2" xfId="4571"/>
    <cellStyle name="Total" xfId="4467" builtinId="25" customBuiltin="1"/>
    <cellStyle name="Total 2" xfId="4468"/>
    <cellStyle name="Total 2 2" xfId="4572"/>
    <cellStyle name="Total 3" xfId="4469"/>
    <cellStyle name="Total 3 2" xfId="4573"/>
    <cellStyle name="TotCol - Style5" xfId="4470"/>
    <cellStyle name="TotCol - Style5 2" xfId="6298"/>
    <cellStyle name="TotCol - Style7" xfId="4471"/>
    <cellStyle name="TotCol - Style7 2" xfId="6299"/>
    <cellStyle name="TotRow - Style4" xfId="4472"/>
    <cellStyle name="TotRow - Style4 2" xfId="6300"/>
    <cellStyle name="TotRow - Style8" xfId="4473"/>
    <cellStyle name="TotRow - Style8 2" xfId="6301"/>
    <cellStyle name="Warning Text" xfId="4474" builtinId="11" customBuiltin="1"/>
    <cellStyle name="Warning Text 2" xfId="4475"/>
    <cellStyle name="Warning Text 2 2" xfId="4574"/>
    <cellStyle name="Warning Text 3" xfId="4476"/>
    <cellStyle name="Warning Text 3 2" xfId="4575"/>
  </cellStyles>
  <dxfs count="0"/>
  <tableStyles count="0" defaultTableStyle="TableStyleMedium9" defaultPivotStyle="PivotStyleLight16"/>
  <colors>
    <mruColors>
      <color rgb="FF0000FF"/>
      <color rgb="FF008000"/>
      <color rgb="FF66FF3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externalLink" Target="externalLinks/externalLink4.xml"/><Relationship Id="rId63" Type="http://schemas.openxmlformats.org/officeDocument/2006/relationships/externalLink" Target="externalLinks/externalLink20.xml"/><Relationship Id="rId68" Type="http://schemas.openxmlformats.org/officeDocument/2006/relationships/externalLink" Target="externalLinks/externalLink25.xml"/><Relationship Id="rId84" Type="http://schemas.openxmlformats.org/officeDocument/2006/relationships/theme" Target="theme/theme1.xml"/><Relationship Id="rId89" Type="http://schemas.openxmlformats.org/officeDocument/2006/relationships/customXml" Target="../customXml/item2.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externalLink" Target="externalLinks/externalLink10.xml"/><Relationship Id="rId58" Type="http://schemas.openxmlformats.org/officeDocument/2006/relationships/externalLink" Target="externalLinks/externalLink15.xml"/><Relationship Id="rId74" Type="http://schemas.openxmlformats.org/officeDocument/2006/relationships/externalLink" Target="externalLinks/externalLink31.xml"/><Relationship Id="rId79" Type="http://schemas.openxmlformats.org/officeDocument/2006/relationships/externalLink" Target="externalLinks/externalLink36.xml"/><Relationship Id="rId5" Type="http://schemas.openxmlformats.org/officeDocument/2006/relationships/worksheet" Target="worksheets/sheet5.xml"/><Relationship Id="rId90" Type="http://schemas.openxmlformats.org/officeDocument/2006/relationships/customXml" Target="../customXml/item3.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externalLink" Target="externalLinks/externalLink5.xml"/><Relationship Id="rId56" Type="http://schemas.openxmlformats.org/officeDocument/2006/relationships/externalLink" Target="externalLinks/externalLink13.xml"/><Relationship Id="rId64" Type="http://schemas.openxmlformats.org/officeDocument/2006/relationships/externalLink" Target="externalLinks/externalLink21.xml"/><Relationship Id="rId69" Type="http://schemas.openxmlformats.org/officeDocument/2006/relationships/externalLink" Target="externalLinks/externalLink26.xml"/><Relationship Id="rId77" Type="http://schemas.openxmlformats.org/officeDocument/2006/relationships/externalLink" Target="externalLinks/externalLink34.xml"/><Relationship Id="rId8" Type="http://schemas.openxmlformats.org/officeDocument/2006/relationships/worksheet" Target="worksheets/sheet8.xml"/><Relationship Id="rId51" Type="http://schemas.openxmlformats.org/officeDocument/2006/relationships/externalLink" Target="externalLinks/externalLink8.xml"/><Relationship Id="rId72" Type="http://schemas.openxmlformats.org/officeDocument/2006/relationships/externalLink" Target="externalLinks/externalLink29.xml"/><Relationship Id="rId80" Type="http://schemas.openxmlformats.org/officeDocument/2006/relationships/externalLink" Target="externalLinks/externalLink37.xml"/><Relationship Id="rId85"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3.xml"/><Relationship Id="rId59" Type="http://schemas.openxmlformats.org/officeDocument/2006/relationships/externalLink" Target="externalLinks/externalLink16.xml"/><Relationship Id="rId67" Type="http://schemas.openxmlformats.org/officeDocument/2006/relationships/externalLink" Target="externalLinks/externalLink24.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externalLink" Target="externalLinks/externalLink11.xml"/><Relationship Id="rId62" Type="http://schemas.openxmlformats.org/officeDocument/2006/relationships/externalLink" Target="externalLinks/externalLink19.xml"/><Relationship Id="rId70" Type="http://schemas.openxmlformats.org/officeDocument/2006/relationships/externalLink" Target="externalLinks/externalLink27.xml"/><Relationship Id="rId75" Type="http://schemas.openxmlformats.org/officeDocument/2006/relationships/externalLink" Target="externalLinks/externalLink32.xml"/><Relationship Id="rId83" Type="http://schemas.openxmlformats.org/officeDocument/2006/relationships/externalLink" Target="externalLinks/externalLink40.xml"/><Relationship Id="rId88" Type="http://schemas.openxmlformats.org/officeDocument/2006/relationships/customXml" Target="../customXml/item1.xml"/><Relationship Id="rId91"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6.xml"/><Relationship Id="rId57" Type="http://schemas.openxmlformats.org/officeDocument/2006/relationships/externalLink" Target="externalLinks/externalLink14.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externalLink" Target="externalLinks/externalLink1.xml"/><Relationship Id="rId52" Type="http://schemas.openxmlformats.org/officeDocument/2006/relationships/externalLink" Target="externalLinks/externalLink9.xml"/><Relationship Id="rId60" Type="http://schemas.openxmlformats.org/officeDocument/2006/relationships/externalLink" Target="externalLinks/externalLink17.xml"/><Relationship Id="rId65" Type="http://schemas.openxmlformats.org/officeDocument/2006/relationships/externalLink" Target="externalLinks/externalLink22.xml"/><Relationship Id="rId73" Type="http://schemas.openxmlformats.org/officeDocument/2006/relationships/externalLink" Target="externalLinks/externalLink30.xml"/><Relationship Id="rId78" Type="http://schemas.openxmlformats.org/officeDocument/2006/relationships/externalLink" Target="externalLinks/externalLink35.xml"/><Relationship Id="rId81" Type="http://schemas.openxmlformats.org/officeDocument/2006/relationships/externalLink" Target="externalLinks/externalLink38.xml"/><Relationship Id="rId86"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externalLink" Target="externalLinks/externalLink7.xml"/><Relationship Id="rId55" Type="http://schemas.openxmlformats.org/officeDocument/2006/relationships/externalLink" Target="externalLinks/externalLink12.xml"/><Relationship Id="rId76" Type="http://schemas.openxmlformats.org/officeDocument/2006/relationships/externalLink" Target="externalLinks/externalLink33.xml"/><Relationship Id="rId7" Type="http://schemas.openxmlformats.org/officeDocument/2006/relationships/worksheet" Target="worksheets/sheet7.xml"/><Relationship Id="rId71" Type="http://schemas.openxmlformats.org/officeDocument/2006/relationships/externalLink" Target="externalLinks/externalLink28.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externalLink" Target="externalLinks/externalLink2.xml"/><Relationship Id="rId66" Type="http://schemas.openxmlformats.org/officeDocument/2006/relationships/externalLink" Target="externalLinks/externalLink23.xml"/><Relationship Id="rId87" Type="http://schemas.openxmlformats.org/officeDocument/2006/relationships/calcChain" Target="calcChain.xml"/><Relationship Id="rId61" Type="http://schemas.openxmlformats.org/officeDocument/2006/relationships/externalLink" Target="externalLinks/externalLink18.xml"/><Relationship Id="rId82" Type="http://schemas.openxmlformats.org/officeDocument/2006/relationships/externalLink" Target="externalLinks/externalLink39.xml"/><Relationship Id="rId19" Type="http://schemas.openxmlformats.org/officeDocument/2006/relationships/worksheet" Target="worksheets/sheet19.xml"/></Relationships>
</file>

<file path=xl/drawings/drawing1.xml><?xml version="1.0" encoding="utf-8"?>
<xdr:wsDr xmlns:xdr="http://schemas.openxmlformats.org/drawingml/2006/spreadsheetDrawing" xmlns:a="http://schemas.openxmlformats.org/drawingml/2006/main">
  <xdr:twoCellAnchor>
    <xdr:from>
      <xdr:col>6</xdr:col>
      <xdr:colOff>609600</xdr:colOff>
      <xdr:row>16</xdr:row>
      <xdr:rowOff>85725</xdr:rowOff>
    </xdr:from>
    <xdr:to>
      <xdr:col>9</xdr:col>
      <xdr:colOff>466725</xdr:colOff>
      <xdr:row>18</xdr:row>
      <xdr:rowOff>123825</xdr:rowOff>
    </xdr:to>
    <xdr:sp macro="" textlink="">
      <xdr:nvSpPr>
        <xdr:cNvPr id="3077" name="AutoShape 5"/>
        <xdr:cNvSpPr>
          <a:spLocks noChangeArrowheads="1"/>
        </xdr:cNvSpPr>
      </xdr:nvSpPr>
      <xdr:spPr bwMode="auto">
        <a:xfrm>
          <a:off x="5334000" y="3228975"/>
          <a:ext cx="2181225" cy="419100"/>
        </a:xfrm>
        <a:prstGeom prst="wedgeRectCallout">
          <a:avLst>
            <a:gd name="adj1" fmla="val -12444"/>
            <a:gd name="adj2" fmla="val 302273"/>
          </a:avLst>
        </a:prstGeom>
        <a:solidFill>
          <a:srgbClr val="FFFFCC"/>
        </a:solidFill>
        <a:ln w="9525">
          <a:solidFill>
            <a:srgbClr val="000000"/>
          </a:solidFill>
          <a:miter lim="800000"/>
          <a:headEnd/>
          <a:tailEnd/>
        </a:ln>
      </xdr:spPr>
      <xdr:txBody>
        <a:bodyPr vertOverflow="clip" wrap="square" lIns="36576" tIns="22860" rIns="0" bIns="0" anchor="t" upright="1"/>
        <a:lstStyle/>
        <a:p>
          <a:pPr algn="l" rtl="0">
            <a:defRPr sz="1000"/>
          </a:pPr>
          <a:r>
            <a:rPr lang="en-US" sz="1200" b="0" i="0" u="none" strike="noStrike" baseline="0">
              <a:solidFill>
                <a:srgbClr val="000000"/>
              </a:solidFill>
              <a:latin typeface="Arial"/>
              <a:cs typeface="Arial"/>
            </a:rPr>
            <a:t>Includes Jan 05 &amp; Feb 05</a:t>
          </a:r>
        </a:p>
        <a:p>
          <a:pPr algn="l" rtl="0">
            <a:defRPr sz="1000"/>
          </a:pPr>
          <a:endParaRPr lang="en-US" sz="1200" b="0" i="0" u="none" strike="noStrike" baseline="0">
            <a:solidFill>
              <a:srgbClr val="000000"/>
            </a:solidFill>
            <a:latin typeface="Arial"/>
            <a:cs typeface="Arial"/>
          </a:endParaRPr>
        </a:p>
      </xdr:txBody>
    </xdr:sp>
    <xdr:clientData/>
  </xdr:twoCellAnchor>
  <xdr:twoCellAnchor>
    <xdr:from>
      <xdr:col>10</xdr:col>
      <xdr:colOff>600075</xdr:colOff>
      <xdr:row>14</xdr:row>
      <xdr:rowOff>9525</xdr:rowOff>
    </xdr:from>
    <xdr:to>
      <xdr:col>12</xdr:col>
      <xdr:colOff>266700</xdr:colOff>
      <xdr:row>76</xdr:row>
      <xdr:rowOff>66675</xdr:rowOff>
    </xdr:to>
    <xdr:cxnSp macro="">
      <xdr:nvCxnSpPr>
        <xdr:cNvPr id="20333" name="AutoShape 7"/>
        <xdr:cNvCxnSpPr>
          <a:cxnSpLocks noChangeShapeType="1"/>
        </xdr:cNvCxnSpPr>
      </xdr:nvCxnSpPr>
      <xdr:spPr bwMode="auto">
        <a:xfrm rot="5400000" flipH="1">
          <a:off x="3195638" y="7920037"/>
          <a:ext cx="11963400" cy="1476375"/>
        </a:xfrm>
        <a:prstGeom prst="curvedConnector3">
          <a:avLst>
            <a:gd name="adj1" fmla="val 50000"/>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17</xdr:col>
      <xdr:colOff>304800</xdr:colOff>
      <xdr:row>91</xdr:row>
      <xdr:rowOff>28575</xdr:rowOff>
    </xdr:from>
    <xdr:to>
      <xdr:col>17</xdr:col>
      <xdr:colOff>333375</xdr:colOff>
      <xdr:row>91</xdr:row>
      <xdr:rowOff>152400</xdr:rowOff>
    </xdr:to>
    <xdr:sp macro="" textlink="">
      <xdr:nvSpPr>
        <xdr:cNvPr id="20334" name="Line 8"/>
        <xdr:cNvSpPr>
          <a:spLocks noChangeShapeType="1"/>
        </xdr:cNvSpPr>
      </xdr:nvSpPr>
      <xdr:spPr bwMode="auto">
        <a:xfrm flipH="1" flipV="1">
          <a:off x="14325600" y="17468850"/>
          <a:ext cx="28575" cy="1238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257175</xdr:colOff>
      <xdr:row>67</xdr:row>
      <xdr:rowOff>66675</xdr:rowOff>
    </xdr:from>
    <xdr:to>
      <xdr:col>13</xdr:col>
      <xdr:colOff>457200</xdr:colOff>
      <xdr:row>70</xdr:row>
      <xdr:rowOff>152400</xdr:rowOff>
    </xdr:to>
    <xdr:sp macro="" textlink="">
      <xdr:nvSpPr>
        <xdr:cNvPr id="3082" name="AutoShape 10"/>
        <xdr:cNvSpPr>
          <a:spLocks/>
        </xdr:cNvSpPr>
      </xdr:nvSpPr>
      <xdr:spPr bwMode="auto">
        <a:xfrm>
          <a:off x="9144000" y="13039725"/>
          <a:ext cx="1781175" cy="657225"/>
        </a:xfrm>
        <a:prstGeom prst="borderCallout1">
          <a:avLst>
            <a:gd name="adj1" fmla="val 17394"/>
            <a:gd name="adj2" fmla="val -4421"/>
            <a:gd name="adj3" fmla="val 250727"/>
            <a:gd name="adj4" fmla="val -81769"/>
          </a:avLst>
        </a:prstGeom>
        <a:solidFill>
          <a:srgbClr val="FFFFCC"/>
        </a:solidFill>
        <a:ln w="9525">
          <a:solidFill>
            <a:srgbClr val="000000"/>
          </a:solidFill>
          <a:miter lim="800000"/>
          <a:headEnd/>
          <a:tailEnd/>
        </a:ln>
      </xdr:spPr>
      <xdr:txBody>
        <a:bodyPr vertOverflow="clip" wrap="square" lIns="36576" tIns="22860" rIns="0" bIns="0" anchor="t" upright="1"/>
        <a:lstStyle/>
        <a:p>
          <a:pPr algn="l" rtl="0">
            <a:defRPr sz="1000"/>
          </a:pPr>
          <a:r>
            <a:rPr lang="en-US" sz="1200" b="0" i="0" u="none" strike="noStrike" baseline="0">
              <a:solidFill>
                <a:srgbClr val="000000"/>
              </a:solidFill>
              <a:latin typeface="Arial"/>
              <a:cs typeface="Arial"/>
            </a:rPr>
            <a:t>Do not use.  It is new projected credit under old program</a:t>
          </a:r>
        </a:p>
        <a:p>
          <a:pPr algn="l" rtl="0">
            <a:defRPr sz="1000"/>
          </a:pPr>
          <a:endParaRPr lang="en-US" sz="1200" b="0" i="0" u="none" strike="noStrike" baseline="0">
            <a:solidFill>
              <a:srgbClr val="000000"/>
            </a:solidFill>
            <a:latin typeface="Arial"/>
            <a:cs typeface="Arial"/>
          </a:endParaRPr>
        </a:p>
      </xdr:txBody>
    </xdr:sp>
    <xdr:clientData/>
  </xdr:twoCellAnchor>
  <xdr:twoCellAnchor>
    <xdr:from>
      <xdr:col>5</xdr:col>
      <xdr:colOff>104775</xdr:colOff>
      <xdr:row>77</xdr:row>
      <xdr:rowOff>152400</xdr:rowOff>
    </xdr:from>
    <xdr:to>
      <xdr:col>6</xdr:col>
      <xdr:colOff>752475</xdr:colOff>
      <xdr:row>82</xdr:row>
      <xdr:rowOff>152400</xdr:rowOff>
    </xdr:to>
    <xdr:sp macro="" textlink="">
      <xdr:nvSpPr>
        <xdr:cNvPr id="3083" name="AutoShape 11"/>
        <xdr:cNvSpPr>
          <a:spLocks/>
        </xdr:cNvSpPr>
      </xdr:nvSpPr>
      <xdr:spPr bwMode="auto">
        <a:xfrm>
          <a:off x="4067175" y="15078075"/>
          <a:ext cx="1409700" cy="962025"/>
        </a:xfrm>
        <a:prstGeom prst="borderCallout2">
          <a:avLst>
            <a:gd name="adj1" fmla="val 12000"/>
            <a:gd name="adj2" fmla="val 105407"/>
            <a:gd name="adj3" fmla="val 12000"/>
            <a:gd name="adj4" fmla="val 147296"/>
            <a:gd name="adj5" fmla="val -7000"/>
            <a:gd name="adj6" fmla="val 227028"/>
          </a:avLst>
        </a:prstGeom>
        <a:solidFill>
          <a:srgbClr val="CCFFCC"/>
        </a:solidFill>
        <a:ln w="9525">
          <a:solidFill>
            <a:srgbClr val="000000"/>
          </a:solidFill>
          <a:miter lim="800000"/>
          <a:headEnd/>
          <a:tailEnd/>
        </a:ln>
      </xdr:spPr>
      <xdr:txBody>
        <a:bodyPr vertOverflow="clip" wrap="square" lIns="36576" tIns="22860" rIns="0" bIns="0" anchor="t" upright="1"/>
        <a:lstStyle/>
        <a:p>
          <a:pPr algn="l" rtl="0">
            <a:lnSpc>
              <a:spcPts val="1200"/>
            </a:lnSpc>
            <a:defRPr sz="1000"/>
          </a:pPr>
          <a:r>
            <a:rPr lang="en-US" sz="1200" b="0" i="0" u="none" strike="noStrike" baseline="0">
              <a:solidFill>
                <a:srgbClr val="000000"/>
              </a:solidFill>
              <a:latin typeface="Arial"/>
              <a:cs typeface="Arial"/>
            </a:rPr>
            <a:t>USE THIS ONE FOR TRUE UP FOR OLD PROGRAM</a:t>
          </a:r>
        </a:p>
        <a:p>
          <a:pPr algn="l" rtl="0">
            <a:lnSpc>
              <a:spcPts val="1300"/>
            </a:lnSpc>
            <a:defRPr sz="1000"/>
          </a:pPr>
          <a:endParaRPr lang="en-US" sz="1200" b="0" i="0" u="none" strike="noStrike" baseline="0">
            <a:solidFill>
              <a:srgbClr val="000000"/>
            </a:solidFill>
            <a:latin typeface="Arial"/>
            <a:cs typeface="Arial"/>
          </a:endParaRPr>
        </a:p>
      </xdr:txBody>
    </xdr:sp>
    <xdr:clientData/>
  </xdr:twoCellAnchor>
  <xdr:twoCellAnchor>
    <xdr:from>
      <xdr:col>19</xdr:col>
      <xdr:colOff>266700</xdr:colOff>
      <xdr:row>87</xdr:row>
      <xdr:rowOff>152400</xdr:rowOff>
    </xdr:from>
    <xdr:to>
      <xdr:col>21</xdr:col>
      <xdr:colOff>619125</xdr:colOff>
      <xdr:row>93</xdr:row>
      <xdr:rowOff>76200</xdr:rowOff>
    </xdr:to>
    <xdr:sp macro="" textlink="">
      <xdr:nvSpPr>
        <xdr:cNvPr id="3084" name="AutoShape 12"/>
        <xdr:cNvSpPr>
          <a:spLocks/>
        </xdr:cNvSpPr>
      </xdr:nvSpPr>
      <xdr:spPr bwMode="auto">
        <a:xfrm>
          <a:off x="15811500" y="16992600"/>
          <a:ext cx="1876425" cy="1066800"/>
        </a:xfrm>
        <a:prstGeom prst="borderCallout2">
          <a:avLst>
            <a:gd name="adj1" fmla="val 10620"/>
            <a:gd name="adj2" fmla="val -4060"/>
            <a:gd name="adj3" fmla="val 10620"/>
            <a:gd name="adj4" fmla="val -63454"/>
            <a:gd name="adj5" fmla="val -4426"/>
            <a:gd name="adj6" fmla="val -129949"/>
          </a:avLst>
        </a:prstGeom>
        <a:solidFill>
          <a:srgbClr val="FFFFCC"/>
        </a:solidFill>
        <a:ln w="9525">
          <a:solidFill>
            <a:srgbClr val="000000"/>
          </a:solidFill>
          <a:miter lim="800000"/>
          <a:headEnd/>
          <a:tailEnd/>
        </a:ln>
      </xdr:spPr>
      <xdr:txBody>
        <a:bodyPr vertOverflow="clip" wrap="square" lIns="36576" tIns="22860" rIns="0" bIns="0" anchor="t" upright="1"/>
        <a:lstStyle/>
        <a:p>
          <a:pPr algn="l" rtl="0">
            <a:defRPr sz="1000"/>
          </a:pPr>
          <a:r>
            <a:rPr lang="en-US" sz="1200" b="0" i="0" u="none" strike="noStrike" baseline="0">
              <a:solidFill>
                <a:srgbClr val="000000"/>
              </a:solidFill>
              <a:latin typeface="Arial"/>
              <a:cs typeface="Arial"/>
            </a:rPr>
            <a:t>Will be 6 mos @ new prog when AUG in.</a:t>
          </a:r>
        </a:p>
        <a:p>
          <a:pPr algn="l" rtl="0">
            <a:defRPr sz="1000"/>
          </a:pPr>
          <a:r>
            <a:rPr lang="en-US" sz="1200" b="0" i="0" u="none" strike="noStrike" baseline="0">
              <a:solidFill>
                <a:srgbClr val="000000"/>
              </a:solidFill>
              <a:latin typeface="Arial"/>
              <a:cs typeface="Arial"/>
            </a:rPr>
            <a:t>Divide by 2 to recover over 12 months OR delay this true up untll next case.</a:t>
          </a:r>
        </a:p>
      </xdr:txBody>
    </xdr:sp>
    <xdr:clientData/>
  </xdr:twoCellAnchor>
  <xdr:twoCellAnchor>
    <xdr:from>
      <xdr:col>19</xdr:col>
      <xdr:colOff>276225</xdr:colOff>
      <xdr:row>97</xdr:row>
      <xdr:rowOff>0</xdr:rowOff>
    </xdr:from>
    <xdr:to>
      <xdr:col>20</xdr:col>
      <xdr:colOff>428625</xdr:colOff>
      <xdr:row>100</xdr:row>
      <xdr:rowOff>28575</xdr:rowOff>
    </xdr:to>
    <xdr:sp macro="" textlink="">
      <xdr:nvSpPr>
        <xdr:cNvPr id="3087" name="AutoShape 15"/>
        <xdr:cNvSpPr>
          <a:spLocks/>
        </xdr:cNvSpPr>
      </xdr:nvSpPr>
      <xdr:spPr bwMode="auto">
        <a:xfrm>
          <a:off x="15821025" y="18745200"/>
          <a:ext cx="914400" cy="609600"/>
        </a:xfrm>
        <a:prstGeom prst="borderCallout1">
          <a:avLst>
            <a:gd name="adj1" fmla="val -12500"/>
            <a:gd name="adj2" fmla="val 87500"/>
            <a:gd name="adj3" fmla="val -12500"/>
            <a:gd name="adj4" fmla="val -128125"/>
          </a:avLst>
        </a:prstGeom>
        <a:solidFill>
          <a:srgbClr val="FFFFCC"/>
        </a:solidFill>
        <a:ln w="9525">
          <a:solidFill>
            <a:srgbClr val="000000"/>
          </a:solidFill>
          <a:miter lim="800000"/>
          <a:headEnd/>
          <a:tailEnd/>
        </a:ln>
      </xdr:spPr>
      <xdr:txBody>
        <a:bodyPr vertOverflow="clip" wrap="square" lIns="36576" tIns="22860" rIns="0" bIns="0" anchor="t" upright="1"/>
        <a:lstStyle/>
        <a:p>
          <a:pPr algn="l" rtl="0">
            <a:defRPr sz="1000"/>
          </a:pPr>
          <a:r>
            <a:rPr lang="en-US" sz="1200" b="0" i="0" u="none" strike="noStrike" baseline="0">
              <a:solidFill>
                <a:srgbClr val="000000"/>
              </a:solidFill>
              <a:latin typeface="Arial"/>
              <a:cs typeface="Arial"/>
            </a:rPr>
            <a:t>Based on 12 month recovery</a:t>
          </a:r>
        </a:p>
        <a:p>
          <a:pPr algn="l" rtl="0">
            <a:defRPr sz="1000"/>
          </a:pPr>
          <a:endParaRPr lang="en-US" sz="1200" b="0" i="0" u="none" strike="noStrike" baseline="0">
            <a:solidFill>
              <a:srgbClr val="000000"/>
            </a:solidFill>
            <a:latin typeface="Arial"/>
            <a:cs typeface="Arial"/>
          </a:endParaRPr>
        </a:p>
      </xdr:txBody>
    </xdr:sp>
    <xdr:clientData/>
  </xdr:twoCellAnchor>
  <xdr:twoCellAnchor>
    <xdr:from>
      <xdr:col>7</xdr:col>
      <xdr:colOff>257175</xdr:colOff>
      <xdr:row>68</xdr:row>
      <xdr:rowOff>104775</xdr:rowOff>
    </xdr:from>
    <xdr:to>
      <xdr:col>10</xdr:col>
      <xdr:colOff>790575</xdr:colOff>
      <xdr:row>74</xdr:row>
      <xdr:rowOff>76200</xdr:rowOff>
    </xdr:to>
    <xdr:cxnSp macro="">
      <xdr:nvCxnSpPr>
        <xdr:cNvPr id="20339" name="AutoShape 16"/>
        <xdr:cNvCxnSpPr>
          <a:cxnSpLocks noChangeShapeType="1"/>
        </xdr:cNvCxnSpPr>
      </xdr:nvCxnSpPr>
      <xdr:spPr bwMode="auto">
        <a:xfrm>
          <a:off x="5781675" y="13134975"/>
          <a:ext cx="2847975" cy="1133475"/>
        </a:xfrm>
        <a:prstGeom prst="curvedConnector3">
          <a:avLst>
            <a:gd name="adj1" fmla="val 99551"/>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cxnSp>
    <xdr:clientData/>
  </xdr:twoCellAnchor>
  <xdr:twoCellAnchor>
    <xdr:from>
      <xdr:col>10</xdr:col>
      <xdr:colOff>352425</xdr:colOff>
      <xdr:row>93</xdr:row>
      <xdr:rowOff>66675</xdr:rowOff>
    </xdr:from>
    <xdr:to>
      <xdr:col>11</xdr:col>
      <xdr:colOff>495300</xdr:colOff>
      <xdr:row>96</xdr:row>
      <xdr:rowOff>123825</xdr:rowOff>
    </xdr:to>
    <xdr:cxnSp macro="">
      <xdr:nvCxnSpPr>
        <xdr:cNvPr id="20340" name="AutoShape 18"/>
        <xdr:cNvCxnSpPr>
          <a:cxnSpLocks noChangeShapeType="1"/>
        </xdr:cNvCxnSpPr>
      </xdr:nvCxnSpPr>
      <xdr:spPr bwMode="auto">
        <a:xfrm>
          <a:off x="8191500" y="17887950"/>
          <a:ext cx="1190625" cy="628650"/>
        </a:xfrm>
        <a:prstGeom prst="curvedConnector3">
          <a:avLst>
            <a:gd name="adj1" fmla="val -2130"/>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10</xdr:col>
      <xdr:colOff>28575</xdr:colOff>
      <xdr:row>77</xdr:row>
      <xdr:rowOff>85725</xdr:rowOff>
    </xdr:from>
    <xdr:to>
      <xdr:col>10</xdr:col>
      <xdr:colOff>342900</xdr:colOff>
      <xdr:row>84</xdr:row>
      <xdr:rowOff>152400</xdr:rowOff>
    </xdr:to>
    <xdr:cxnSp macro="">
      <xdr:nvCxnSpPr>
        <xdr:cNvPr id="20341" name="AutoShape 19"/>
        <xdr:cNvCxnSpPr>
          <a:cxnSpLocks noChangeShapeType="1"/>
        </xdr:cNvCxnSpPr>
      </xdr:nvCxnSpPr>
      <xdr:spPr bwMode="auto">
        <a:xfrm rot="5400000" flipH="1">
          <a:off x="7324725" y="15401925"/>
          <a:ext cx="1400175" cy="314325"/>
        </a:xfrm>
        <a:prstGeom prst="curvedConnector3">
          <a:avLst>
            <a:gd name="adj1" fmla="val 99106"/>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10</xdr:col>
      <xdr:colOff>342900</xdr:colOff>
      <xdr:row>84</xdr:row>
      <xdr:rowOff>180975</xdr:rowOff>
    </xdr:from>
    <xdr:to>
      <xdr:col>10</xdr:col>
      <xdr:colOff>342900</xdr:colOff>
      <xdr:row>93</xdr:row>
      <xdr:rowOff>66675</xdr:rowOff>
    </xdr:to>
    <xdr:sp macro="" textlink="">
      <xdr:nvSpPr>
        <xdr:cNvPr id="20342" name="Line 20"/>
        <xdr:cNvSpPr>
          <a:spLocks noChangeShapeType="1"/>
        </xdr:cNvSpPr>
      </xdr:nvSpPr>
      <xdr:spPr bwMode="auto">
        <a:xfrm>
          <a:off x="8181975" y="16287750"/>
          <a:ext cx="0" cy="16002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19</xdr:col>
      <xdr:colOff>276225</xdr:colOff>
      <xdr:row>52</xdr:row>
      <xdr:rowOff>0</xdr:rowOff>
    </xdr:from>
    <xdr:to>
      <xdr:col>20</xdr:col>
      <xdr:colOff>428625</xdr:colOff>
      <xdr:row>52</xdr:row>
      <xdr:rowOff>0</xdr:rowOff>
    </xdr:to>
    <xdr:sp macro="" textlink="">
      <xdr:nvSpPr>
        <xdr:cNvPr id="4103" name="AutoShape 7"/>
        <xdr:cNvSpPr>
          <a:spLocks/>
        </xdr:cNvSpPr>
      </xdr:nvSpPr>
      <xdr:spPr bwMode="auto">
        <a:xfrm>
          <a:off x="14144625" y="7924800"/>
          <a:ext cx="914400" cy="0"/>
        </a:xfrm>
        <a:prstGeom prst="borderCallout1">
          <a:avLst>
            <a:gd name="adj1" fmla="val -12500"/>
            <a:gd name="adj2" fmla="val 87500"/>
            <a:gd name="adj3" fmla="val -12500"/>
            <a:gd name="adj4" fmla="val -128125"/>
          </a:avLst>
        </a:prstGeom>
        <a:solidFill>
          <a:srgbClr val="FFFFCC"/>
        </a:solidFill>
        <a:ln w="9525">
          <a:solidFill>
            <a:srgbClr val="000000"/>
          </a:solidFill>
          <a:miter lim="800000"/>
          <a:headEnd/>
          <a:tailEnd/>
        </a:ln>
      </xdr:spPr>
      <xdr:txBody>
        <a:bodyPr vertOverflow="clip" wrap="square" lIns="36576" tIns="22860" rIns="0" bIns="0" anchor="t" upright="1"/>
        <a:lstStyle/>
        <a:p>
          <a:pPr algn="l" rtl="0">
            <a:defRPr sz="1000"/>
          </a:pPr>
          <a:r>
            <a:rPr lang="en-US" sz="1200" b="0" i="0" u="none" strike="noStrike" baseline="0">
              <a:solidFill>
                <a:srgbClr val="000000"/>
              </a:solidFill>
              <a:latin typeface="Arial"/>
              <a:cs typeface="Arial"/>
            </a:rPr>
            <a:t>Based on 12 month recovery</a:t>
          </a:r>
        </a:p>
        <a:p>
          <a:pPr algn="l" rtl="0">
            <a:defRPr sz="1000"/>
          </a:pPr>
          <a:endParaRPr lang="en-US" sz="1200" b="0" i="0" u="none" strike="noStrike" baseline="0">
            <a:solidFill>
              <a:srgbClr val="000000"/>
            </a:solidFill>
            <a:latin typeface="Arial"/>
            <a:cs typeface="Arial"/>
          </a:endParaRPr>
        </a:p>
      </xdr:txBody>
    </xdr:sp>
    <xdr:clientData/>
  </xdr:twoCellAnchor>
  <xdr:twoCellAnchor>
    <xdr:from>
      <xdr:col>10</xdr:col>
      <xdr:colOff>342900</xdr:colOff>
      <xdr:row>52</xdr:row>
      <xdr:rowOff>0</xdr:rowOff>
    </xdr:from>
    <xdr:to>
      <xdr:col>10</xdr:col>
      <xdr:colOff>342900</xdr:colOff>
      <xdr:row>52</xdr:row>
      <xdr:rowOff>0</xdr:rowOff>
    </xdr:to>
    <xdr:sp macro="" textlink="">
      <xdr:nvSpPr>
        <xdr:cNvPr id="4823" name="Line 11"/>
        <xdr:cNvSpPr>
          <a:spLocks noChangeShapeType="1"/>
        </xdr:cNvSpPr>
      </xdr:nvSpPr>
      <xdr:spPr bwMode="auto">
        <a:xfrm>
          <a:off x="7353300" y="9906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342900</xdr:colOff>
      <xdr:row>52</xdr:row>
      <xdr:rowOff>0</xdr:rowOff>
    </xdr:from>
    <xdr:to>
      <xdr:col>10</xdr:col>
      <xdr:colOff>342900</xdr:colOff>
      <xdr:row>52</xdr:row>
      <xdr:rowOff>0</xdr:rowOff>
    </xdr:to>
    <xdr:sp macro="" textlink="">
      <xdr:nvSpPr>
        <xdr:cNvPr id="5479" name="Line 1"/>
        <xdr:cNvSpPr>
          <a:spLocks noChangeShapeType="1"/>
        </xdr:cNvSpPr>
      </xdr:nvSpPr>
      <xdr:spPr bwMode="auto">
        <a:xfrm>
          <a:off x="7762875" y="9906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Western%20Region/WUTC/WIP%20Files/2111%20Murrey's/Commodity%20Credit/Credit%20eff%203-1-2018/Support/Recycl%20Material%20DF%202016%20Final.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Western%20Region/WUTC/WIP%20Files/2111%20Murrey's/Commodity%20Credit/Credit%20eff%203-1-2018/Support/Pioneer%20Invoices/Waste%20Connections%207-2017%20Pricing%20Matrix%20(b).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Western%20Region/WUTC/WIP%20Files/2111%20Murrey's/Commodity%20Credit/Credit%20eff%203-1-2018/Support/Pioneer%20Invoices/Waste%20Connections%208-2017%20Pricing%20Matrix%20(b).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Western%20Region/WUTC/WIP%20Files/2111%20Murrey's/Commodity%20Credit/Credit%20eff%203-1-2018/Support/Pioneer%20Invoices/Waste%20Connections%209-2017%20Pricing%20Matrix%20(b).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Western%20Region/WUTC/WIP%20Files/2111%20Murrey's/Commodity%20Credit/Credit%20eff%203-1-2018/Support/Pioneer%20Invoices/Waste%20Connections%2010-2017%20Pricing%20Matrix%20(b).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Western%20Region/WUTC/WIP%20Files/2111%20Murrey's/Commodity%20Credit/Credit%20eff%203-1-2018/Support/Pioneer%20Invoices/Waste%20Connections%2011-2017%20Pricing%20Matrix%20(b).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Western%20Region/WUTC/WIP%20Files/LeMay%20Companies/2018/Commodity%20Credit%203-1-18/Support/Pioneer%20Invoices/Waste%20Connections%2012-2017%20Pricing%20Matrix%20(b).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Western%20Region/WUTC/WIP%20Files/2111%20Murrey's/Commodity%20Credit/Credit%20eff%203-1-2018/Support/Rev11%20-%20Multi-Family%20Recycle%20Revenue%202016-12.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Western%20Region/WUTC/WIP%20Files/2111%20Murrey's/Commodity%20Credit/Credit%20eff%203-1-2018/Support/American%20Revenue%202016.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Western%20Region/WUTC/WIP%20Files/2111%20Murrey's/Commodity%20Credit/Credit%20eff%203-1-2018/Support/Murrey's%20Revenue%202016.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Western%20Region/WUTC/WIP%20Files/2111%20Murrey's/Commodity%20Credit/Credit%20eff%203-1-2018/Support/TacomaH%20Price%20Out%2020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Western%20Region/WUTC/WIP%20Files/2111%20Murrey's/Commodity%20Credit/Credit%20eff%203-1-2018/Support/Pierce%20County%20Recycle%202017%20-%20Working%20Version.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Western%20Region/WUTC/WIP%20Files/2111%20Murrey's/Commodity%20Credit/Credit%20eff%203-1-2018/Murrey's%20-American%20Commodity%20Credit,%20effective%203-1-2018.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X:\Users\lindsaywa\AppData\Local\Microsoft\Windows\Temporary%20Internet%20Files\Content.Outlook\F4D0KPME\Murrey's%20Revenue%202016.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Support/American%20Revenue%202016.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Support/Murrey's%20Revenue%202016.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Western%20Region/WUTC/WIP%20Files/WUTC%20Scorecard/2111-2131%20Murrey's-American/2017/TacomaH%20Price%20Out%202017.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Western%20Region/WUTC/WIP%20Files/WUTC%20Scorecard/2111-2131%20Murrey's-American/2018/TacomaH%20Price%20Out%202018.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Western%20Region/WUTC/County%20Reporting/Pierce%20County/2017/TacomaH/Support/Pricing%20Matrix%20-%2012-2017.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Western%20Region/WUTC/County%20Reporting/Pierce%20County/2018/TacomaH/Support/Pioneer%20Invoices/Pricing%20Matrix%20Jan-%202018.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Western%20Region/WUTC/County%20Reporting/Pierce%20County/2018/TacomaH/Support/Pioneer%20Invoices/Waste%20Connections%20Pricing%20Matrix%20Feb-%202018.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Western%20Region/WUTC/County%20Reporting/Pierce%20County/2018/TacomaH/Support/Pioneer%20Invoices/Pricing%20Matrix%20Mar-%20201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Western%20Region/WUTC/WIP%20Files/2111%20Murrey's/Commodity%20Credit/Credit%20eff%203-1-2018/Support/Pioneer%20Invoices/Waste%20Connections%20%2012-2016%20Pricing%20Matrix%20(b).xlsx"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Western%20Region/WUTC/County%20Reporting/Pierce%20County/2018/TacomaH/Support/Pioneer%20Invoices/Pricing%20Matrix%20Apr-%202018.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Western%20Region/WUTC/County%20Reporting/Pierce%20County/2018/TacomaH/Support/Pioneer%20Invoices/Pricing%20Matrix%20May-%202018.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Western%20Region/WUTC/County%20Reporting/Pierce%20County/2018/TacomaH/Support/Pioneer%20Invoices/Pricing%20Matrix%20June-%202018.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Support/Mulifamily%20Proceeds%20reclass%202018-06.xlsx"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Western%20Region/WUTC/County%20Reporting/Resi%20Commingle%20Support%20from%20Dist/Recycle%20Revenue%202017-12.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Western%20Region/WUTC/County%20Reporting/Pierce%20County/2018/TacomaH/Support/Recycle%20Revenue%202018-01%20County%20Support.xlsx"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Western%20Region/WUTC/County%20Reporting/Pierce%20County/2018/TacomaH/Support/Recycle%20Revenue%202018-02%20County%20Support.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Western%20Region/WUTC/County%20Reporting/Pierce%20County/2018/TacomaH/Support/Recycle%20Revenue%202018-03%20County%20Support.xlsx"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Western%20Region/WUTC/County%20Reporting/Pierce%20County/2018/TacomaH/Support/Recycle%20Revenue%202018-04%20County%20Support.xlsx"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Western%20Region/WUTC/County%20Reporting/Pierce%20County/2018/TacomaH/Support/Recycle%20Revenue%202018-05%20County%20Support.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Western%20Region/WUTC/WIP%20Files/2111%20Murrey's/Commodity%20Credit/Credit%20eff%203-1-2018/Support/Pioneer%20Invoices/Waste%20Connections%20%201-2017%20Pricing%20Matrix%20(b).xlsx"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Western%20Region/WUTC/County%20Reporting/Pierce%20County/2018/TacomaH/Support/Recycle%20Revenue%202018-06County%20Support.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Western%20Region/WUTC/WIP%20Files/2111%20Murrey's/Commodity%20Credit/Credit%20eff%203-1-2018/Support/Pioneer%20Invoices/Waste%20Connections%20%202-2017%20Pricing%20Matrix%20(b).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Western%20Region/WUTC/WIP%20Files/2111%20Murrey's/Commodity%20Credit/Credit%20eff%203-1-2018/Support/Pioneer%20Invoices/Waste%20Connections%203-2017%20Pricing%20Matrix%20(b).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Western%20Region/WUTC/WIP%20Files/2111%20Murrey's/Commodity%20Credit/Credit%20eff%203-1-2018/Support/Pioneer%20Invoices/Waste%20Connections%204-2017%20Pricing%20Matrix%20(b).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Western%20Region/WUTC/WIP%20Files/2111%20Murrey's/Commodity%20Credit/Credit%20eff%203-1-2018/Support/Pioneer%20Invoices/Waste%20Connections%205-2017%20Pricing%20Matrix%20(b).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Western%20Region/WUTC/WIP%20Files/2111%20Murrey's/Commodity%20Credit/Credit%20eff%203-1-2018/Support/Pioneer%20Invoices/Waste%20Connections%206-2017%20Pricing%20Matrix%20(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urrey's 2016"/>
      <sheetName val="American 2016"/>
      <sheetName val="DM 2016"/>
      <sheetName val="M,A,DM 2016"/>
    </sheetNames>
    <sheetDataSet>
      <sheetData sheetId="0">
        <row r="5">
          <cell r="M5">
            <v>468000</v>
          </cell>
        </row>
        <row r="6">
          <cell r="M6">
            <v>409080</v>
          </cell>
        </row>
        <row r="7">
          <cell r="M7">
            <v>551440</v>
          </cell>
        </row>
        <row r="8">
          <cell r="M8">
            <v>21280</v>
          </cell>
        </row>
        <row r="9">
          <cell r="M9">
            <v>49100</v>
          </cell>
        </row>
        <row r="10">
          <cell r="M10">
            <v>58900</v>
          </cell>
        </row>
        <row r="11">
          <cell r="M11">
            <v>14720</v>
          </cell>
        </row>
        <row r="12">
          <cell r="M12">
            <v>22900</v>
          </cell>
        </row>
        <row r="13">
          <cell r="M13">
            <v>8180</v>
          </cell>
        </row>
        <row r="16">
          <cell r="M16">
            <v>32720</v>
          </cell>
        </row>
      </sheetData>
      <sheetData sheetId="1">
        <row r="5">
          <cell r="M5">
            <v>220360</v>
          </cell>
        </row>
        <row r="6">
          <cell r="M6">
            <v>192620</v>
          </cell>
        </row>
        <row r="7">
          <cell r="M7">
            <v>259660</v>
          </cell>
        </row>
        <row r="8">
          <cell r="M8">
            <v>10020</v>
          </cell>
        </row>
        <row r="9">
          <cell r="M9">
            <v>23120</v>
          </cell>
        </row>
        <row r="10">
          <cell r="M10">
            <v>27740</v>
          </cell>
        </row>
        <row r="11">
          <cell r="M11">
            <v>6940</v>
          </cell>
        </row>
        <row r="12">
          <cell r="M12">
            <v>10780</v>
          </cell>
        </row>
        <row r="13">
          <cell r="M13">
            <v>3860</v>
          </cell>
        </row>
        <row r="16">
          <cell r="M16">
            <v>15400</v>
          </cell>
        </row>
      </sheetData>
      <sheetData sheetId="2"/>
      <sheetData sheetId="3"/>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 Glass"/>
      <sheetName val="With Glass"/>
    </sheetNames>
    <sheetDataSet>
      <sheetData sheetId="0">
        <row r="12">
          <cell r="F12">
            <v>44.339999999999996</v>
          </cell>
          <cell r="K12">
            <v>-0.66000000000000369</v>
          </cell>
        </row>
        <row r="13">
          <cell r="F13">
            <v>139.33999999999997</v>
          </cell>
          <cell r="K13">
            <v>94.339999999999975</v>
          </cell>
        </row>
        <row r="14">
          <cell r="F14">
            <v>39.339999999999996</v>
          </cell>
          <cell r="K14">
            <v>-5.6600000000000037</v>
          </cell>
        </row>
        <row r="16">
          <cell r="F16">
            <v>144.33999999999997</v>
          </cell>
          <cell r="K16">
            <v>99.339999999999975</v>
          </cell>
        </row>
        <row r="17">
          <cell r="F17">
            <v>184.33999999999997</v>
          </cell>
          <cell r="K17">
            <v>139.33999999999997</v>
          </cell>
        </row>
        <row r="18">
          <cell r="F18">
            <v>414.34</v>
          </cell>
          <cell r="K18">
            <v>369.34</v>
          </cell>
        </row>
        <row r="19">
          <cell r="F19">
            <v>-165.66000000000003</v>
          </cell>
          <cell r="K19">
            <v>-210.66000000000003</v>
          </cell>
        </row>
        <row r="23">
          <cell r="F23">
            <v>1214.3400000000001</v>
          </cell>
          <cell r="K23">
            <v>1169.3400000000001</v>
          </cell>
        </row>
        <row r="24">
          <cell r="F24">
            <v>47.339999999999996</v>
          </cell>
          <cell r="K24">
            <v>2.3399999999999963</v>
          </cell>
        </row>
        <row r="26">
          <cell r="F26">
            <v>-220.66000000000003</v>
          </cell>
          <cell r="K26">
            <v>-265.66000000000003</v>
          </cell>
        </row>
      </sheetData>
      <sheetData sheetId="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 Glass"/>
      <sheetName val="With Glass"/>
    </sheetNames>
    <sheetDataSet>
      <sheetData sheetId="0">
        <row r="12">
          <cell r="F12">
            <v>29.339999999999996</v>
          </cell>
          <cell r="K12">
            <v>-15.660000000000004</v>
          </cell>
        </row>
        <row r="13">
          <cell r="F13">
            <v>124.33999999999997</v>
          </cell>
          <cell r="K13">
            <v>79.339999999999975</v>
          </cell>
        </row>
        <row r="14">
          <cell r="F14">
            <v>24.339999999999996</v>
          </cell>
          <cell r="K14">
            <v>-20.660000000000004</v>
          </cell>
        </row>
        <row r="16">
          <cell r="F16">
            <v>144.33999999999997</v>
          </cell>
          <cell r="K16">
            <v>99.339999999999975</v>
          </cell>
        </row>
        <row r="17">
          <cell r="F17">
            <v>184.33999999999997</v>
          </cell>
          <cell r="K17">
            <v>139.33999999999997</v>
          </cell>
        </row>
        <row r="18">
          <cell r="F18">
            <v>384.34</v>
          </cell>
          <cell r="K18">
            <v>339.34</v>
          </cell>
        </row>
        <row r="19">
          <cell r="F19">
            <v>-165.66000000000003</v>
          </cell>
          <cell r="K19">
            <v>-210.66000000000003</v>
          </cell>
        </row>
        <row r="23">
          <cell r="F23">
            <v>1184.3400000000001</v>
          </cell>
          <cell r="K23">
            <v>1139.3400000000001</v>
          </cell>
        </row>
        <row r="24">
          <cell r="F24">
            <v>62.339999999999996</v>
          </cell>
          <cell r="K24">
            <v>17.339999999999996</v>
          </cell>
        </row>
        <row r="26">
          <cell r="F26">
            <v>-220.66000000000003</v>
          </cell>
          <cell r="K26">
            <v>-265.66000000000003</v>
          </cell>
        </row>
      </sheetData>
      <sheetData sheetId="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 Glass"/>
      <sheetName val="With Glass"/>
    </sheetNames>
    <sheetDataSet>
      <sheetData sheetId="0">
        <row r="12">
          <cell r="F12">
            <v>11.339999999999996</v>
          </cell>
          <cell r="K12">
            <v>-33.660000000000004</v>
          </cell>
        </row>
        <row r="13">
          <cell r="F13">
            <v>94.34</v>
          </cell>
          <cell r="K13">
            <v>49.34</v>
          </cell>
        </row>
        <row r="14">
          <cell r="F14">
            <v>4.3399999999999963</v>
          </cell>
          <cell r="K14">
            <v>-40.660000000000004</v>
          </cell>
        </row>
        <row r="16">
          <cell r="F16">
            <v>139.33999999999997</v>
          </cell>
          <cell r="K16">
            <v>94.339999999999975</v>
          </cell>
        </row>
        <row r="17">
          <cell r="F17">
            <v>154.33999999999997</v>
          </cell>
          <cell r="K17">
            <v>109.33999999999997</v>
          </cell>
        </row>
        <row r="18">
          <cell r="F18">
            <v>384.34</v>
          </cell>
          <cell r="K18">
            <v>339.34</v>
          </cell>
        </row>
        <row r="19">
          <cell r="F19">
            <v>-175.66000000000003</v>
          </cell>
          <cell r="K19">
            <v>-220.66000000000003</v>
          </cell>
        </row>
        <row r="23">
          <cell r="F23">
            <v>1244.3400000000001</v>
          </cell>
          <cell r="K23">
            <v>1199.3400000000001</v>
          </cell>
        </row>
        <row r="24">
          <cell r="F24">
            <v>84.34</v>
          </cell>
          <cell r="K24">
            <v>39.340000000000003</v>
          </cell>
        </row>
        <row r="26">
          <cell r="F26">
            <v>-220.66000000000003</v>
          </cell>
          <cell r="K26">
            <v>-265.66000000000003</v>
          </cell>
        </row>
      </sheetData>
      <sheetData sheetId="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 Glass"/>
      <sheetName val="With Glass"/>
    </sheetNames>
    <sheetDataSet>
      <sheetData sheetId="0">
        <row r="12">
          <cell r="F12">
            <v>-16.660000000000004</v>
          </cell>
          <cell r="K12">
            <v>-61.660000000000004</v>
          </cell>
        </row>
        <row r="13">
          <cell r="F13">
            <v>24.339999999999996</v>
          </cell>
          <cell r="K13">
            <v>-20.660000000000004</v>
          </cell>
        </row>
        <row r="14">
          <cell r="F14">
            <v>-20.660000000000004</v>
          </cell>
          <cell r="K14">
            <v>-65.66</v>
          </cell>
        </row>
        <row r="16">
          <cell r="F16">
            <v>84.34</v>
          </cell>
          <cell r="K16">
            <v>39.340000000000003</v>
          </cell>
        </row>
        <row r="17">
          <cell r="F17">
            <v>184.33999999999997</v>
          </cell>
          <cell r="K17">
            <v>139.33999999999997</v>
          </cell>
        </row>
        <row r="18">
          <cell r="F18">
            <v>419.34</v>
          </cell>
          <cell r="K18">
            <v>374.34</v>
          </cell>
        </row>
        <row r="19">
          <cell r="F19">
            <v>-175.66000000000003</v>
          </cell>
          <cell r="K19">
            <v>-220.66000000000003</v>
          </cell>
        </row>
        <row r="23">
          <cell r="F23">
            <v>1289.3400000000001</v>
          </cell>
          <cell r="K23">
            <v>1244.3400000000001</v>
          </cell>
        </row>
        <row r="24">
          <cell r="F24">
            <v>69.34</v>
          </cell>
          <cell r="K24">
            <v>24.340000000000003</v>
          </cell>
        </row>
        <row r="26">
          <cell r="F26">
            <v>-220.66000000000003</v>
          </cell>
          <cell r="K26">
            <v>-265.66000000000003</v>
          </cell>
        </row>
      </sheetData>
      <sheetData sheetId="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 Glass"/>
      <sheetName val="With Glass"/>
    </sheetNames>
    <sheetDataSet>
      <sheetData sheetId="0">
        <row r="12">
          <cell r="F12">
            <v>3.3399999999999963</v>
          </cell>
          <cell r="K12">
            <v>-41.660000000000004</v>
          </cell>
        </row>
        <row r="13">
          <cell r="F13">
            <v>58.339999999999996</v>
          </cell>
          <cell r="K13">
            <v>13.339999999999996</v>
          </cell>
        </row>
        <row r="14">
          <cell r="F14">
            <v>-35.660000000000004</v>
          </cell>
          <cell r="K14">
            <v>-80.66</v>
          </cell>
        </row>
        <row r="16">
          <cell r="F16">
            <v>24.339999999999996</v>
          </cell>
          <cell r="K16">
            <v>-20.660000000000004</v>
          </cell>
        </row>
        <row r="17">
          <cell r="F17">
            <v>244.33999999999997</v>
          </cell>
          <cell r="K17">
            <v>199.33999999999997</v>
          </cell>
        </row>
        <row r="18">
          <cell r="F18">
            <v>524.34</v>
          </cell>
          <cell r="K18">
            <v>479.34000000000003</v>
          </cell>
        </row>
        <row r="19">
          <cell r="F19">
            <v>-180.66000000000003</v>
          </cell>
          <cell r="K19">
            <v>-225.66000000000003</v>
          </cell>
        </row>
        <row r="23">
          <cell r="F23">
            <v>1254.3400000000001</v>
          </cell>
          <cell r="K23">
            <v>1209.3400000000001</v>
          </cell>
        </row>
        <row r="24">
          <cell r="F24">
            <v>69.34</v>
          </cell>
          <cell r="K24">
            <v>24.340000000000003</v>
          </cell>
        </row>
        <row r="26">
          <cell r="F26">
            <v>-220.66000000000003</v>
          </cell>
          <cell r="K26">
            <v>-265.66000000000003</v>
          </cell>
        </row>
      </sheetData>
      <sheetData sheetId="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 Glass"/>
      <sheetName val="With Glass"/>
    </sheetNames>
    <sheetDataSet>
      <sheetData sheetId="0">
        <row r="12">
          <cell r="F12">
            <v>12.170000000000009</v>
          </cell>
          <cell r="K12">
            <v>-32.829999999999991</v>
          </cell>
        </row>
        <row r="13">
          <cell r="F13">
            <v>67.170000000000016</v>
          </cell>
          <cell r="K13">
            <v>22.170000000000016</v>
          </cell>
        </row>
        <row r="14">
          <cell r="F14">
            <v>-67.829999999999984</v>
          </cell>
          <cell r="K14">
            <v>-112.82999999999998</v>
          </cell>
        </row>
        <row r="16">
          <cell r="F16">
            <v>17.170000000000009</v>
          </cell>
          <cell r="K16">
            <v>-27.829999999999991</v>
          </cell>
        </row>
        <row r="17">
          <cell r="F17">
            <v>202.17000000000002</v>
          </cell>
          <cell r="K17">
            <v>157.17000000000002</v>
          </cell>
        </row>
        <row r="18">
          <cell r="F18">
            <v>532.16999999999996</v>
          </cell>
          <cell r="K18">
            <v>487.16999999999996</v>
          </cell>
        </row>
        <row r="19">
          <cell r="F19">
            <v>-157.82999999999998</v>
          </cell>
          <cell r="K19">
            <v>-202.82999999999998</v>
          </cell>
        </row>
        <row r="23">
          <cell r="F23">
            <v>1282.17</v>
          </cell>
          <cell r="K23">
            <v>1237.17</v>
          </cell>
        </row>
        <row r="24">
          <cell r="F24">
            <v>82.170000000000016</v>
          </cell>
          <cell r="K24">
            <v>37.170000000000016</v>
          </cell>
        </row>
        <row r="26">
          <cell r="F26">
            <v>-222.82999999999998</v>
          </cell>
          <cell r="K26">
            <v>-267.83</v>
          </cell>
        </row>
      </sheetData>
      <sheetData sheetId="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10 - MultiFam"/>
      <sheetName val="Revised_MF for SP"/>
    </sheetNames>
    <sheetDataSet>
      <sheetData sheetId="0"/>
      <sheetData sheetId="1">
        <row r="7">
          <cell r="DG7">
            <v>72.462759924385651</v>
          </cell>
          <cell r="DH7">
            <v>72.462759924385651</v>
          </cell>
          <cell r="DI7">
            <v>65.875236294896041</v>
          </cell>
          <cell r="DJ7">
            <v>75.756521739130449</v>
          </cell>
          <cell r="DK7">
            <v>65.875236294896041</v>
          </cell>
          <cell r="DL7">
            <v>75.756521739130449</v>
          </cell>
          <cell r="DM7">
            <v>72.462759924385651</v>
          </cell>
          <cell r="DN7">
            <v>69.168998109640853</v>
          </cell>
          <cell r="DO7">
            <v>75.756521739130449</v>
          </cell>
          <cell r="DP7">
            <v>69.168998109640853</v>
          </cell>
          <cell r="DQ7">
            <v>72.462759924385651</v>
          </cell>
          <cell r="DR7">
            <v>72.462759924385651</v>
          </cell>
          <cell r="DS7">
            <v>69.168998109640853</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American 12-16"/>
      <sheetName val="American 11-16"/>
      <sheetName val="American 10-16"/>
      <sheetName val="American 9-16"/>
      <sheetName val="American 8-16"/>
      <sheetName val="American 7-16"/>
      <sheetName val="American 6-16"/>
      <sheetName val="American 5-16"/>
      <sheetName val="American 4-16"/>
      <sheetName val="American 3-16"/>
      <sheetName val="American 2-16"/>
      <sheetName val="American 1-16"/>
    </sheetNames>
    <sheetDataSet>
      <sheetData sheetId="0"/>
      <sheetData sheetId="1">
        <row r="6">
          <cell r="D6">
            <v>18478.551020408162</v>
          </cell>
        </row>
        <row r="88">
          <cell r="G88">
            <v>246.81</v>
          </cell>
        </row>
        <row r="89">
          <cell r="G89">
            <v>0</v>
          </cell>
        </row>
        <row r="90">
          <cell r="G90">
            <v>110.41500000000001</v>
          </cell>
        </row>
        <row r="91">
          <cell r="G91">
            <v>25.98</v>
          </cell>
        </row>
        <row r="92">
          <cell r="G92">
            <v>0</v>
          </cell>
        </row>
        <row r="93">
          <cell r="G93">
            <v>562.9</v>
          </cell>
        </row>
        <row r="94">
          <cell r="G94">
            <v>121.24000000000002</v>
          </cell>
        </row>
        <row r="95">
          <cell r="G95">
            <v>0</v>
          </cell>
        </row>
        <row r="96">
          <cell r="G96">
            <v>69.28</v>
          </cell>
        </row>
        <row r="97">
          <cell r="G97">
            <v>34.64</v>
          </cell>
        </row>
        <row r="98">
          <cell r="G98">
            <v>0</v>
          </cell>
        </row>
        <row r="99">
          <cell r="G99">
            <v>181.86</v>
          </cell>
        </row>
        <row r="100">
          <cell r="G100">
            <v>207.84</v>
          </cell>
        </row>
        <row r="101">
          <cell r="G101">
            <v>0</v>
          </cell>
        </row>
        <row r="102">
          <cell r="G102">
            <v>0</v>
          </cell>
        </row>
        <row r="103">
          <cell r="G103">
            <v>8</v>
          </cell>
        </row>
        <row r="104">
          <cell r="G104">
            <v>0</v>
          </cell>
        </row>
        <row r="105">
          <cell r="G105">
            <v>0</v>
          </cell>
        </row>
        <row r="106">
          <cell r="G106">
            <v>0</v>
          </cell>
        </row>
        <row r="107">
          <cell r="G107">
            <v>0</v>
          </cell>
        </row>
        <row r="108">
          <cell r="G108">
            <v>0</v>
          </cell>
        </row>
        <row r="109">
          <cell r="G109">
            <v>0</v>
          </cell>
        </row>
        <row r="110">
          <cell r="G110">
            <v>0</v>
          </cell>
        </row>
        <row r="111">
          <cell r="G111">
            <v>0</v>
          </cell>
        </row>
        <row r="274">
          <cell r="G274">
            <v>298.78122157956909</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urrey's 12-16"/>
      <sheetName val="Murrey's 11-16"/>
      <sheetName val="Murrey's 10-16"/>
      <sheetName val="Murrey's 9-16"/>
      <sheetName val="Murrey's 8-16"/>
      <sheetName val="Murrey's 7-16"/>
      <sheetName val="Murrey's 6-16"/>
      <sheetName val="Murrey's 5-16"/>
      <sheetName val="Murrrey's 4-16"/>
      <sheetName val="Murrey's 3-16"/>
      <sheetName val="Murrey's 2-16"/>
      <sheetName val="Murrey's 1-16"/>
    </sheetNames>
    <sheetDataSet>
      <sheetData sheetId="0">
        <row r="6">
          <cell r="D6">
            <v>35256.326530612241</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111_IS210"/>
      <sheetName val="2132_IS210"/>
      <sheetName val="2140_IS210"/>
      <sheetName val="Revenue"/>
      <sheetName val="Customers"/>
      <sheetName val="Murrey's G-9 Reg."/>
      <sheetName val="American G-87 Reg."/>
      <sheetName val="DM-BL"/>
      <sheetName val="DM-BUCK"/>
      <sheetName val="DM-CAR"/>
      <sheetName val="DM-MIL"/>
      <sheetName val="DM-ORT"/>
      <sheetName val="DM-PIER"/>
      <sheetName val="DM-PUY"/>
      <sheetName val="DM-SP"/>
      <sheetName val="DM-SUM"/>
      <sheetName val="Vashon"/>
      <sheetName val="MM001 Data"/>
      <sheetName val="Default Rates Pre Mar. 1"/>
      <sheetName val="Default Rates Post Mar. 1"/>
      <sheetName val="2160 Pivot"/>
      <sheetName val="Manual Revenue"/>
      <sheetName val="Buckley Cust"/>
      <sheetName val="Carb Cust"/>
      <sheetName val="SP Cust"/>
      <sheetName val="Instructions"/>
    </sheetNames>
    <sheetDataSet>
      <sheetData sheetId="0"/>
      <sheetData sheetId="1"/>
      <sheetData sheetId="2"/>
      <sheetData sheetId="3"/>
      <sheetData sheetId="4"/>
      <sheetData sheetId="5">
        <row r="75">
          <cell r="R75">
            <v>197.49999999999997</v>
          </cell>
          <cell r="S75">
            <v>197.25</v>
          </cell>
          <cell r="T75">
            <v>198.5</v>
          </cell>
          <cell r="U75">
            <v>202.99999999999997</v>
          </cell>
          <cell r="V75">
            <v>205.24999999999997</v>
          </cell>
          <cell r="W75">
            <v>195.24999999999997</v>
          </cell>
          <cell r="X75">
            <v>193.5</v>
          </cell>
          <cell r="Y75">
            <v>185.99999999999997</v>
          </cell>
          <cell r="Z75">
            <v>184.75</v>
          </cell>
          <cell r="AA75">
            <v>182.74999999999997</v>
          </cell>
          <cell r="AB75">
            <v>184.27052238805967</v>
          </cell>
          <cell r="AC75">
            <v>182.99999999999997</v>
          </cell>
        </row>
        <row r="76">
          <cell r="R76">
            <v>34010.057422969185</v>
          </cell>
          <cell r="S76">
            <v>34000.235994397757</v>
          </cell>
          <cell r="T76">
            <v>34244.835434173663</v>
          </cell>
          <cell r="U76">
            <v>34263.191176470587</v>
          </cell>
          <cell r="V76">
            <v>34443.723389355742</v>
          </cell>
          <cell r="W76">
            <v>34704.244397759103</v>
          </cell>
          <cell r="X76">
            <v>34741.621148459388</v>
          </cell>
          <cell r="Y76">
            <v>34943.751400560228</v>
          </cell>
          <cell r="Z76">
            <v>35035.33543417367</v>
          </cell>
          <cell r="AA76">
            <v>35208.656862745105</v>
          </cell>
          <cell r="AB76">
            <v>35343.74089635854</v>
          </cell>
          <cell r="AC76">
            <v>35395.325630252097</v>
          </cell>
        </row>
        <row r="77">
          <cell r="R77">
            <v>605.75000000000011</v>
          </cell>
          <cell r="S77">
            <v>599.25000000000011</v>
          </cell>
          <cell r="T77">
            <v>586.25</v>
          </cell>
          <cell r="U77">
            <v>582.03921568627459</v>
          </cell>
          <cell r="V77">
            <v>572.00000000000011</v>
          </cell>
          <cell r="W77">
            <v>560.25000000000011</v>
          </cell>
          <cell r="X77">
            <v>555.75000000000011</v>
          </cell>
          <cell r="Y77">
            <v>547.50000000000011</v>
          </cell>
          <cell r="Z77">
            <v>540</v>
          </cell>
          <cell r="AA77">
            <v>536</v>
          </cell>
          <cell r="AB77">
            <v>526.25</v>
          </cell>
          <cell r="AC77">
            <v>524.25</v>
          </cell>
        </row>
        <row r="256">
          <cell r="AM256">
            <v>4143.7065402640319</v>
          </cell>
          <cell r="AN256">
            <v>4136.6599875169704</v>
          </cell>
          <cell r="AO256">
            <v>4167.1210148999835</v>
          </cell>
          <cell r="AP256">
            <v>4147.2916726299827</v>
          </cell>
          <cell r="AQ256">
            <v>4202.0420928767016</v>
          </cell>
          <cell r="AR256">
            <v>4152.1363397366931</v>
          </cell>
          <cell r="AS256">
            <v>4176.3701920463964</v>
          </cell>
          <cell r="AT256">
            <v>4216.2041431366142</v>
          </cell>
          <cell r="AU256">
            <v>4156.9933075334411</v>
          </cell>
          <cell r="AV256">
            <v>4175.3730736018115</v>
          </cell>
          <cell r="AW256">
            <v>4208.3326716741876</v>
          </cell>
          <cell r="AX256">
            <v>4245.1669442223993</v>
          </cell>
        </row>
        <row r="276">
          <cell r="AM276">
            <v>1593.4369231368109</v>
          </cell>
          <cell r="AN276">
            <v>1593.4369231368109</v>
          </cell>
          <cell r="AO276">
            <v>1532.81705368442</v>
          </cell>
          <cell r="AP276">
            <v>1610.7567891082317</v>
          </cell>
          <cell r="AQ276">
            <v>1558.7969654923568</v>
          </cell>
          <cell r="AR276">
            <v>935.27908210186217</v>
          </cell>
          <cell r="AS276">
            <v>1558.7969654923568</v>
          </cell>
          <cell r="AT276">
            <v>1558.7969654923568</v>
          </cell>
          <cell r="AU276">
            <v>1662.7166127241062</v>
          </cell>
          <cell r="AV276">
            <v>1649.7273917539933</v>
          </cell>
          <cell r="AW276">
            <v>1662.7166127241062</v>
          </cell>
          <cell r="AX276">
            <v>1662.7166127241062</v>
          </cell>
        </row>
      </sheetData>
      <sheetData sheetId="6">
        <row r="75">
          <cell r="R75">
            <v>112.75</v>
          </cell>
          <cell r="S75">
            <v>112.74999999999997</v>
          </cell>
          <cell r="T75">
            <v>113.24999999999999</v>
          </cell>
          <cell r="U75">
            <v>111</v>
          </cell>
          <cell r="V75">
            <v>112.19309701492537</v>
          </cell>
          <cell r="W75">
            <v>109.49999999999999</v>
          </cell>
          <cell r="X75">
            <v>109.99999999999997</v>
          </cell>
          <cell r="Y75">
            <v>47.964552238805965</v>
          </cell>
          <cell r="Z75">
            <v>103.24999999999999</v>
          </cell>
          <cell r="AA75">
            <v>100.49999999999999</v>
          </cell>
          <cell r="AB75">
            <v>100.25</v>
          </cell>
          <cell r="AC75">
            <v>97.999999999999986</v>
          </cell>
        </row>
        <row r="76">
          <cell r="R76">
            <v>18164.786414565828</v>
          </cell>
          <cell r="S76">
            <v>18104.572128851541</v>
          </cell>
          <cell r="T76">
            <v>18193.543417366949</v>
          </cell>
          <cell r="U76">
            <v>18297.663865546219</v>
          </cell>
          <cell r="V76">
            <v>18495.522408963589</v>
          </cell>
          <cell r="W76">
            <v>18675.070028011207</v>
          </cell>
          <cell r="X76">
            <v>18781.67577030812</v>
          </cell>
          <cell r="Y76">
            <v>18859.411064425771</v>
          </cell>
          <cell r="Z76">
            <v>18872.202380952385</v>
          </cell>
          <cell r="AA76">
            <v>18877.33963585434</v>
          </cell>
          <cell r="AB76">
            <v>18802.314425770313</v>
          </cell>
          <cell r="AC76">
            <v>18828.657563025215</v>
          </cell>
        </row>
        <row r="77">
          <cell r="R77">
            <v>335.28921568627453</v>
          </cell>
          <cell r="S77">
            <v>326.11764705882354</v>
          </cell>
          <cell r="T77">
            <v>319.75</v>
          </cell>
          <cell r="U77">
            <v>313.25</v>
          </cell>
          <cell r="V77">
            <v>309.25000000000011</v>
          </cell>
          <cell r="W77">
            <v>301.25000000000006</v>
          </cell>
          <cell r="X77">
            <v>302.75000000000006</v>
          </cell>
          <cell r="Y77">
            <v>296.75</v>
          </cell>
          <cell r="Z77">
            <v>294</v>
          </cell>
          <cell r="AA77">
            <v>286.75</v>
          </cell>
          <cell r="AB77">
            <v>280.50000000000006</v>
          </cell>
          <cell r="AC77">
            <v>276.96078431372553</v>
          </cell>
        </row>
        <row r="252">
          <cell r="AL252">
            <v>1157.6595045415465</v>
          </cell>
          <cell r="AM252">
            <v>1155.1587937218887</v>
          </cell>
          <cell r="AN252">
            <v>1164.8478773584907</v>
          </cell>
          <cell r="AO252">
            <v>1175</v>
          </cell>
          <cell r="AP252">
            <v>1163.1666666666665</v>
          </cell>
          <cell r="AQ252">
            <v>1223.0006013140196</v>
          </cell>
          <cell r="AR252">
            <v>1250.7499999999998</v>
          </cell>
          <cell r="AS252">
            <v>1257.5621636930048</v>
          </cell>
          <cell r="AT252">
            <v>1261.5</v>
          </cell>
          <cell r="AU252">
            <v>1299.9166666666665</v>
          </cell>
          <cell r="AV252">
            <v>1290.25</v>
          </cell>
          <cell r="AW252">
            <v>1280.4998334657066</v>
          </cell>
        </row>
        <row r="272">
          <cell r="AL272">
            <v>225.15938613653114</v>
          </cell>
          <cell r="AM272">
            <v>225.15938613653114</v>
          </cell>
          <cell r="AN272">
            <v>225.15938613653111</v>
          </cell>
          <cell r="AO272">
            <v>225.15938613653111</v>
          </cell>
          <cell r="AP272">
            <v>225.15938613653111</v>
          </cell>
          <cell r="AQ272">
            <v>225.15938613653111</v>
          </cell>
          <cell r="AR272">
            <v>225.15938613653111</v>
          </cell>
          <cell r="AS272">
            <v>225.15938613653111</v>
          </cell>
          <cell r="AT272">
            <v>225.15938613653111</v>
          </cell>
          <cell r="AU272">
            <v>225.15938613653111</v>
          </cell>
          <cell r="AV272">
            <v>277.11920975240571</v>
          </cell>
          <cell r="AW272">
            <v>277.11920975240571</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urrey's American 2017"/>
      <sheetName val="DM 2017"/>
      <sheetName val="M, A, DM 2017"/>
      <sheetName val="DATA"/>
      <sheetName val="YoY Comparison"/>
      <sheetName val="Procedures"/>
    </sheetNames>
    <sheetDataSet>
      <sheetData sheetId="0"/>
      <sheetData sheetId="1"/>
      <sheetData sheetId="2"/>
      <sheetData sheetId="3">
        <row r="23">
          <cell r="B23">
            <v>358.45515691525458</v>
          </cell>
          <cell r="C23">
            <v>273.02425370969542</v>
          </cell>
          <cell r="D23">
            <v>337.47930866493112</v>
          </cell>
          <cell r="E23">
            <v>264.14415987911542</v>
          </cell>
          <cell r="F23">
            <v>324.93038201530618</v>
          </cell>
          <cell r="G23">
            <v>333.28495253759394</v>
          </cell>
          <cell r="H23">
            <v>324.70525228480335</v>
          </cell>
          <cell r="I23">
            <v>362.26828850495662</v>
          </cell>
          <cell r="J23">
            <v>330.32818154099459</v>
          </cell>
          <cell r="K23">
            <v>352.80650567930127</v>
          </cell>
          <cell r="L23">
            <v>328.58019880954663</v>
          </cell>
        </row>
        <row r="24">
          <cell r="B24">
            <v>313.33492737347433</v>
          </cell>
          <cell r="C24">
            <v>238.65756443155195</v>
          </cell>
          <cell r="D24">
            <v>294.99939568612865</v>
          </cell>
          <cell r="E24">
            <v>230.89524464957645</v>
          </cell>
          <cell r="F24">
            <v>284.03005420918373</v>
          </cell>
          <cell r="G24">
            <v>291.3330004699248</v>
          </cell>
          <cell r="H24">
            <v>283.83326248671625</v>
          </cell>
          <cell r="I24">
            <v>316.66808435747959</v>
          </cell>
          <cell r="J24">
            <v>288.74841043793236</v>
          </cell>
          <cell r="K24">
            <v>308.39729517421443</v>
          </cell>
          <cell r="L24">
            <v>287.22045350484848</v>
          </cell>
        </row>
        <row r="25">
          <cell r="B25">
            <v>422.37548209944345</v>
          </cell>
          <cell r="C25">
            <v>321.71039685373205</v>
          </cell>
          <cell r="D25">
            <v>397.65918538490143</v>
          </cell>
          <cell r="E25">
            <v>311.2467897876291</v>
          </cell>
          <cell r="F25">
            <v>382.87251307397969</v>
          </cell>
          <cell r="G25">
            <v>392.71688463345868</v>
          </cell>
          <cell r="H25">
            <v>382.60723783209352</v>
          </cell>
          <cell r="I25">
            <v>426.86857771388253</v>
          </cell>
          <cell r="J25">
            <v>389.23285727033283</v>
          </cell>
          <cell r="K25">
            <v>415.71955389484111</v>
          </cell>
          <cell r="L25">
            <v>387.17317132453576</v>
          </cell>
        </row>
        <row r="26">
          <cell r="C26">
            <v>12.4101933504407</v>
          </cell>
          <cell r="D26">
            <v>15.339968575678689</v>
          </cell>
          <cell r="E26">
            <v>12.006552721777975</v>
          </cell>
          <cell r="F26">
            <v>14.769562818877553</v>
          </cell>
          <cell r="G26">
            <v>15.149316024436089</v>
          </cell>
          <cell r="H26">
            <v>14.759329649309244</v>
          </cell>
          <cell r="I26">
            <v>16.466740386588938</v>
          </cell>
          <cell r="J26">
            <v>15.014917342772483</v>
          </cell>
          <cell r="K26">
            <v>16.03665934905915</v>
          </cell>
          <cell r="L26">
            <v>14.935463582252121</v>
          </cell>
        </row>
        <row r="27">
          <cell r="B27">
            <v>37.600191284816916</v>
          </cell>
          <cell r="C27">
            <v>28.638907731786233</v>
          </cell>
          <cell r="D27">
            <v>35.399927482335436</v>
          </cell>
          <cell r="E27">
            <v>27.707429357949174</v>
          </cell>
          <cell r="F27">
            <v>34.083606505102047</v>
          </cell>
          <cell r="G27">
            <v>34.959960056390976</v>
          </cell>
          <cell r="H27">
            <v>34.05999149840595</v>
          </cell>
          <cell r="I27">
            <v>38.000170122897551</v>
          </cell>
          <cell r="J27">
            <v>34.649809252551883</v>
          </cell>
          <cell r="K27">
            <v>37.007675420905734</v>
          </cell>
          <cell r="L27">
            <v>34.466454420581819</v>
          </cell>
        </row>
        <row r="28">
          <cell r="B28">
            <v>45.120229541780297</v>
          </cell>
          <cell r="C28">
            <v>34.366689278143475</v>
          </cell>
          <cell r="D28">
            <v>42.479912978802524</v>
          </cell>
          <cell r="E28">
            <v>33.248915229539008</v>
          </cell>
          <cell r="F28">
            <v>40.900327806122455</v>
          </cell>
          <cell r="G28">
            <v>41.951952067669168</v>
          </cell>
          <cell r="H28">
            <v>40.871989798087135</v>
          </cell>
          <cell r="I28">
            <v>45.600204147477058</v>
          </cell>
          <cell r="J28">
            <v>41.579771103062257</v>
          </cell>
          <cell r="K28">
            <v>44.409210505086875</v>
          </cell>
          <cell r="L28">
            <v>41.35974530469818</v>
          </cell>
        </row>
        <row r="29">
          <cell r="B29">
            <v>11.280057385445074</v>
          </cell>
          <cell r="C29">
            <v>8.5916723195358689</v>
          </cell>
          <cell r="D29">
            <v>10.619978244700631</v>
          </cell>
          <cell r="E29">
            <v>8.3122288073847521</v>
          </cell>
          <cell r="F29">
            <v>10.225081951530614</v>
          </cell>
          <cell r="G29">
            <v>10.487988016917292</v>
          </cell>
          <cell r="H29">
            <v>10.217997449521784</v>
          </cell>
          <cell r="I29">
            <v>11.400051036869264</v>
          </cell>
          <cell r="J29">
            <v>10.394942775765564</v>
          </cell>
          <cell r="K29">
            <v>11.102302626271719</v>
          </cell>
          <cell r="L29">
            <v>10.339936326174545</v>
          </cell>
        </row>
        <row r="30">
          <cell r="B30">
            <v>17.546755932914564</v>
          </cell>
          <cell r="C30">
            <v>13.36482360816691</v>
          </cell>
          <cell r="D30">
            <v>16.519966158423205</v>
          </cell>
          <cell r="E30">
            <v>12.930133700376281</v>
          </cell>
          <cell r="F30">
            <v>15.90568303571429</v>
          </cell>
          <cell r="G30">
            <v>16.31464802631579</v>
          </cell>
          <cell r="H30">
            <v>15.894662699256111</v>
          </cell>
          <cell r="I30">
            <v>17.733412724018859</v>
          </cell>
          <cell r="J30">
            <v>16.169910984524211</v>
          </cell>
          <cell r="K30">
            <v>17.27024852975601</v>
          </cell>
          <cell r="L30">
            <v>16.084345396271516</v>
          </cell>
        </row>
        <row r="31">
          <cell r="B31">
            <v>6.2666985474694865</v>
          </cell>
          <cell r="C31">
            <v>4.7731512886310394</v>
          </cell>
          <cell r="D31">
            <v>5.8999879137225735</v>
          </cell>
          <cell r="E31">
            <v>4.617904892991529</v>
          </cell>
          <cell r="F31">
            <v>5.6806010841836745</v>
          </cell>
          <cell r="G31">
            <v>5.8266600093984957</v>
          </cell>
          <cell r="H31">
            <v>5.6766652497343255</v>
          </cell>
          <cell r="I31">
            <v>6.3333616871495915</v>
          </cell>
          <cell r="J31">
            <v>5.7749682087586471</v>
          </cell>
          <cell r="K31">
            <v>6.1679459034842887</v>
          </cell>
          <cell r="L31">
            <v>5.7444090700969701</v>
          </cell>
        </row>
        <row r="32">
          <cell r="B32">
            <v>25.066794189877946</v>
          </cell>
          <cell r="C32">
            <v>19.092605154524158</v>
          </cell>
          <cell r="D32">
            <v>23.599951654890294</v>
          </cell>
          <cell r="E32">
            <v>18.471619571966116</v>
          </cell>
          <cell r="F32">
            <v>22.722404336734698</v>
          </cell>
          <cell r="G32">
            <v>23.306640037593983</v>
          </cell>
          <cell r="H32">
            <v>22.706660998937302</v>
          </cell>
          <cell r="I32">
            <v>25.333446748598366</v>
          </cell>
          <cell r="J32">
            <v>23.099872835034589</v>
          </cell>
          <cell r="K32">
            <v>24.671783613937155</v>
          </cell>
          <cell r="L32">
            <v>22.97763628038788</v>
          </cell>
        </row>
      </sheetData>
      <sheetData sheetId="4"/>
      <sheetData sheetId="5"/>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tial credit"/>
      <sheetName val="First year adj"/>
      <sheetName val="1st yr actual"/>
      <sheetName val="Second year adj"/>
      <sheetName val="2nd year actual"/>
      <sheetName val="Third Year adj"/>
      <sheetName val="3rd year actual"/>
      <sheetName val="MF_initial"/>
      <sheetName val="Fourth Year adj"/>
      <sheetName val="4th year actual"/>
      <sheetName val="Fifth Year Adj"/>
      <sheetName val="5th year actual"/>
      <sheetName val="Sixth Year Adj"/>
      <sheetName val="6th year actual"/>
      <sheetName val="Expl 6th yr"/>
      <sheetName val="7th year adj"/>
      <sheetName val="7th year actual"/>
      <sheetName val="8th year adj"/>
      <sheetName val="8th year actual"/>
      <sheetName val="9th year adj"/>
      <sheetName val="9th year actual"/>
      <sheetName val="10th year adj"/>
      <sheetName val="10th year actual"/>
      <sheetName val="11th year adj"/>
      <sheetName val="11th year actual"/>
      <sheetName val="12th year adj"/>
      <sheetName val="12th year actual"/>
      <sheetName val="13th year adj"/>
      <sheetName val="13th year actual"/>
      <sheetName val="14th year adj"/>
      <sheetName val="14th year actual"/>
      <sheetName val="15th year adj"/>
      <sheetName val="15th year actual"/>
      <sheetName val="16th year adj"/>
      <sheetName val="16th year actual"/>
      <sheetName val="17th year adj"/>
      <sheetName val="17th year actual"/>
      <sheetName val="18th year adj"/>
      <sheetName val="18th year actua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ow r="30">
          <cell r="E30">
            <v>1.1205866204060571</v>
          </cell>
        </row>
        <row r="48">
          <cell r="G48">
            <v>1.0483367535806549</v>
          </cell>
        </row>
        <row r="50">
          <cell r="G50">
            <v>0.87565072259923493</v>
          </cell>
        </row>
        <row r="82">
          <cell r="E82">
            <v>0.51</v>
          </cell>
        </row>
        <row r="101">
          <cell r="G101">
            <v>0.47589081897491819</v>
          </cell>
        </row>
      </sheetData>
      <sheetData sheetId="36"/>
      <sheetData sheetId="37"/>
      <sheetData sheetId="38"/>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urrey's 12-16"/>
      <sheetName val="Murrey's 11-16"/>
      <sheetName val="Murrey's 10-16"/>
      <sheetName val="Murrey's 9-16"/>
      <sheetName val="Murrey's 8-16"/>
      <sheetName val="Murrey's 7-16"/>
      <sheetName val="Murrey's 6-16"/>
      <sheetName val="Murrey's 5-16"/>
      <sheetName val="Murrrey's 4-16"/>
      <sheetName val="Murrey's 3-16"/>
      <sheetName val="Murrey's 2-16"/>
      <sheetName val="Murrey's 1-16"/>
    </sheetNames>
    <sheetDataSet>
      <sheetData sheetId="0" refreshError="1">
        <row r="112">
          <cell r="G112">
            <v>4215.6525997475919</v>
          </cell>
        </row>
        <row r="272">
          <cell r="G272">
            <v>1686.5548028836461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American 12-16"/>
      <sheetName val="American 11-16"/>
      <sheetName val="American 10-16"/>
      <sheetName val="American 9-16"/>
      <sheetName val="American 8-16"/>
      <sheetName val="American 7-16"/>
      <sheetName val="American 6-16"/>
      <sheetName val="American 5-16"/>
      <sheetName val="American 4-16"/>
      <sheetName val="American 3-16"/>
      <sheetName val="American 2-16"/>
      <sheetName val="American 1-16"/>
    </sheetNames>
    <sheetDataSet>
      <sheetData sheetId="0"/>
      <sheetData sheetId="1">
        <row r="6">
          <cell r="D6">
            <v>18478.551020408162</v>
          </cell>
        </row>
        <row r="54">
          <cell r="D54">
            <v>89.75510204081634</v>
          </cell>
        </row>
        <row r="262">
          <cell r="D262">
            <v>137</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urrey's 12-16"/>
      <sheetName val="Murrey's 11-16"/>
      <sheetName val="Murrey's 10-16"/>
      <sheetName val="Murrey's 9-16"/>
      <sheetName val="Murrey's 8-16"/>
      <sheetName val="Murrey's 7-16"/>
      <sheetName val="Murrey's 6-16"/>
      <sheetName val="Murrey's 5-16"/>
      <sheetName val="Murrrey's 4-16"/>
      <sheetName val="Murrey's 3-16"/>
      <sheetName val="Murrey's 2-16"/>
      <sheetName val="Murrey's 1-16"/>
    </sheetNames>
    <sheetDataSet>
      <sheetData sheetId="0">
        <row r="6">
          <cell r="D6">
            <v>35256.326530612241</v>
          </cell>
        </row>
        <row r="54">
          <cell r="D54">
            <v>647.26530612244892</v>
          </cell>
        </row>
        <row r="260">
          <cell r="D260">
            <v>902</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111_IS210"/>
      <sheetName val="2132_IS210"/>
      <sheetName val="2140_IS210"/>
      <sheetName val="Revenue"/>
      <sheetName val="Customers"/>
      <sheetName val="Murrey's G-9 Reg."/>
      <sheetName val="American G-87 Reg."/>
      <sheetName val="DM-BL"/>
      <sheetName val="DM-BUCK"/>
      <sheetName val="DM-CAR"/>
      <sheetName val="DM-MIL"/>
      <sheetName val="DM-ORT"/>
      <sheetName val="DM-PIER"/>
      <sheetName val="DM-PUY"/>
      <sheetName val="DM-SP"/>
      <sheetName val="DM-SUM"/>
      <sheetName val="Vashon"/>
      <sheetName val="MM001 Data"/>
      <sheetName val="Default Rates Pre Mar. 1"/>
      <sheetName val="Default Rates Post Mar. 1"/>
      <sheetName val="2160 Pivot"/>
      <sheetName val="Manual Revenue"/>
      <sheetName val="Buckley Cust"/>
      <sheetName val="Carb Cust"/>
      <sheetName val="SP Cust"/>
      <sheetName val="Instructions"/>
    </sheetNames>
    <sheetDataSet>
      <sheetData sheetId="0"/>
      <sheetData sheetId="1"/>
      <sheetData sheetId="2"/>
      <sheetData sheetId="3"/>
      <sheetData sheetId="4"/>
      <sheetData sheetId="5">
        <row r="256">
          <cell r="AM256">
            <v>4143.7065402640319</v>
          </cell>
        </row>
        <row r="276">
          <cell r="AM276">
            <v>1593.4369231368109</v>
          </cell>
        </row>
        <row r="430">
          <cell r="R430">
            <v>34601.806122448994</v>
          </cell>
        </row>
        <row r="431">
          <cell r="R431">
            <v>1526.2755102040817</v>
          </cell>
        </row>
        <row r="436">
          <cell r="R436">
            <v>54818.326530612263</v>
          </cell>
          <cell r="S436">
            <v>65361.387755102049</v>
          </cell>
          <cell r="T436">
            <v>48998.30113636364</v>
          </cell>
          <cell r="U436">
            <v>55174.619318181823</v>
          </cell>
          <cell r="V436">
            <v>55530.102272727265</v>
          </cell>
          <cell r="W436">
            <v>55931.727272727279</v>
          </cell>
          <cell r="X436">
            <v>56304.267045454551</v>
          </cell>
          <cell r="Y436">
            <v>56799.045454545441</v>
          </cell>
          <cell r="Z436">
            <v>56875.426136363632</v>
          </cell>
          <cell r="AA436">
            <v>57035.363636363632</v>
          </cell>
          <cell r="AB436">
            <v>57096.642045454544</v>
          </cell>
          <cell r="AC436">
            <v>57178.210227272721</v>
          </cell>
        </row>
      </sheetData>
      <sheetData sheetId="6">
        <row r="252">
          <cell r="AL252">
            <v>1157.6595045415465</v>
          </cell>
        </row>
        <row r="272">
          <cell r="AL272">
            <v>225.15938613653114</v>
          </cell>
        </row>
        <row r="425">
          <cell r="R425">
            <v>18461.000000000004</v>
          </cell>
        </row>
        <row r="426">
          <cell r="R426">
            <v>229.24489795918367</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111_IS210"/>
      <sheetName val="2132_IS210"/>
      <sheetName val="2140_IS210"/>
      <sheetName val="Revenue"/>
      <sheetName val="Customers"/>
      <sheetName val="Murrey's G-9 Reg."/>
      <sheetName val="American G-87 Reg."/>
      <sheetName val="DM-BL"/>
      <sheetName val="DM-BUCK"/>
      <sheetName val="DM-CAR"/>
      <sheetName val="DM-MIL"/>
      <sheetName val="DM-ORT"/>
      <sheetName val="DM-PIER"/>
      <sheetName val="DM-PUY"/>
      <sheetName val="DM-SP"/>
      <sheetName val="DM-SUM"/>
      <sheetName val="Vashon"/>
      <sheetName val="MM001 Data"/>
      <sheetName val="Default Rates Pre Mar. 1"/>
      <sheetName val="Default Rates Post Mar. 1"/>
      <sheetName val="PI default pricing 3.1.18"/>
      <sheetName val="PI default pricing 7.1.18"/>
      <sheetName val="2160 Pivot"/>
      <sheetName val="Manual Revenue"/>
      <sheetName val="Buckley Cust"/>
      <sheetName val="Carb Cust"/>
      <sheetName val="SP Cust"/>
      <sheetName val="Instructions"/>
    </sheetNames>
    <sheetDataSet>
      <sheetData sheetId="0"/>
      <sheetData sheetId="1"/>
      <sheetData sheetId="2"/>
      <sheetData sheetId="3"/>
      <sheetData sheetId="4"/>
      <sheetData sheetId="5">
        <row r="256">
          <cell r="AN256">
            <v>4208.9823623361317</v>
          </cell>
          <cell r="AO256">
            <v>4143.5658598815144</v>
          </cell>
          <cell r="AP256">
            <v>4284.2865618103115</v>
          </cell>
          <cell r="AQ256">
            <v>4106.1391073104669</v>
          </cell>
          <cell r="AR256">
            <v>4150.4763323562183</v>
          </cell>
          <cell r="AS256">
            <v>4148.055776225664</v>
          </cell>
        </row>
        <row r="276">
          <cell r="AN276">
            <v>1766.6371627623032</v>
          </cell>
          <cell r="AO276">
            <v>1801.2773461083689</v>
          </cell>
          <cell r="AP276">
            <v>2176.1314197777147</v>
          </cell>
          <cell r="AQ276">
            <v>1835.2872144643929</v>
          </cell>
          <cell r="AR276">
            <v>1870.5796589088375</v>
          </cell>
          <cell r="AS276">
            <v>1870.5796589088375</v>
          </cell>
        </row>
        <row r="430">
          <cell r="S430">
            <v>36226.329545454537</v>
          </cell>
          <cell r="T430">
            <v>33656.749999999993</v>
          </cell>
          <cell r="U430">
            <v>40172.111111111109</v>
          </cell>
          <cell r="V430">
            <v>36650.269841269837</v>
          </cell>
          <cell r="W430">
            <v>36992.119047619053</v>
          </cell>
          <cell r="X430">
            <v>37130.825396825392</v>
          </cell>
        </row>
        <row r="431">
          <cell r="S431">
            <v>1648.25</v>
          </cell>
          <cell r="T431">
            <v>1650.25</v>
          </cell>
          <cell r="U431">
            <v>1615.7619047619048</v>
          </cell>
          <cell r="V431">
            <v>1614.2857142857142</v>
          </cell>
          <cell r="W431">
            <v>1623.015873015873</v>
          </cell>
          <cell r="X431">
            <v>1627.3015873015875</v>
          </cell>
        </row>
      </sheetData>
      <sheetData sheetId="6">
        <row r="252">
          <cell r="AM252">
            <v>1279.1666666666667</v>
          </cell>
          <cell r="AN252">
            <v>1269.75</v>
          </cell>
          <cell r="AO252">
            <v>1270.1668658637491</v>
          </cell>
          <cell r="AP252">
            <v>1270.083233734792</v>
          </cell>
          <cell r="AQ252">
            <v>1271.0833333333333</v>
          </cell>
          <cell r="AR252">
            <v>1269.0834329318745</v>
          </cell>
        </row>
        <row r="272">
          <cell r="AM272">
            <v>277.11920975240571</v>
          </cell>
          <cell r="AN272">
            <v>277.11920975240571</v>
          </cell>
          <cell r="AO272">
            <v>95.707747823058156</v>
          </cell>
          <cell r="AP272">
            <v>199.18124796554889</v>
          </cell>
          <cell r="AQ272">
            <v>199.18124796554889</v>
          </cell>
          <cell r="AR272">
            <v>199.18124796554889</v>
          </cell>
        </row>
        <row r="425">
          <cell r="S425">
            <v>19219.102272727268</v>
          </cell>
          <cell r="T425">
            <v>17914.789772727272</v>
          </cell>
          <cell r="U425">
            <v>21270.793650793647</v>
          </cell>
          <cell r="V425">
            <v>19498.595238095237</v>
          </cell>
          <cell r="W425">
            <v>19720.936507936505</v>
          </cell>
          <cell r="X425">
            <v>19797.960317460318</v>
          </cell>
        </row>
        <row r="426">
          <cell r="S426">
            <v>250.25</v>
          </cell>
          <cell r="T426">
            <v>251</v>
          </cell>
          <cell r="U426">
            <v>250.80952380952382</v>
          </cell>
          <cell r="V426">
            <v>253.76190476190476</v>
          </cell>
          <cell r="W426">
            <v>256.50793650793651</v>
          </cell>
          <cell r="X426">
            <v>257</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oneer Price"/>
    </sheetNames>
    <sheetDataSet>
      <sheetData sheetId="0">
        <row r="12">
          <cell r="B12">
            <v>0.28599999999999998</v>
          </cell>
        </row>
        <row r="13">
          <cell r="B13">
            <v>0.33700000000000002</v>
          </cell>
        </row>
        <row r="14">
          <cell r="B14">
            <v>0.25</v>
          </cell>
        </row>
        <row r="16">
          <cell r="B16">
            <v>3.5999999999999997E-2</v>
          </cell>
        </row>
        <row r="17">
          <cell r="B17">
            <v>8.9999999999999993E-3</v>
          </cell>
        </row>
        <row r="18">
          <cell r="B18">
            <v>1.4E-2</v>
          </cell>
        </row>
        <row r="19">
          <cell r="B19">
            <v>5.0000000000000001E-3</v>
          </cell>
        </row>
        <row r="23">
          <cell r="B23">
            <v>1.2999999999999999E-2</v>
          </cell>
        </row>
        <row r="24">
          <cell r="B24">
            <v>0.03</v>
          </cell>
        </row>
        <row r="26">
          <cell r="B26">
            <v>0.02</v>
          </cell>
        </row>
      </sheetData>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12">
          <cell r="B12">
            <v>0.45619999999999999</v>
          </cell>
          <cell r="F12">
            <v>-134.78</v>
          </cell>
          <cell r="H12">
            <v>-89.78</v>
          </cell>
        </row>
        <row r="13">
          <cell r="B13">
            <v>0.28749999999999998</v>
          </cell>
          <cell r="F13">
            <v>20.220000000000006</v>
          </cell>
          <cell r="H13">
            <v>65.22</v>
          </cell>
        </row>
        <row r="14">
          <cell r="B14">
            <v>3.56E-2</v>
          </cell>
          <cell r="F14">
            <v>-134.78</v>
          </cell>
          <cell r="H14">
            <v>-89.78</v>
          </cell>
        </row>
        <row r="16">
          <cell r="B16">
            <v>2.63E-2</v>
          </cell>
          <cell r="F16">
            <v>-29.779999999999994</v>
          </cell>
          <cell r="H16">
            <v>15.220000000000006</v>
          </cell>
        </row>
        <row r="17">
          <cell r="B17">
            <v>1.0699999999999999E-2</v>
          </cell>
          <cell r="F17">
            <v>145.22</v>
          </cell>
          <cell r="H17">
            <v>190.22</v>
          </cell>
        </row>
        <row r="18">
          <cell r="B18">
            <v>1.0699999999999999E-2</v>
          </cell>
          <cell r="F18">
            <v>515.22</v>
          </cell>
          <cell r="H18">
            <v>560.22</v>
          </cell>
        </row>
        <row r="19">
          <cell r="B19">
            <v>0</v>
          </cell>
          <cell r="F19">
            <v>-204.78</v>
          </cell>
          <cell r="H19">
            <v>-159.78</v>
          </cell>
        </row>
        <row r="20">
          <cell r="B20">
            <v>2.5000000000000001E-3</v>
          </cell>
          <cell r="F20">
            <v>-64.78</v>
          </cell>
          <cell r="H20">
            <v>-19.78</v>
          </cell>
        </row>
        <row r="21">
          <cell r="B21">
            <v>8.1900000000000001E-2</v>
          </cell>
          <cell r="F21">
            <v>-165.78</v>
          </cell>
          <cell r="H21">
            <v>-120.78</v>
          </cell>
        </row>
        <row r="23">
          <cell r="B23">
            <v>1.0200000000000001E-2</v>
          </cell>
          <cell r="F23">
            <v>1275.22</v>
          </cell>
          <cell r="H23">
            <v>1320.22</v>
          </cell>
        </row>
        <row r="24">
          <cell r="B24">
            <v>2.2200000000000001E-2</v>
          </cell>
          <cell r="F24">
            <v>57.220000000000006</v>
          </cell>
          <cell r="H24">
            <v>102.22</v>
          </cell>
        </row>
        <row r="25">
          <cell r="B25">
            <v>3.0000000000000001E-3</v>
          </cell>
          <cell r="F25">
            <v>-44.779999999999994</v>
          </cell>
          <cell r="H25">
            <v>0.22000000000000597</v>
          </cell>
        </row>
        <row r="26">
          <cell r="B26">
            <v>5.3600000000000002E-2</v>
          </cell>
          <cell r="F26">
            <v>-282.15999999999997</v>
          </cell>
          <cell r="H26">
            <v>-237.15999999999997</v>
          </cell>
        </row>
      </sheetData>
      <sheetData sheetId="1"/>
      <sheetData sheetId="2"/>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12">
          <cell r="B12">
            <v>0.45619999999999999</v>
          </cell>
          <cell r="F12">
            <v>-134.78</v>
          </cell>
          <cell r="H12">
            <v>-89.78</v>
          </cell>
        </row>
        <row r="13">
          <cell r="B13">
            <v>0.28749999999999998</v>
          </cell>
          <cell r="F13">
            <v>-34.779999999999994</v>
          </cell>
          <cell r="H13">
            <v>10.220000000000006</v>
          </cell>
        </row>
        <row r="14">
          <cell r="B14">
            <v>3.56E-2</v>
          </cell>
          <cell r="F14">
            <v>-134.78</v>
          </cell>
          <cell r="H14">
            <v>-89.78</v>
          </cell>
        </row>
        <row r="16">
          <cell r="B16">
            <v>2.63E-2</v>
          </cell>
          <cell r="F16">
            <v>-19.779999999999994</v>
          </cell>
          <cell r="H16">
            <v>25.220000000000006</v>
          </cell>
        </row>
        <row r="17">
          <cell r="B17">
            <v>1.0699999999999999E-2</v>
          </cell>
          <cell r="F17">
            <v>195.22</v>
          </cell>
          <cell r="H17">
            <v>240.22</v>
          </cell>
        </row>
        <row r="18">
          <cell r="B18">
            <v>1.0699999999999999E-2</v>
          </cell>
          <cell r="F18">
            <v>495.22</v>
          </cell>
          <cell r="H18">
            <v>540.22</v>
          </cell>
        </row>
        <row r="19">
          <cell r="B19">
            <v>0</v>
          </cell>
          <cell r="F19">
            <v>-204.78</v>
          </cell>
          <cell r="H19">
            <v>-159.78</v>
          </cell>
        </row>
        <row r="20">
          <cell r="B20">
            <v>2.5000000000000001E-3</v>
          </cell>
          <cell r="F20">
            <v>-64.78</v>
          </cell>
          <cell r="H20">
            <v>-19.78</v>
          </cell>
        </row>
        <row r="21">
          <cell r="B21">
            <v>8.1900000000000001E-2</v>
          </cell>
          <cell r="F21">
            <v>-165.78</v>
          </cell>
          <cell r="H21">
            <v>-120.78</v>
          </cell>
        </row>
        <row r="23">
          <cell r="B23">
            <v>1.0200000000000001E-2</v>
          </cell>
          <cell r="F23">
            <v>1275.22</v>
          </cell>
          <cell r="H23">
            <v>1320.22</v>
          </cell>
        </row>
        <row r="24">
          <cell r="B24">
            <v>2.2200000000000001E-2</v>
          </cell>
          <cell r="F24">
            <v>52.220000000000006</v>
          </cell>
          <cell r="H24">
            <v>97.22</v>
          </cell>
        </row>
        <row r="25">
          <cell r="B25">
            <v>3.0000000000000001E-3</v>
          </cell>
          <cell r="F25">
            <v>-44.779999999999994</v>
          </cell>
          <cell r="H25">
            <v>0.22000000000000597</v>
          </cell>
        </row>
        <row r="26">
          <cell r="B26">
            <v>5.0999999999999997E-2</v>
          </cell>
          <cell r="F26">
            <v>-170.4</v>
          </cell>
          <cell r="H26">
            <v>-125.4</v>
          </cell>
        </row>
        <row r="27">
          <cell r="B27">
            <v>2.5999999999999999E-3</v>
          </cell>
          <cell r="F27">
            <v>-282.15999999999997</v>
          </cell>
          <cell r="H27">
            <v>-237.15999999999997</v>
          </cell>
        </row>
      </sheetData>
      <sheetData sheetId="1"/>
      <sheetData sheetId="2"/>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12">
          <cell r="B12">
            <v>0.45619999999999999</v>
          </cell>
          <cell r="F12">
            <v>-142.78</v>
          </cell>
        </row>
        <row r="13">
          <cell r="B13">
            <v>0.28749999999999998</v>
          </cell>
          <cell r="F13">
            <v>-46.779999999999994</v>
          </cell>
        </row>
        <row r="14">
          <cell r="B14">
            <v>3.56E-2</v>
          </cell>
          <cell r="F14">
            <v>-142.78</v>
          </cell>
        </row>
        <row r="16">
          <cell r="B16">
            <v>2.63E-2</v>
          </cell>
          <cell r="F16">
            <v>35.220000000000006</v>
          </cell>
        </row>
        <row r="17">
          <cell r="B17">
            <v>1.0699999999999999E-2</v>
          </cell>
          <cell r="F17">
            <v>215.22</v>
          </cell>
        </row>
        <row r="18">
          <cell r="B18">
            <v>1.0699999999999999E-2</v>
          </cell>
          <cell r="F18">
            <v>535.22</v>
          </cell>
        </row>
        <row r="19">
          <cell r="B19">
            <v>0</v>
          </cell>
          <cell r="F19">
            <v>-204.78</v>
          </cell>
        </row>
        <row r="20">
          <cell r="B20">
            <v>2.5000000000000001E-3</v>
          </cell>
          <cell r="F20">
            <v>-64.78</v>
          </cell>
        </row>
        <row r="21">
          <cell r="B21">
            <v>8.1900000000000001E-2</v>
          </cell>
          <cell r="F21">
            <v>-165.78</v>
          </cell>
        </row>
        <row r="23">
          <cell r="B23">
            <v>1.0200000000000001E-2</v>
          </cell>
          <cell r="F23">
            <v>1305.22</v>
          </cell>
        </row>
        <row r="24">
          <cell r="B24">
            <v>2.2200000000000001E-2</v>
          </cell>
          <cell r="F24">
            <v>62.220000000000006</v>
          </cell>
        </row>
        <row r="25">
          <cell r="B25">
            <v>3.0000000000000001E-3</v>
          </cell>
          <cell r="F25">
            <v>-44.779999999999994</v>
          </cell>
        </row>
        <row r="26">
          <cell r="B26">
            <v>5.0999999999999997E-2</v>
          </cell>
          <cell r="F26">
            <v>-170.4</v>
          </cell>
        </row>
        <row r="27">
          <cell r="B27">
            <v>2.5999999999999999E-3</v>
          </cell>
          <cell r="F27">
            <v>-282.15999999999997</v>
          </cell>
        </row>
      </sheetData>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 Glass"/>
      <sheetName val="With Glass"/>
    </sheetNames>
    <sheetDataSet>
      <sheetData sheetId="0">
        <row r="12">
          <cell r="F12">
            <v>54.339999999999996</v>
          </cell>
        </row>
        <row r="13">
          <cell r="F13">
            <v>70.34</v>
          </cell>
        </row>
        <row r="14">
          <cell r="F14">
            <v>44.339999999999996</v>
          </cell>
        </row>
        <row r="16">
          <cell r="F16">
            <v>89.34</v>
          </cell>
        </row>
        <row r="17">
          <cell r="F17">
            <v>184.33999999999997</v>
          </cell>
        </row>
        <row r="18">
          <cell r="F18">
            <v>364.34</v>
          </cell>
        </row>
        <row r="19">
          <cell r="F19">
            <v>-90.66</v>
          </cell>
        </row>
        <row r="23">
          <cell r="F23">
            <v>1164.3400000000001</v>
          </cell>
        </row>
        <row r="24">
          <cell r="F24">
            <v>47.339999999999996</v>
          </cell>
        </row>
        <row r="26">
          <cell r="F26">
            <v>-220.66000000000003</v>
          </cell>
        </row>
      </sheetData>
      <sheetData sheetId="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12">
          <cell r="B12">
            <v>0</v>
          </cell>
          <cell r="F12">
            <v>-147.78</v>
          </cell>
        </row>
        <row r="13">
          <cell r="B13">
            <v>0.20200000000000001</v>
          </cell>
          <cell r="F13">
            <v>-54.779999999999994</v>
          </cell>
        </row>
        <row r="14">
          <cell r="B14">
            <v>0.54300000000000004</v>
          </cell>
          <cell r="F14">
            <v>-147.78</v>
          </cell>
        </row>
        <row r="16">
          <cell r="B16">
            <v>2.7300000000000001E-2</v>
          </cell>
          <cell r="F16">
            <v>45.220000000000006</v>
          </cell>
        </row>
        <row r="17">
          <cell r="B17">
            <v>1.0699999999999999E-2</v>
          </cell>
          <cell r="F17">
            <v>245.22000000000003</v>
          </cell>
        </row>
        <row r="18">
          <cell r="B18">
            <v>1.0699999999999999E-2</v>
          </cell>
          <cell r="F18">
            <v>555.22</v>
          </cell>
        </row>
        <row r="19">
          <cell r="B19">
            <v>4.8999999999999998E-3</v>
          </cell>
          <cell r="F19">
            <v>-204.78</v>
          </cell>
        </row>
        <row r="20">
          <cell r="B20">
            <v>4.0000000000000001E-3</v>
          </cell>
          <cell r="F20">
            <v>-44.779999999999994</v>
          </cell>
        </row>
        <row r="21">
          <cell r="B21">
            <v>8.1900000000000001E-2</v>
          </cell>
          <cell r="F21">
            <v>-169.88</v>
          </cell>
        </row>
        <row r="23">
          <cell r="B23">
            <v>1.0200000000000001E-2</v>
          </cell>
          <cell r="F23">
            <v>1305.22</v>
          </cell>
        </row>
        <row r="24">
          <cell r="B24">
            <v>2.2200000000000001E-2</v>
          </cell>
          <cell r="F24">
            <v>72.22</v>
          </cell>
        </row>
        <row r="25">
          <cell r="B25">
            <v>3.0000000000000001E-3</v>
          </cell>
          <cell r="F25">
            <v>-44.779999999999994</v>
          </cell>
        </row>
        <row r="26">
          <cell r="B26">
            <v>7.7200000000000005E-2</v>
          </cell>
          <cell r="F26">
            <v>-170.4</v>
          </cell>
        </row>
        <row r="27">
          <cell r="B27">
            <v>2.5999999999999999E-3</v>
          </cell>
          <cell r="F27">
            <v>-282.15999999999997</v>
          </cell>
        </row>
      </sheetData>
      <sheetData sheetId="1"/>
      <sheetData sheetId="2"/>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oneer Price"/>
    </sheetNames>
    <sheetDataSet>
      <sheetData sheetId="0">
        <row r="12">
          <cell r="B12">
            <v>0</v>
          </cell>
          <cell r="F12">
            <v>-144.78</v>
          </cell>
        </row>
        <row r="13">
          <cell r="B13">
            <v>0.20230000000000001</v>
          </cell>
          <cell r="F13">
            <v>-54.779999999999994</v>
          </cell>
        </row>
        <row r="14">
          <cell r="B14">
            <v>0.54300000000000004</v>
          </cell>
          <cell r="F14">
            <v>-144.78</v>
          </cell>
        </row>
        <row r="16">
          <cell r="B16">
            <v>2.7300000000000001E-2</v>
          </cell>
          <cell r="F16">
            <v>55.220000000000006</v>
          </cell>
        </row>
        <row r="17">
          <cell r="B17">
            <v>1.0699999999999999E-2</v>
          </cell>
          <cell r="F17">
            <v>175.22</v>
          </cell>
        </row>
        <row r="18">
          <cell r="B18">
            <v>1.0699999999999999E-2</v>
          </cell>
          <cell r="F18">
            <v>545.22</v>
          </cell>
        </row>
        <row r="19">
          <cell r="B19">
            <v>4.8999999999999998E-3</v>
          </cell>
          <cell r="F19">
            <v>-174.78</v>
          </cell>
        </row>
        <row r="20">
          <cell r="B20">
            <v>4.0000000000000001E-3</v>
          </cell>
          <cell r="F20">
            <v>-34.779999999999994</v>
          </cell>
        </row>
        <row r="21">
          <cell r="B21">
            <v>8.1900000000000001E-2</v>
          </cell>
          <cell r="F21">
            <v>-169.88</v>
          </cell>
        </row>
        <row r="23">
          <cell r="B23">
            <v>1.0200000000000001E-2</v>
          </cell>
          <cell r="F23">
            <v>1340.22</v>
          </cell>
        </row>
        <row r="24">
          <cell r="B24">
            <v>2.2200000000000001E-2</v>
          </cell>
          <cell r="F24">
            <v>62.220000000000006</v>
          </cell>
        </row>
        <row r="25">
          <cell r="B25">
            <v>3.0000000000000001E-3</v>
          </cell>
          <cell r="F25">
            <v>-44.779999999999994</v>
          </cell>
        </row>
        <row r="26">
          <cell r="B26">
            <v>7.7200000000000005E-2</v>
          </cell>
          <cell r="F26">
            <v>-170.4</v>
          </cell>
        </row>
        <row r="27">
          <cell r="B27">
            <v>2.5999999999999999E-3</v>
          </cell>
          <cell r="F27">
            <v>-282.15999999999997</v>
          </cell>
        </row>
      </sheetData>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oneer Price"/>
    </sheetNames>
    <sheetDataSet>
      <sheetData sheetId="0">
        <row r="12">
          <cell r="B12">
            <v>0</v>
          </cell>
          <cell r="F12">
            <v>-134.78</v>
          </cell>
        </row>
        <row r="13">
          <cell r="B13">
            <v>0.20230000000000001</v>
          </cell>
          <cell r="F13">
            <v>-47.779999999999994</v>
          </cell>
        </row>
        <row r="14">
          <cell r="B14">
            <v>0.54300000000000004</v>
          </cell>
          <cell r="F14">
            <v>-134.78</v>
          </cell>
        </row>
        <row r="16">
          <cell r="B16">
            <v>2.7300000000000001E-2</v>
          </cell>
          <cell r="F16">
            <v>95.22</v>
          </cell>
        </row>
        <row r="17">
          <cell r="B17">
            <v>1.0699999999999999E-2</v>
          </cell>
          <cell r="F17">
            <v>205.22</v>
          </cell>
        </row>
        <row r="18">
          <cell r="B18">
            <v>1.0699999999999999E-2</v>
          </cell>
          <cell r="F18">
            <v>605.22</v>
          </cell>
        </row>
        <row r="19">
          <cell r="B19">
            <v>4.8999999999999998E-3</v>
          </cell>
          <cell r="F19">
            <v>-174.78</v>
          </cell>
        </row>
        <row r="20">
          <cell r="B20">
            <v>4.0000000000000001E-3</v>
          </cell>
          <cell r="F20">
            <v>-4.779999999999994</v>
          </cell>
        </row>
        <row r="21">
          <cell r="B21">
            <v>8.1900000000000001E-2</v>
          </cell>
          <cell r="F21">
            <v>-169.88</v>
          </cell>
        </row>
        <row r="23">
          <cell r="B23">
            <v>1.0200000000000001E-2</v>
          </cell>
          <cell r="F23">
            <v>1475.22</v>
          </cell>
        </row>
        <row r="24">
          <cell r="B24">
            <v>2.2200000000000001E-2</v>
          </cell>
          <cell r="F24">
            <v>57.220000000000006</v>
          </cell>
        </row>
        <row r="25">
          <cell r="B25">
            <v>3.0000000000000001E-3</v>
          </cell>
          <cell r="F25">
            <v>-24.779999999999994</v>
          </cell>
        </row>
        <row r="26">
          <cell r="B26">
            <v>7.7200000000000005E-2</v>
          </cell>
          <cell r="F26">
            <v>-170.4</v>
          </cell>
        </row>
        <row r="27">
          <cell r="B27">
            <v>2.5999999999999999E-3</v>
          </cell>
          <cell r="F27">
            <v>-282.15999999999997</v>
          </cell>
        </row>
      </sheetData>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E_1"/>
      <sheetName val="Multi Family true up"/>
    </sheetNames>
    <sheetDataSet>
      <sheetData sheetId="0"/>
      <sheetData sheetId="1">
        <row r="5">
          <cell r="B5">
            <v>69.09</v>
          </cell>
          <cell r="C5">
            <v>75.67</v>
          </cell>
          <cell r="D5">
            <v>65.8</v>
          </cell>
          <cell r="E5">
            <v>72.38</v>
          </cell>
          <cell r="F5">
            <v>69.089999999999989</v>
          </cell>
          <cell r="G5">
            <v>75.669999999999987</v>
          </cell>
          <cell r="H5">
            <v>69.089999999999989</v>
          </cell>
        </row>
      </sheetData>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9 - Recycle"/>
      <sheetName val="Commodity Pricing and Volumes"/>
      <sheetName val="Interject_LastPulledValues"/>
      <sheetName val="County Reporting"/>
      <sheetName val="JMK Commingle Breakdown"/>
      <sheetName val="Pioneer Reconciliation"/>
      <sheetName val="Pioneer Report Dec 2017"/>
      <sheetName val="JMK - Vashon Dec 2017"/>
      <sheetName val="JMK - DM Disposal Dec 2017"/>
      <sheetName val="JMK - DM Recycling Dec 2017"/>
      <sheetName val="Caraustar Dec 2017"/>
      <sheetName val="IP Dec 2017"/>
      <sheetName val="Sonoco Dec 2017"/>
      <sheetName val="WWDEC2017"/>
      <sheetName val="Stat Reporting"/>
      <sheetName val="Route Mapping updated 8.31"/>
      <sheetName val="Cheat Sheet"/>
      <sheetName val="Sheet1"/>
    </sheetNames>
    <sheetDataSet>
      <sheetData sheetId="0"/>
      <sheetData sheetId="1"/>
      <sheetData sheetId="2"/>
      <sheetData sheetId="3">
        <row r="21">
          <cell r="C21">
            <v>1183.2108857171218</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ject_LastPulledValues"/>
      <sheetName val="County Reporting"/>
    </sheetNames>
    <sheetDataSet>
      <sheetData sheetId="0"/>
      <sheetData sheetId="1">
        <row r="8">
          <cell r="C8">
            <v>1302.5572371187063</v>
          </cell>
        </row>
      </sheetData>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9 - Recycle"/>
      <sheetName val="Commodity Pricing and Volumes"/>
      <sheetName val="Interject_LastPulledValues"/>
      <sheetName val="County Reporting"/>
      <sheetName val="JMK Commingle Breakdown"/>
      <sheetName val="Pioneer Reconciliation"/>
      <sheetName val="Pioneer Report Feb 2018"/>
      <sheetName val="JMK - Vashon Feb 2018"/>
      <sheetName val="JMK - DM Disposal Feb 2018"/>
      <sheetName val="JMK - DM Recycling Feb 2018"/>
      <sheetName val="Caraustar Feb 2018"/>
      <sheetName val="IP Feb 2018"/>
      <sheetName val="Sonoco Feb 2018"/>
      <sheetName val="WWFeb2018"/>
      <sheetName val="Stat Reporting"/>
      <sheetName val="Route Mapping updated 8.31"/>
      <sheetName val="Cheat Sheet"/>
      <sheetName val="Sheet1"/>
    </sheetNames>
    <sheetDataSet>
      <sheetData sheetId="0"/>
      <sheetData sheetId="1"/>
      <sheetData sheetId="2"/>
      <sheetData sheetId="3">
        <row r="8">
          <cell r="C8">
            <v>925.77433832840904</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9 - Recycle"/>
      <sheetName val="Commodity Pricing and Volumes"/>
      <sheetName val="Interject_LastPulledValues"/>
      <sheetName val="County Reporting"/>
      <sheetName val="JMK Commingle Breakdown"/>
      <sheetName val="Pioneer Reconciliation"/>
      <sheetName val="Pioneer Report Mar 2018"/>
      <sheetName val="JMK - Vashon Mar 2018"/>
      <sheetName val="JMK - DM Disposal Mar 2018"/>
      <sheetName val="JMK - DM Recycling Mar 2018"/>
      <sheetName val="Caraustar Mar 2018"/>
      <sheetName val="IP Mar 2018"/>
      <sheetName val="Sonoco Mar 2018"/>
      <sheetName val="WW201803"/>
      <sheetName val="Stat Reporting"/>
      <sheetName val="Route Mapping updated 8.31"/>
      <sheetName val="Cheat Sheet"/>
      <sheetName val="Sheet1"/>
    </sheetNames>
    <sheetDataSet>
      <sheetData sheetId="0"/>
      <sheetData sheetId="1"/>
      <sheetData sheetId="2"/>
      <sheetData sheetId="3">
        <row r="8">
          <cell r="C8">
            <v>1220.8804048026811</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9 - Recycle"/>
      <sheetName val="Commodity Pricing and Volumes"/>
      <sheetName val="Interject_LastPulledValues"/>
      <sheetName val="County Reporting"/>
      <sheetName val="JMK Commingle Breakdown"/>
      <sheetName val="Pioneer Reconciliation"/>
      <sheetName val="Pioneer Report 2018.04"/>
      <sheetName val="JMK - Vashon 2018.04"/>
      <sheetName val="JMK - DM Disposal 2018.04"/>
      <sheetName val="JMK - DM Recycling 2018.04"/>
      <sheetName val="Caraustar 2018.04"/>
      <sheetName val="IP 2018.04"/>
      <sheetName val="Sonoco 2018.04"/>
      <sheetName val="WW201804"/>
      <sheetName val="Stat Reporting"/>
      <sheetName val="Route Mapping updated5.2.2018"/>
      <sheetName val="Cheat Sheet"/>
      <sheetName val="Sheet1"/>
    </sheetNames>
    <sheetDataSet>
      <sheetData sheetId="0"/>
      <sheetData sheetId="1"/>
      <sheetData sheetId="2"/>
      <sheetData sheetId="3">
        <row r="8">
          <cell r="C8">
            <v>1155.9633252873559</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9 - Recycle"/>
      <sheetName val="Commodity Pricing and Volumes"/>
      <sheetName val="Interject_LastPulledValues"/>
      <sheetName val="County Reporting"/>
      <sheetName val="JMK Commingle Breakdown"/>
      <sheetName val="Pioneer Reconciliation"/>
      <sheetName val="Pioneer Report 2018.05"/>
      <sheetName val="JMK - Vashon 2018.04"/>
      <sheetName val="JMK - DM Disposal 2018.05"/>
      <sheetName val="JMK - DM Recycling 2018.05"/>
      <sheetName val="Caraustar 2018.05"/>
      <sheetName val="IP 2018.05"/>
      <sheetName val="Sonoco 2018.05"/>
      <sheetName val="WW201805"/>
      <sheetName val="Stat Reporting"/>
      <sheetName val="Route Mapping updated5.2.2018"/>
      <sheetName val="Cheat Sheet"/>
      <sheetName val="Sheet1"/>
    </sheetNames>
    <sheetDataSet>
      <sheetData sheetId="0"/>
      <sheetData sheetId="1"/>
      <sheetData sheetId="2"/>
      <sheetData sheetId="3">
        <row r="8">
          <cell r="C8">
            <v>1304.0709544156812</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 Glass"/>
      <sheetName val="With Glass"/>
    </sheetNames>
    <sheetDataSet>
      <sheetData sheetId="0">
        <row r="12">
          <cell r="F12">
            <v>61.339999999999996</v>
          </cell>
        </row>
        <row r="13">
          <cell r="F13">
            <v>81.34</v>
          </cell>
        </row>
        <row r="14">
          <cell r="F14">
            <v>51.339999999999996</v>
          </cell>
        </row>
        <row r="16">
          <cell r="F16">
            <v>99.339999999999975</v>
          </cell>
        </row>
        <row r="17">
          <cell r="F17">
            <v>184.33999999999997</v>
          </cell>
        </row>
        <row r="18">
          <cell r="F18">
            <v>424.34</v>
          </cell>
        </row>
        <row r="19">
          <cell r="F19">
            <v>-105.66</v>
          </cell>
        </row>
        <row r="23">
          <cell r="F23">
            <v>1164.3400000000001</v>
          </cell>
        </row>
        <row r="24">
          <cell r="F24">
            <v>62.339999999999996</v>
          </cell>
        </row>
        <row r="26">
          <cell r="F26">
            <v>-220.66000000000003</v>
          </cell>
        </row>
      </sheetData>
      <sheetData sheetId="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9 - Recycle"/>
      <sheetName val="Commodity Pricing and Volumes"/>
      <sheetName val="Interject_LastPulledValues"/>
      <sheetName val="County Reporting"/>
      <sheetName val="JMK Commingle Breakdown"/>
      <sheetName val="Pioneer Reconciliation"/>
      <sheetName val="Pioneer Report 2018.06"/>
      <sheetName val="JMK - Vashon 2018.06"/>
      <sheetName val="JMK - DM Disposal 2018.06"/>
      <sheetName val="JMK - DM Recycling 2018.06"/>
      <sheetName val="Caraustar 2018.06"/>
      <sheetName val="IP 2018.06"/>
      <sheetName val="Sonoco 2018.06"/>
      <sheetName val="WW201806"/>
      <sheetName val="Stat Reporting"/>
      <sheetName val="Route Mapping updated5.2.2018"/>
      <sheetName val="Cheat Sheet"/>
      <sheetName val="Sheet1"/>
    </sheetNames>
    <sheetDataSet>
      <sheetData sheetId="0"/>
      <sheetData sheetId="1"/>
      <sheetData sheetId="2"/>
      <sheetData sheetId="3">
        <row r="8">
          <cell r="C8">
            <v>1188.1719045677</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 Glass"/>
      <sheetName val="With Glass"/>
    </sheetNames>
    <sheetDataSet>
      <sheetData sheetId="0">
        <row r="12">
          <cell r="F12">
            <v>68.34</v>
          </cell>
        </row>
        <row r="13">
          <cell r="F13">
            <v>91.34</v>
          </cell>
        </row>
        <row r="14">
          <cell r="F14">
            <v>54.339999999999996</v>
          </cell>
        </row>
        <row r="16">
          <cell r="F16">
            <v>119.33999999999997</v>
          </cell>
        </row>
        <row r="17">
          <cell r="F17">
            <v>204.33999999999997</v>
          </cell>
        </row>
        <row r="18">
          <cell r="F18">
            <v>444.34</v>
          </cell>
        </row>
        <row r="19">
          <cell r="F19">
            <v>-105.66</v>
          </cell>
        </row>
        <row r="23">
          <cell r="F23">
            <v>1264.3400000000001</v>
          </cell>
        </row>
        <row r="24">
          <cell r="F24">
            <v>62.339999999999996</v>
          </cell>
        </row>
        <row r="26">
          <cell r="F26">
            <v>-220.66000000000003</v>
          </cell>
        </row>
      </sheetData>
      <sheetData sheetId="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 Glass"/>
      <sheetName val="With Glass"/>
    </sheetNames>
    <sheetDataSet>
      <sheetData sheetId="0">
        <row r="12">
          <cell r="F12">
            <v>75.34</v>
          </cell>
        </row>
        <row r="13">
          <cell r="F13">
            <v>121.33999999999997</v>
          </cell>
        </row>
        <row r="14">
          <cell r="F14">
            <v>62.339999999999996</v>
          </cell>
        </row>
        <row r="16">
          <cell r="F16">
            <v>159.33999999999997</v>
          </cell>
        </row>
        <row r="17">
          <cell r="F17">
            <v>244.33999999999997</v>
          </cell>
        </row>
        <row r="18">
          <cell r="F18">
            <v>524.34</v>
          </cell>
        </row>
        <row r="19">
          <cell r="F19">
            <v>-150.66</v>
          </cell>
        </row>
        <row r="23">
          <cell r="F23">
            <v>1304.3400000000001</v>
          </cell>
        </row>
        <row r="24">
          <cell r="F24">
            <v>82.34</v>
          </cell>
        </row>
        <row r="26">
          <cell r="F26">
            <v>-220.66000000000003</v>
          </cell>
        </row>
      </sheetData>
      <sheetData sheetId="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 Glass"/>
      <sheetName val="With Glass"/>
    </sheetNames>
    <sheetDataSet>
      <sheetData sheetId="0">
        <row r="12">
          <cell r="F12">
            <v>4.3399999999999963</v>
          </cell>
        </row>
        <row r="13">
          <cell r="F13">
            <v>84.34</v>
          </cell>
        </row>
        <row r="14">
          <cell r="F14">
            <v>-5.6600000000000037</v>
          </cell>
        </row>
        <row r="16">
          <cell r="F16">
            <v>174.33999999999997</v>
          </cell>
        </row>
        <row r="17">
          <cell r="F17">
            <v>324.33999999999997</v>
          </cell>
        </row>
        <row r="18">
          <cell r="F18">
            <v>524.34</v>
          </cell>
        </row>
        <row r="19">
          <cell r="F19">
            <v>-160.66000000000003</v>
          </cell>
        </row>
        <row r="23">
          <cell r="F23">
            <v>1324.3400000000001</v>
          </cell>
        </row>
        <row r="24">
          <cell r="F24">
            <v>67.34</v>
          </cell>
        </row>
        <row r="26">
          <cell r="F26">
            <v>-220.66000000000003</v>
          </cell>
        </row>
      </sheetData>
      <sheetData sheetId="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 Glass"/>
      <sheetName val="With Glass"/>
    </sheetNames>
    <sheetDataSet>
      <sheetData sheetId="0">
        <row r="12">
          <cell r="F12">
            <v>9.3399999999999963</v>
          </cell>
        </row>
        <row r="13">
          <cell r="F13">
            <v>94.34</v>
          </cell>
        </row>
        <row r="14">
          <cell r="F14">
            <v>-0.66000000000000369</v>
          </cell>
        </row>
        <row r="16">
          <cell r="F16">
            <v>184.33999999999997</v>
          </cell>
        </row>
        <row r="17">
          <cell r="F17">
            <v>184.33999999999997</v>
          </cell>
        </row>
        <row r="18">
          <cell r="F18">
            <v>494.34000000000003</v>
          </cell>
        </row>
        <row r="19">
          <cell r="F19">
            <v>-160.66000000000003</v>
          </cell>
        </row>
        <row r="23">
          <cell r="F23">
            <v>1284.3400000000001</v>
          </cell>
        </row>
        <row r="24">
          <cell r="F24">
            <v>57.339999999999996</v>
          </cell>
        </row>
        <row r="26">
          <cell r="F26">
            <v>-220.66000000000003</v>
          </cell>
        </row>
      </sheetData>
      <sheetData sheetId="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 Glass"/>
      <sheetName val="With Glass"/>
    </sheetNames>
    <sheetDataSet>
      <sheetData sheetId="0">
        <row r="12">
          <cell r="F12">
            <v>27.339999999999996</v>
          </cell>
        </row>
        <row r="13">
          <cell r="F13">
            <v>134.33999999999997</v>
          </cell>
        </row>
        <row r="14">
          <cell r="F14">
            <v>19.339999999999996</v>
          </cell>
        </row>
        <row r="16">
          <cell r="F16">
            <v>199.33999999999997</v>
          </cell>
        </row>
        <row r="17">
          <cell r="F17">
            <v>184.33999999999997</v>
          </cell>
        </row>
        <row r="18">
          <cell r="F18">
            <v>484.34000000000003</v>
          </cell>
        </row>
        <row r="19">
          <cell r="F19">
            <v>-165.66000000000003</v>
          </cell>
        </row>
        <row r="23">
          <cell r="F23">
            <v>1184.3400000000001</v>
          </cell>
        </row>
        <row r="24">
          <cell r="F24">
            <v>47.339999999999996</v>
          </cell>
        </row>
        <row r="26">
          <cell r="F26">
            <v>-220.66000000000003</v>
          </cell>
        </row>
      </sheetData>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4"/>
  <sheetViews>
    <sheetView showOutlineSymbols="0" topLeftCell="C2" zoomScale="87" workbookViewId="0"/>
  </sheetViews>
  <sheetFormatPr defaultColWidth="11.44140625" defaultRowHeight="15" x14ac:dyDescent="0.2"/>
  <sheetData>
    <row r="1" spans="1:7" x14ac:dyDescent="0.2">
      <c r="D1" t="s">
        <v>0</v>
      </c>
    </row>
    <row r="2" spans="1:7" x14ac:dyDescent="0.2">
      <c r="D2" t="s">
        <v>1</v>
      </c>
    </row>
    <row r="3" spans="1:7" x14ac:dyDescent="0.2">
      <c r="D3" t="s">
        <v>2</v>
      </c>
    </row>
    <row r="5" spans="1:7" x14ac:dyDescent="0.2">
      <c r="B5" t="s">
        <v>3</v>
      </c>
    </row>
    <row r="7" spans="1:7" x14ac:dyDescent="0.2">
      <c r="B7" t="s">
        <v>4</v>
      </c>
    </row>
    <row r="8" spans="1:7" x14ac:dyDescent="0.2">
      <c r="B8" t="s">
        <v>5</v>
      </c>
    </row>
    <row r="9" spans="1:7" x14ac:dyDescent="0.2">
      <c r="A9" t="s">
        <v>6</v>
      </c>
      <c r="B9" t="s">
        <v>6</v>
      </c>
    </row>
    <row r="10" spans="1:7" x14ac:dyDescent="0.2">
      <c r="G10" t="s">
        <v>7</v>
      </c>
    </row>
    <row r="11" spans="1:7" x14ac:dyDescent="0.2">
      <c r="G11" t="s">
        <v>8</v>
      </c>
    </row>
    <row r="12" spans="1:7" x14ac:dyDescent="0.2">
      <c r="B12" t="s">
        <v>9</v>
      </c>
      <c r="D12" t="s">
        <v>10</v>
      </c>
      <c r="E12" t="s">
        <v>11</v>
      </c>
      <c r="F12" t="s">
        <v>12</v>
      </c>
      <c r="G12" t="s">
        <v>13</v>
      </c>
    </row>
    <row r="14" spans="1:7" x14ac:dyDescent="0.2">
      <c r="B14" t="s">
        <v>14</v>
      </c>
      <c r="D14">
        <v>211.36</v>
      </c>
      <c r="E14">
        <v>212.15</v>
      </c>
      <c r="F14">
        <v>236.31</v>
      </c>
    </row>
    <row r="15" spans="1:7" x14ac:dyDescent="0.2">
      <c r="B15" t="s">
        <v>15</v>
      </c>
      <c r="D15">
        <v>150.77000000000001</v>
      </c>
      <c r="E15">
        <v>142.97</v>
      </c>
      <c r="F15">
        <v>156.87</v>
      </c>
    </row>
    <row r="16" spans="1:7" x14ac:dyDescent="0.2">
      <c r="B16" t="s">
        <v>16</v>
      </c>
      <c r="D16">
        <v>25.96</v>
      </c>
      <c r="E16">
        <v>23.21</v>
      </c>
      <c r="F16">
        <v>24.24</v>
      </c>
    </row>
    <row r="17" spans="2:6" x14ac:dyDescent="0.2">
      <c r="B17" t="s">
        <v>17</v>
      </c>
      <c r="D17">
        <v>83.45</v>
      </c>
      <c r="E17">
        <v>61.53</v>
      </c>
      <c r="F17">
        <v>110.97</v>
      </c>
    </row>
    <row r="18" spans="2:6" x14ac:dyDescent="0.2">
      <c r="B18" t="s">
        <v>18</v>
      </c>
      <c r="D18">
        <v>11.95</v>
      </c>
      <c r="E18">
        <v>9.65</v>
      </c>
      <c r="F18">
        <v>10.58</v>
      </c>
    </row>
    <row r="19" spans="2:6" x14ac:dyDescent="0.2">
      <c r="B19" t="s">
        <v>19</v>
      </c>
      <c r="D19">
        <v>23.03</v>
      </c>
      <c r="E19">
        <v>18.649999999999999</v>
      </c>
      <c r="F19">
        <v>20.55</v>
      </c>
    </row>
    <row r="20" spans="2:6" x14ac:dyDescent="0.2">
      <c r="B20" t="s">
        <v>20</v>
      </c>
      <c r="D20">
        <v>0</v>
      </c>
      <c r="E20">
        <v>0</v>
      </c>
      <c r="F20">
        <v>0</v>
      </c>
    </row>
    <row r="21" spans="2:6" x14ac:dyDescent="0.2">
      <c r="B21" t="s">
        <v>21</v>
      </c>
      <c r="D21">
        <v>0</v>
      </c>
      <c r="E21">
        <v>0</v>
      </c>
      <c r="F21">
        <v>0</v>
      </c>
    </row>
    <row r="22" spans="2:6" x14ac:dyDescent="0.2">
      <c r="B22" t="s">
        <v>22</v>
      </c>
      <c r="D22">
        <f>SUM(D14:D21)</f>
        <v>506.52</v>
      </c>
      <c r="E22">
        <f>SUM(E14:E21)</f>
        <v>468.15999999999997</v>
      </c>
      <c r="F22">
        <f>SUM(F14:F21)</f>
        <v>559.52</v>
      </c>
    </row>
    <row r="25" spans="2:6" x14ac:dyDescent="0.2">
      <c r="B25" t="s">
        <v>23</v>
      </c>
    </row>
    <row r="27" spans="2:6" x14ac:dyDescent="0.2">
      <c r="B27" t="s">
        <v>14</v>
      </c>
      <c r="D27">
        <v>22.5</v>
      </c>
      <c r="E27">
        <v>22.5</v>
      </c>
      <c r="F27">
        <v>22.5</v>
      </c>
    </row>
    <row r="28" spans="2:6" x14ac:dyDescent="0.2">
      <c r="B28" t="s">
        <v>15</v>
      </c>
      <c r="D28">
        <v>-2</v>
      </c>
      <c r="E28">
        <v>-2</v>
      </c>
      <c r="F28">
        <v>-2</v>
      </c>
    </row>
    <row r="29" spans="2:6" x14ac:dyDescent="0.2">
      <c r="B29" t="s">
        <v>16</v>
      </c>
      <c r="D29">
        <v>45</v>
      </c>
      <c r="E29">
        <v>45</v>
      </c>
      <c r="F29">
        <v>45</v>
      </c>
    </row>
    <row r="30" spans="2:6" x14ac:dyDescent="0.2">
      <c r="B30" t="s">
        <v>17</v>
      </c>
      <c r="D30">
        <v>20</v>
      </c>
      <c r="E30">
        <v>20</v>
      </c>
      <c r="F30">
        <v>20</v>
      </c>
    </row>
    <row r="31" spans="2:6" x14ac:dyDescent="0.2">
      <c r="B31" t="s">
        <v>18</v>
      </c>
      <c r="D31">
        <v>500</v>
      </c>
      <c r="E31">
        <v>500</v>
      </c>
      <c r="F31">
        <v>500</v>
      </c>
    </row>
    <row r="32" spans="2:6" x14ac:dyDescent="0.2">
      <c r="B32" t="s">
        <v>19</v>
      </c>
      <c r="D32">
        <v>15</v>
      </c>
      <c r="E32">
        <v>15</v>
      </c>
      <c r="F32">
        <v>15</v>
      </c>
    </row>
    <row r="33" spans="2:7" x14ac:dyDescent="0.2">
      <c r="B33" t="s">
        <v>20</v>
      </c>
      <c r="D33">
        <v>0</v>
      </c>
      <c r="E33">
        <v>0</v>
      </c>
      <c r="F33">
        <v>0</v>
      </c>
    </row>
    <row r="34" spans="2:7" x14ac:dyDescent="0.2">
      <c r="B34" t="s">
        <v>21</v>
      </c>
      <c r="D34">
        <v>0</v>
      </c>
      <c r="E34">
        <v>0</v>
      </c>
      <c r="F34">
        <v>0</v>
      </c>
    </row>
    <row r="36" spans="2:7" x14ac:dyDescent="0.2">
      <c r="B36" t="s">
        <v>24</v>
      </c>
    </row>
    <row r="38" spans="2:7" x14ac:dyDescent="0.2">
      <c r="B38" t="s">
        <v>14</v>
      </c>
      <c r="D38">
        <f t="shared" ref="D38:F40" si="0">D14*D27</f>
        <v>4755.6000000000004</v>
      </c>
      <c r="E38">
        <f t="shared" si="0"/>
        <v>4773.375</v>
      </c>
      <c r="F38">
        <f t="shared" si="0"/>
        <v>5316.9750000000004</v>
      </c>
    </row>
    <row r="39" spans="2:7" x14ac:dyDescent="0.2">
      <c r="B39" t="s">
        <v>15</v>
      </c>
      <c r="D39">
        <f t="shared" si="0"/>
        <v>-301.54000000000002</v>
      </c>
      <c r="E39">
        <f t="shared" si="0"/>
        <v>-285.94</v>
      </c>
      <c r="F39">
        <f t="shared" si="0"/>
        <v>-313.74</v>
      </c>
    </row>
    <row r="40" spans="2:7" x14ac:dyDescent="0.2">
      <c r="B40" t="s">
        <v>16</v>
      </c>
      <c r="D40">
        <f t="shared" si="0"/>
        <v>1168.2</v>
      </c>
      <c r="E40">
        <f t="shared" si="0"/>
        <v>1044.45</v>
      </c>
      <c r="F40">
        <f t="shared" si="0"/>
        <v>1090.8</v>
      </c>
    </row>
    <row r="41" spans="2:7" x14ac:dyDescent="0.2">
      <c r="B41" t="s">
        <v>17</v>
      </c>
      <c r="D41">
        <v>1519.77</v>
      </c>
      <c r="E41">
        <v>1025.6199999999999</v>
      </c>
      <c r="F41">
        <v>2249.8000000000002</v>
      </c>
    </row>
    <row r="42" spans="2:7" x14ac:dyDescent="0.2">
      <c r="B42" t="s">
        <v>18</v>
      </c>
      <c r="D42">
        <f t="shared" ref="D42:F45" si="1">D18*D31</f>
        <v>5975</v>
      </c>
      <c r="E42">
        <f t="shared" si="1"/>
        <v>4825</v>
      </c>
      <c r="F42">
        <f t="shared" si="1"/>
        <v>5290</v>
      </c>
    </row>
    <row r="43" spans="2:7" x14ac:dyDescent="0.2">
      <c r="B43" t="s">
        <v>19</v>
      </c>
      <c r="D43">
        <f t="shared" si="1"/>
        <v>345.45000000000005</v>
      </c>
      <c r="E43">
        <f t="shared" si="1"/>
        <v>279.75</v>
      </c>
      <c r="F43">
        <f t="shared" si="1"/>
        <v>308.25</v>
      </c>
    </row>
    <row r="44" spans="2:7" x14ac:dyDescent="0.2">
      <c r="B44" t="s">
        <v>20</v>
      </c>
      <c r="D44">
        <f t="shared" si="1"/>
        <v>0</v>
      </c>
      <c r="E44">
        <f t="shared" si="1"/>
        <v>0</v>
      </c>
      <c r="F44">
        <f t="shared" si="1"/>
        <v>0</v>
      </c>
    </row>
    <row r="45" spans="2:7" x14ac:dyDescent="0.2">
      <c r="B45" t="s">
        <v>21</v>
      </c>
      <c r="D45">
        <f t="shared" si="1"/>
        <v>0</v>
      </c>
      <c r="E45">
        <f t="shared" si="1"/>
        <v>0</v>
      </c>
      <c r="F45">
        <f t="shared" si="1"/>
        <v>0</v>
      </c>
    </row>
    <row r="47" spans="2:7" x14ac:dyDescent="0.2">
      <c r="B47" t="s">
        <v>25</v>
      </c>
      <c r="D47">
        <f>SUM(D38:D46)</f>
        <v>13462.480000000001</v>
      </c>
      <c r="E47">
        <f>SUM(E38:E46)</f>
        <v>11662.255000000001</v>
      </c>
      <c r="F47">
        <f>SUM(F38:F46)</f>
        <v>13942.085000000001</v>
      </c>
      <c r="G47">
        <f>SUM(D47:F47)/3</f>
        <v>13022.273333333333</v>
      </c>
    </row>
    <row r="50" spans="2:7" x14ac:dyDescent="0.2">
      <c r="B50" t="s">
        <v>26</v>
      </c>
      <c r="D50">
        <v>27992</v>
      </c>
      <c r="E50">
        <v>28207</v>
      </c>
      <c r="F50">
        <v>28580</v>
      </c>
      <c r="G50">
        <f>SUM(D50:F50)/3</f>
        <v>28259.666666666668</v>
      </c>
    </row>
    <row r="54" spans="2:7" x14ac:dyDescent="0.2">
      <c r="B54" t="s">
        <v>27</v>
      </c>
      <c r="G54">
        <f>G47/G50</f>
        <v>0.46080774720154749</v>
      </c>
    </row>
  </sheetData>
  <phoneticPr fontId="0" type="noConversion"/>
  <pageMargins left="0.35" right="0.35" top="0.75" bottom="0.75" header="0.5" footer="0.5"/>
  <pageSetup orientation="portrait" horizontalDpi="4294967293" verticalDpi="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67"/>
  <sheetViews>
    <sheetView showOutlineSymbols="0" zoomScale="87" workbookViewId="0">
      <selection activeCell="E28" sqref="E28"/>
    </sheetView>
  </sheetViews>
  <sheetFormatPr defaultColWidth="11.44140625" defaultRowHeight="15" x14ac:dyDescent="0.2"/>
  <sheetData>
    <row r="2" spans="1:10" x14ac:dyDescent="0.2">
      <c r="E2" t="s">
        <v>0</v>
      </c>
    </row>
    <row r="3" spans="1:10" x14ac:dyDescent="0.2">
      <c r="E3" t="s">
        <v>1</v>
      </c>
    </row>
    <row r="4" spans="1:10" x14ac:dyDescent="0.2">
      <c r="E4" t="s">
        <v>2</v>
      </c>
    </row>
    <row r="5" spans="1:10" x14ac:dyDescent="0.2">
      <c r="E5" t="s">
        <v>157</v>
      </c>
    </row>
    <row r="7" spans="1:10" x14ac:dyDescent="0.2">
      <c r="B7" t="s">
        <v>81</v>
      </c>
    </row>
    <row r="9" spans="1:10" x14ac:dyDescent="0.2">
      <c r="B9" t="s">
        <v>14</v>
      </c>
      <c r="C9" t="s">
        <v>15</v>
      </c>
      <c r="D9" t="s">
        <v>16</v>
      </c>
      <c r="E9" t="s">
        <v>17</v>
      </c>
      <c r="F9" t="s">
        <v>18</v>
      </c>
      <c r="G9" t="s">
        <v>19</v>
      </c>
      <c r="H9" t="s">
        <v>132</v>
      </c>
      <c r="I9" t="s">
        <v>83</v>
      </c>
      <c r="J9" t="s">
        <v>84</v>
      </c>
    </row>
    <row r="10" spans="1:10" x14ac:dyDescent="0.2">
      <c r="A10" t="s">
        <v>9</v>
      </c>
    </row>
    <row r="11" spans="1:10" x14ac:dyDescent="0.2">
      <c r="A11" t="s">
        <v>158</v>
      </c>
      <c r="B11">
        <v>0</v>
      </c>
      <c r="C11">
        <v>0</v>
      </c>
      <c r="D11">
        <v>0</v>
      </c>
      <c r="E11">
        <v>0</v>
      </c>
      <c r="F11">
        <v>0</v>
      </c>
      <c r="G11">
        <v>0</v>
      </c>
      <c r="H11">
        <v>0</v>
      </c>
      <c r="I11">
        <v>0</v>
      </c>
      <c r="J11">
        <f t="shared" ref="J11:J24" si="0">SUM(B11:I11)</f>
        <v>0</v>
      </c>
    </row>
    <row r="12" spans="1:10" x14ac:dyDescent="0.2">
      <c r="A12" t="s">
        <v>34</v>
      </c>
      <c r="B12">
        <v>0</v>
      </c>
      <c r="C12">
        <v>0</v>
      </c>
      <c r="D12">
        <v>0</v>
      </c>
      <c r="E12">
        <v>0</v>
      </c>
      <c r="F12">
        <v>0</v>
      </c>
      <c r="G12">
        <v>0</v>
      </c>
      <c r="H12">
        <v>0</v>
      </c>
      <c r="I12">
        <v>0</v>
      </c>
      <c r="J12">
        <f t="shared" si="0"/>
        <v>0</v>
      </c>
    </row>
    <row r="13" spans="1:10" x14ac:dyDescent="0.2">
      <c r="A13" t="s">
        <v>134</v>
      </c>
      <c r="B13">
        <v>0</v>
      </c>
      <c r="C13">
        <v>0</v>
      </c>
      <c r="D13">
        <v>0</v>
      </c>
      <c r="E13">
        <v>0</v>
      </c>
      <c r="F13">
        <v>0</v>
      </c>
      <c r="G13">
        <v>0</v>
      </c>
      <c r="H13">
        <v>0</v>
      </c>
      <c r="I13">
        <v>0</v>
      </c>
      <c r="J13">
        <f t="shared" si="0"/>
        <v>0</v>
      </c>
    </row>
    <row r="14" spans="1:10" x14ac:dyDescent="0.2">
      <c r="A14" t="s">
        <v>159</v>
      </c>
      <c r="B14">
        <v>0</v>
      </c>
      <c r="C14">
        <v>0</v>
      </c>
      <c r="D14">
        <v>0</v>
      </c>
      <c r="E14">
        <v>0</v>
      </c>
      <c r="F14">
        <v>0</v>
      </c>
      <c r="G14">
        <v>0</v>
      </c>
      <c r="H14">
        <v>0</v>
      </c>
      <c r="I14">
        <v>0</v>
      </c>
      <c r="J14">
        <f t="shared" si="0"/>
        <v>0</v>
      </c>
    </row>
    <row r="15" spans="1:10" x14ac:dyDescent="0.2">
      <c r="A15" t="s">
        <v>37</v>
      </c>
      <c r="B15">
        <v>0</v>
      </c>
      <c r="C15">
        <v>0</v>
      </c>
      <c r="D15">
        <v>0</v>
      </c>
      <c r="E15">
        <v>0</v>
      </c>
      <c r="F15">
        <v>0</v>
      </c>
      <c r="G15">
        <v>0</v>
      </c>
      <c r="H15">
        <v>0</v>
      </c>
      <c r="I15">
        <v>0</v>
      </c>
      <c r="J15">
        <f t="shared" si="0"/>
        <v>0</v>
      </c>
    </row>
    <row r="16" spans="1:10" x14ac:dyDescent="0.2">
      <c r="A16" t="s">
        <v>38</v>
      </c>
      <c r="B16">
        <v>0</v>
      </c>
      <c r="C16">
        <v>0</v>
      </c>
      <c r="D16">
        <v>0</v>
      </c>
      <c r="E16">
        <v>0</v>
      </c>
      <c r="F16">
        <v>0</v>
      </c>
      <c r="G16">
        <v>0</v>
      </c>
      <c r="H16">
        <v>0</v>
      </c>
      <c r="I16">
        <v>0</v>
      </c>
      <c r="J16">
        <f t="shared" si="0"/>
        <v>0</v>
      </c>
    </row>
    <row r="17" spans="1:10" x14ac:dyDescent="0.2">
      <c r="A17" t="s">
        <v>95</v>
      </c>
      <c r="B17">
        <v>0</v>
      </c>
      <c r="C17">
        <v>0</v>
      </c>
      <c r="D17">
        <v>0</v>
      </c>
      <c r="E17">
        <v>0</v>
      </c>
      <c r="F17">
        <v>0</v>
      </c>
      <c r="G17">
        <v>0</v>
      </c>
      <c r="H17">
        <v>0</v>
      </c>
      <c r="I17">
        <v>0</v>
      </c>
      <c r="J17">
        <f t="shared" si="0"/>
        <v>0</v>
      </c>
    </row>
    <row r="18" spans="1:10" x14ac:dyDescent="0.2">
      <c r="A18" t="s">
        <v>40</v>
      </c>
      <c r="B18">
        <v>0</v>
      </c>
      <c r="C18">
        <v>0</v>
      </c>
      <c r="D18">
        <v>0</v>
      </c>
      <c r="E18">
        <v>0</v>
      </c>
      <c r="F18">
        <v>0</v>
      </c>
      <c r="G18">
        <v>0</v>
      </c>
      <c r="H18">
        <v>0</v>
      </c>
      <c r="I18">
        <v>0</v>
      </c>
      <c r="J18">
        <f t="shared" si="0"/>
        <v>0</v>
      </c>
    </row>
    <row r="19" spans="1:10" x14ac:dyDescent="0.2">
      <c r="A19" t="s">
        <v>41</v>
      </c>
      <c r="B19">
        <v>0</v>
      </c>
      <c r="C19">
        <v>0</v>
      </c>
      <c r="D19">
        <v>0</v>
      </c>
      <c r="E19">
        <v>0</v>
      </c>
      <c r="F19">
        <v>0</v>
      </c>
      <c r="G19">
        <v>0</v>
      </c>
      <c r="H19">
        <v>0</v>
      </c>
      <c r="I19">
        <v>0</v>
      </c>
      <c r="J19">
        <f t="shared" si="0"/>
        <v>0</v>
      </c>
    </row>
    <row r="20" spans="1:10" x14ac:dyDescent="0.2">
      <c r="A20" t="s">
        <v>42</v>
      </c>
      <c r="B20">
        <v>0</v>
      </c>
      <c r="C20">
        <v>0</v>
      </c>
      <c r="D20">
        <v>0</v>
      </c>
      <c r="E20">
        <v>0</v>
      </c>
      <c r="F20">
        <v>0</v>
      </c>
      <c r="G20">
        <v>0</v>
      </c>
      <c r="H20">
        <v>0</v>
      </c>
      <c r="I20">
        <v>0</v>
      </c>
      <c r="J20">
        <f t="shared" si="0"/>
        <v>0</v>
      </c>
    </row>
    <row r="21" spans="1:10" x14ac:dyDescent="0.2">
      <c r="A21" t="s">
        <v>43</v>
      </c>
      <c r="B21">
        <v>0</v>
      </c>
      <c r="C21">
        <v>0</v>
      </c>
      <c r="D21">
        <v>0</v>
      </c>
      <c r="E21">
        <v>0</v>
      </c>
      <c r="F21">
        <v>0</v>
      </c>
      <c r="G21">
        <v>0</v>
      </c>
      <c r="H21">
        <v>0</v>
      </c>
      <c r="I21">
        <v>0</v>
      </c>
      <c r="J21">
        <f t="shared" si="0"/>
        <v>0</v>
      </c>
    </row>
    <row r="22" spans="1:10" x14ac:dyDescent="0.2">
      <c r="A22" t="s">
        <v>44</v>
      </c>
      <c r="B22">
        <v>0</v>
      </c>
      <c r="C22">
        <v>0</v>
      </c>
      <c r="D22">
        <v>0</v>
      </c>
      <c r="E22">
        <v>0</v>
      </c>
      <c r="F22">
        <v>0</v>
      </c>
      <c r="G22">
        <v>0</v>
      </c>
      <c r="H22">
        <v>0</v>
      </c>
      <c r="I22">
        <v>0</v>
      </c>
      <c r="J22">
        <f t="shared" si="0"/>
        <v>0</v>
      </c>
    </row>
    <row r="23" spans="1:10" x14ac:dyDescent="0.2">
      <c r="A23" t="s">
        <v>116</v>
      </c>
      <c r="B23">
        <v>0</v>
      </c>
      <c r="C23">
        <v>0</v>
      </c>
      <c r="D23">
        <v>0</v>
      </c>
      <c r="E23">
        <v>0</v>
      </c>
      <c r="F23">
        <v>0</v>
      </c>
      <c r="G23">
        <v>0</v>
      </c>
      <c r="H23">
        <v>0</v>
      </c>
      <c r="I23">
        <v>0</v>
      </c>
      <c r="J23">
        <f t="shared" si="0"/>
        <v>0</v>
      </c>
    </row>
    <row r="24" spans="1:10" x14ac:dyDescent="0.2">
      <c r="A24" t="s">
        <v>34</v>
      </c>
      <c r="H24">
        <v>0</v>
      </c>
      <c r="J24">
        <f t="shared" si="0"/>
        <v>0</v>
      </c>
    </row>
    <row r="26" spans="1:10" x14ac:dyDescent="0.2">
      <c r="A26" t="s">
        <v>22</v>
      </c>
      <c r="B26">
        <f t="shared" ref="B26:J26" si="1">SUM(B11:B25)</f>
        <v>0</v>
      </c>
      <c r="C26">
        <f t="shared" si="1"/>
        <v>0</v>
      </c>
      <c r="D26">
        <f t="shared" si="1"/>
        <v>0</v>
      </c>
      <c r="E26">
        <f t="shared" si="1"/>
        <v>0</v>
      </c>
      <c r="F26">
        <f t="shared" si="1"/>
        <v>0</v>
      </c>
      <c r="G26">
        <f t="shared" si="1"/>
        <v>0</v>
      </c>
      <c r="H26">
        <f t="shared" si="1"/>
        <v>0</v>
      </c>
      <c r="I26">
        <f t="shared" si="1"/>
        <v>0</v>
      </c>
      <c r="J26">
        <f t="shared" si="1"/>
        <v>0</v>
      </c>
    </row>
    <row r="28" spans="1:10" x14ac:dyDescent="0.2">
      <c r="A28" t="s">
        <v>117</v>
      </c>
      <c r="B28">
        <v>0.28100000000000003</v>
      </c>
      <c r="C28">
        <v>0.31900000000000001</v>
      </c>
      <c r="D28">
        <v>7.8E-2</v>
      </c>
      <c r="E28">
        <v>0.2409</v>
      </c>
      <c r="F28">
        <v>1.7500000000000002E-2</v>
      </c>
      <c r="G28">
        <v>3.9600000000000003E-2</v>
      </c>
      <c r="H28">
        <v>1.3599999999999999E-2</v>
      </c>
      <c r="I28">
        <v>1.04E-2</v>
      </c>
    </row>
    <row r="30" spans="1:10" x14ac:dyDescent="0.2">
      <c r="A30" t="s">
        <v>86</v>
      </c>
    </row>
    <row r="31" spans="1:10" x14ac:dyDescent="0.2">
      <c r="A31" t="str">
        <f t="shared" ref="A31:A44" si="2">A11</f>
        <v>October 01</v>
      </c>
      <c r="B31">
        <v>29.5</v>
      </c>
      <c r="C31">
        <v>17.5</v>
      </c>
      <c r="D31">
        <v>38</v>
      </c>
      <c r="E31" t="s">
        <v>118</v>
      </c>
      <c r="F31" t="e">
        <f>F48/F11</f>
        <v>#DIV/0!</v>
      </c>
      <c r="G31">
        <v>-25</v>
      </c>
      <c r="H31">
        <v>0</v>
      </c>
      <c r="I31">
        <v>160</v>
      </c>
    </row>
    <row r="32" spans="1:10" x14ac:dyDescent="0.2">
      <c r="A32" t="str">
        <f t="shared" si="2"/>
        <v>November</v>
      </c>
      <c r="B32">
        <v>31</v>
      </c>
      <c r="C32">
        <v>17.5</v>
      </c>
      <c r="D32">
        <v>33.5</v>
      </c>
      <c r="E32" t="s">
        <v>118</v>
      </c>
      <c r="F32">
        <v>500</v>
      </c>
      <c r="G32">
        <v>-25</v>
      </c>
      <c r="H32">
        <v>0</v>
      </c>
      <c r="I32">
        <v>160</v>
      </c>
    </row>
    <row r="33" spans="1:10" x14ac:dyDescent="0.2">
      <c r="A33" t="str">
        <f t="shared" si="2"/>
        <v>Dec 00</v>
      </c>
      <c r="B33">
        <v>28</v>
      </c>
      <c r="C33">
        <v>15</v>
      </c>
      <c r="D33">
        <v>22</v>
      </c>
      <c r="E33" t="s">
        <v>118</v>
      </c>
      <c r="F33">
        <v>500</v>
      </c>
      <c r="G33">
        <v>-25</v>
      </c>
      <c r="H33">
        <v>0</v>
      </c>
      <c r="I33">
        <v>160</v>
      </c>
    </row>
    <row r="34" spans="1:10" x14ac:dyDescent="0.2">
      <c r="A34" t="str">
        <f t="shared" si="2"/>
        <v>January 02</v>
      </c>
      <c r="B34">
        <v>28</v>
      </c>
      <c r="C34">
        <v>15</v>
      </c>
      <c r="D34">
        <v>22</v>
      </c>
      <c r="E34" t="s">
        <v>118</v>
      </c>
      <c r="F34">
        <v>500</v>
      </c>
      <c r="G34">
        <v>-25</v>
      </c>
      <c r="H34">
        <v>0</v>
      </c>
      <c r="I34">
        <v>160</v>
      </c>
    </row>
    <row r="35" spans="1:10" x14ac:dyDescent="0.2">
      <c r="A35" t="str">
        <f t="shared" si="2"/>
        <v>February</v>
      </c>
      <c r="B35">
        <v>28</v>
      </c>
      <c r="C35">
        <v>15</v>
      </c>
      <c r="D35">
        <v>20</v>
      </c>
      <c r="E35" t="s">
        <v>118</v>
      </c>
      <c r="F35">
        <v>500</v>
      </c>
      <c r="G35">
        <v>-25</v>
      </c>
      <c r="H35">
        <v>0</v>
      </c>
      <c r="I35">
        <v>160</v>
      </c>
    </row>
    <row r="36" spans="1:10" x14ac:dyDescent="0.2">
      <c r="A36" t="str">
        <f t="shared" si="2"/>
        <v>March</v>
      </c>
      <c r="B36">
        <v>28</v>
      </c>
      <c r="C36">
        <v>15</v>
      </c>
      <c r="D36">
        <v>22</v>
      </c>
      <c r="E36" t="s">
        <v>118</v>
      </c>
      <c r="F36">
        <v>500</v>
      </c>
      <c r="G36">
        <v>-25</v>
      </c>
      <c r="H36">
        <v>0</v>
      </c>
      <c r="I36">
        <v>160</v>
      </c>
    </row>
    <row r="37" spans="1:10" x14ac:dyDescent="0.2">
      <c r="A37" t="str">
        <f t="shared" si="2"/>
        <v xml:space="preserve">April </v>
      </c>
      <c r="B37">
        <v>28</v>
      </c>
      <c r="C37">
        <v>12.5</v>
      </c>
      <c r="D37">
        <v>18</v>
      </c>
      <c r="E37" t="s">
        <v>118</v>
      </c>
      <c r="F37">
        <v>500</v>
      </c>
      <c r="G37">
        <v>-25</v>
      </c>
      <c r="H37">
        <v>0</v>
      </c>
      <c r="I37">
        <v>160</v>
      </c>
    </row>
    <row r="38" spans="1:10" x14ac:dyDescent="0.2">
      <c r="A38" t="str">
        <f t="shared" si="2"/>
        <v>May</v>
      </c>
      <c r="B38">
        <v>21</v>
      </c>
      <c r="C38">
        <v>10</v>
      </c>
      <c r="D38">
        <v>18</v>
      </c>
      <c r="E38" t="s">
        <v>118</v>
      </c>
      <c r="F38">
        <v>500</v>
      </c>
      <c r="G38">
        <v>-25</v>
      </c>
      <c r="H38">
        <v>0</v>
      </c>
      <c r="I38">
        <v>160</v>
      </c>
    </row>
    <row r="39" spans="1:10" x14ac:dyDescent="0.2">
      <c r="A39" t="str">
        <f t="shared" si="2"/>
        <v>June</v>
      </c>
      <c r="B39">
        <v>20</v>
      </c>
      <c r="C39">
        <v>10</v>
      </c>
      <c r="D39">
        <v>14.5</v>
      </c>
      <c r="E39" t="s">
        <v>118</v>
      </c>
      <c r="F39">
        <v>500</v>
      </c>
      <c r="G39">
        <v>-25</v>
      </c>
      <c r="H39">
        <v>0</v>
      </c>
      <c r="I39">
        <v>160</v>
      </c>
    </row>
    <row r="40" spans="1:10" x14ac:dyDescent="0.2">
      <c r="A40" t="str">
        <f t="shared" si="2"/>
        <v>July</v>
      </c>
      <c r="B40">
        <v>20</v>
      </c>
      <c r="C40">
        <v>10</v>
      </c>
      <c r="D40">
        <v>14</v>
      </c>
      <c r="E40" t="s">
        <v>118</v>
      </c>
      <c r="F40">
        <v>500</v>
      </c>
      <c r="G40">
        <v>-25</v>
      </c>
      <c r="H40">
        <v>0</v>
      </c>
      <c r="I40">
        <v>120</v>
      </c>
    </row>
    <row r="41" spans="1:10" x14ac:dyDescent="0.2">
      <c r="A41" t="str">
        <f t="shared" si="2"/>
        <v>August</v>
      </c>
      <c r="B41">
        <v>21</v>
      </c>
      <c r="C41">
        <v>10</v>
      </c>
      <c r="D41">
        <v>19</v>
      </c>
      <c r="E41" t="s">
        <v>118</v>
      </c>
      <c r="F41">
        <v>500</v>
      </c>
      <c r="G41">
        <v>-25</v>
      </c>
      <c r="H41">
        <v>0</v>
      </c>
      <c r="I41">
        <v>120</v>
      </c>
    </row>
    <row r="42" spans="1:10" x14ac:dyDescent="0.2">
      <c r="A42" t="str">
        <f t="shared" si="2"/>
        <v>September</v>
      </c>
      <c r="B42">
        <v>18</v>
      </c>
      <c r="C42">
        <v>10</v>
      </c>
      <c r="D42">
        <v>28</v>
      </c>
      <c r="E42" t="s">
        <v>118</v>
      </c>
      <c r="F42">
        <v>500</v>
      </c>
      <c r="G42">
        <v>-25</v>
      </c>
      <c r="H42">
        <v>0</v>
      </c>
      <c r="I42">
        <v>120</v>
      </c>
    </row>
    <row r="43" spans="1:10" x14ac:dyDescent="0.2">
      <c r="A43" t="str">
        <f t="shared" si="2"/>
        <v xml:space="preserve">October </v>
      </c>
      <c r="B43">
        <v>21</v>
      </c>
      <c r="C43">
        <v>10</v>
      </c>
      <c r="D43">
        <v>28</v>
      </c>
      <c r="E43" t="s">
        <v>118</v>
      </c>
      <c r="F43">
        <v>480</v>
      </c>
      <c r="G43">
        <v>-25</v>
      </c>
      <c r="H43">
        <v>0</v>
      </c>
      <c r="I43">
        <v>120</v>
      </c>
    </row>
    <row r="44" spans="1:10" x14ac:dyDescent="0.2">
      <c r="A44" t="str">
        <f t="shared" si="2"/>
        <v>November</v>
      </c>
      <c r="B44">
        <v>0</v>
      </c>
      <c r="C44">
        <v>0</v>
      </c>
      <c r="D44">
        <v>0</v>
      </c>
      <c r="E44" t="s">
        <v>118</v>
      </c>
      <c r="F44">
        <v>0</v>
      </c>
      <c r="G44">
        <v>0</v>
      </c>
      <c r="H44">
        <v>0</v>
      </c>
      <c r="I44">
        <v>0</v>
      </c>
    </row>
    <row r="47" spans="1:10" x14ac:dyDescent="0.2">
      <c r="A47" t="s">
        <v>24</v>
      </c>
      <c r="C47" t="s">
        <v>6</v>
      </c>
    </row>
    <row r="48" spans="1:10" x14ac:dyDescent="0.2">
      <c r="A48" t="str">
        <f t="shared" ref="A48:A61" si="3">A11</f>
        <v>October 01</v>
      </c>
      <c r="B48">
        <v>0</v>
      </c>
      <c r="C48">
        <v>0</v>
      </c>
      <c r="D48">
        <v>0</v>
      </c>
      <c r="E48">
        <v>0</v>
      </c>
      <c r="F48">
        <v>0</v>
      </c>
      <c r="G48">
        <v>0</v>
      </c>
      <c r="H48">
        <v>0</v>
      </c>
      <c r="I48">
        <v>0</v>
      </c>
      <c r="J48">
        <v>0</v>
      </c>
    </row>
    <row r="49" spans="1:10" x14ac:dyDescent="0.2">
      <c r="A49" t="str">
        <f t="shared" si="3"/>
        <v>November</v>
      </c>
      <c r="B49">
        <v>0</v>
      </c>
      <c r="C49">
        <v>0</v>
      </c>
      <c r="D49">
        <v>0</v>
      </c>
      <c r="E49">
        <v>0</v>
      </c>
      <c r="F49">
        <v>0</v>
      </c>
      <c r="G49">
        <v>0</v>
      </c>
      <c r="H49">
        <v>0</v>
      </c>
      <c r="I49">
        <v>0</v>
      </c>
      <c r="J49">
        <v>0</v>
      </c>
    </row>
    <row r="50" spans="1:10" x14ac:dyDescent="0.2">
      <c r="A50" t="str">
        <f t="shared" si="3"/>
        <v>Dec 00</v>
      </c>
      <c r="B50">
        <v>0</v>
      </c>
      <c r="C50">
        <v>0</v>
      </c>
      <c r="D50">
        <v>0</v>
      </c>
      <c r="E50">
        <v>0</v>
      </c>
      <c r="F50">
        <v>0</v>
      </c>
      <c r="G50">
        <v>0</v>
      </c>
      <c r="H50">
        <v>0</v>
      </c>
      <c r="I50">
        <v>0</v>
      </c>
      <c r="J50">
        <v>7752.46</v>
      </c>
    </row>
    <row r="51" spans="1:10" x14ac:dyDescent="0.2">
      <c r="A51" t="str">
        <f t="shared" si="3"/>
        <v>January 02</v>
      </c>
      <c r="B51">
        <v>0</v>
      </c>
      <c r="C51">
        <v>0</v>
      </c>
      <c r="D51">
        <v>0</v>
      </c>
      <c r="E51">
        <v>0</v>
      </c>
      <c r="F51">
        <v>0</v>
      </c>
      <c r="G51">
        <v>0</v>
      </c>
      <c r="H51">
        <v>0</v>
      </c>
      <c r="I51">
        <v>0</v>
      </c>
      <c r="J51">
        <v>8716.8700000000008</v>
      </c>
    </row>
    <row r="52" spans="1:10" x14ac:dyDescent="0.2">
      <c r="A52" t="str">
        <f t="shared" si="3"/>
        <v>February</v>
      </c>
      <c r="B52">
        <v>0</v>
      </c>
      <c r="C52">
        <v>0</v>
      </c>
      <c r="D52">
        <v>0</v>
      </c>
      <c r="E52">
        <v>0</v>
      </c>
      <c r="F52">
        <v>0</v>
      </c>
      <c r="G52">
        <v>0</v>
      </c>
      <c r="H52">
        <v>0</v>
      </c>
      <c r="I52">
        <v>0</v>
      </c>
      <c r="J52">
        <v>7377.91</v>
      </c>
    </row>
    <row r="53" spans="1:10" x14ac:dyDescent="0.2">
      <c r="A53" t="str">
        <f t="shared" si="3"/>
        <v>March</v>
      </c>
      <c r="B53">
        <v>0</v>
      </c>
      <c r="C53">
        <v>0</v>
      </c>
      <c r="D53">
        <v>0</v>
      </c>
      <c r="E53">
        <v>0</v>
      </c>
      <c r="F53">
        <v>0</v>
      </c>
      <c r="G53">
        <v>0</v>
      </c>
      <c r="H53">
        <v>0</v>
      </c>
      <c r="I53">
        <v>0</v>
      </c>
      <c r="J53">
        <v>7961.06</v>
      </c>
    </row>
    <row r="54" spans="1:10" x14ac:dyDescent="0.2">
      <c r="A54" t="str">
        <f t="shared" si="3"/>
        <v xml:space="preserve">April </v>
      </c>
      <c r="B54">
        <v>0</v>
      </c>
      <c r="C54">
        <v>0</v>
      </c>
      <c r="D54">
        <v>0</v>
      </c>
      <c r="E54">
        <v>0</v>
      </c>
      <c r="F54">
        <v>0</v>
      </c>
      <c r="G54">
        <v>0</v>
      </c>
      <c r="H54">
        <v>0</v>
      </c>
      <c r="I54">
        <v>0</v>
      </c>
      <c r="J54">
        <v>8377.9500000000007</v>
      </c>
    </row>
    <row r="55" spans="1:10" x14ac:dyDescent="0.2">
      <c r="A55" t="str">
        <f t="shared" si="3"/>
        <v>May</v>
      </c>
      <c r="B55">
        <v>0</v>
      </c>
      <c r="C55">
        <v>0</v>
      </c>
      <c r="D55">
        <v>0</v>
      </c>
      <c r="E55">
        <v>0</v>
      </c>
      <c r="F55">
        <v>0</v>
      </c>
      <c r="G55">
        <v>0</v>
      </c>
      <c r="H55">
        <v>0</v>
      </c>
      <c r="I55">
        <v>0</v>
      </c>
      <c r="J55">
        <v>9012.01</v>
      </c>
    </row>
    <row r="56" spans="1:10" x14ac:dyDescent="0.2">
      <c r="A56" t="str">
        <f t="shared" si="3"/>
        <v>June</v>
      </c>
      <c r="B56">
        <v>0</v>
      </c>
      <c r="C56">
        <v>0</v>
      </c>
      <c r="D56">
        <v>0</v>
      </c>
      <c r="E56">
        <v>0</v>
      </c>
      <c r="F56">
        <v>0</v>
      </c>
      <c r="G56">
        <v>0</v>
      </c>
      <c r="H56">
        <v>0</v>
      </c>
      <c r="I56">
        <v>0</v>
      </c>
      <c r="J56">
        <v>8860.93</v>
      </c>
    </row>
    <row r="57" spans="1:10" x14ac:dyDescent="0.2">
      <c r="A57" t="str">
        <f t="shared" si="3"/>
        <v>July</v>
      </c>
      <c r="B57">
        <v>0</v>
      </c>
      <c r="C57">
        <v>0</v>
      </c>
      <c r="D57">
        <v>0</v>
      </c>
      <c r="E57">
        <v>0</v>
      </c>
      <c r="F57">
        <v>0</v>
      </c>
      <c r="G57">
        <v>0</v>
      </c>
      <c r="H57">
        <v>0</v>
      </c>
      <c r="I57">
        <v>0</v>
      </c>
      <c r="J57">
        <v>9491.64</v>
      </c>
    </row>
    <row r="58" spans="1:10" x14ac:dyDescent="0.2">
      <c r="A58" t="str">
        <f t="shared" si="3"/>
        <v>August</v>
      </c>
      <c r="B58">
        <v>0</v>
      </c>
      <c r="C58">
        <v>0</v>
      </c>
      <c r="D58">
        <v>0</v>
      </c>
      <c r="E58">
        <v>0</v>
      </c>
      <c r="F58">
        <v>0</v>
      </c>
      <c r="G58">
        <v>0</v>
      </c>
      <c r="H58">
        <v>0</v>
      </c>
      <c r="I58">
        <v>0</v>
      </c>
      <c r="J58">
        <v>8986.82</v>
      </c>
    </row>
    <row r="59" spans="1:10" x14ac:dyDescent="0.2">
      <c r="A59" t="str">
        <f t="shared" si="3"/>
        <v>September</v>
      </c>
      <c r="B59">
        <v>0</v>
      </c>
      <c r="C59">
        <v>0</v>
      </c>
      <c r="D59">
        <v>0</v>
      </c>
      <c r="E59">
        <v>0</v>
      </c>
      <c r="F59">
        <v>0</v>
      </c>
      <c r="G59">
        <v>0</v>
      </c>
      <c r="H59">
        <v>0</v>
      </c>
      <c r="I59">
        <v>0</v>
      </c>
      <c r="J59">
        <v>8802.6200000000008</v>
      </c>
    </row>
    <row r="60" spans="1:10" x14ac:dyDescent="0.2">
      <c r="A60" t="str">
        <f t="shared" si="3"/>
        <v xml:space="preserve">October </v>
      </c>
      <c r="B60">
        <v>0</v>
      </c>
      <c r="C60">
        <v>0</v>
      </c>
      <c r="D60">
        <v>0</v>
      </c>
      <c r="E60">
        <v>0</v>
      </c>
      <c r="F60">
        <v>0</v>
      </c>
      <c r="G60">
        <v>0</v>
      </c>
      <c r="H60">
        <v>0</v>
      </c>
      <c r="I60">
        <v>0</v>
      </c>
      <c r="J60">
        <v>9567.0400000000009</v>
      </c>
    </row>
    <row r="61" spans="1:10" x14ac:dyDescent="0.2">
      <c r="A61" t="str">
        <f t="shared" si="3"/>
        <v>November</v>
      </c>
      <c r="B61">
        <v>0</v>
      </c>
      <c r="C61">
        <v>0</v>
      </c>
      <c r="D61">
        <v>0</v>
      </c>
      <c r="E61">
        <v>0</v>
      </c>
      <c r="F61">
        <v>0</v>
      </c>
      <c r="G61">
        <v>0</v>
      </c>
      <c r="H61">
        <v>0</v>
      </c>
      <c r="I61">
        <v>0</v>
      </c>
      <c r="J61">
        <v>8724.31</v>
      </c>
    </row>
    <row r="63" spans="1:10" x14ac:dyDescent="0.2">
      <c r="A63" t="s">
        <v>88</v>
      </c>
      <c r="B63">
        <f t="shared" ref="B63:I63" si="4">SUM(B48:B61)</f>
        <v>0</v>
      </c>
      <c r="C63">
        <f t="shared" si="4"/>
        <v>0</v>
      </c>
      <c r="D63">
        <f t="shared" si="4"/>
        <v>0</v>
      </c>
      <c r="E63">
        <f t="shared" si="4"/>
        <v>0</v>
      </c>
      <c r="F63">
        <f t="shared" si="4"/>
        <v>0</v>
      </c>
      <c r="G63">
        <f t="shared" si="4"/>
        <v>0</v>
      </c>
      <c r="H63">
        <f t="shared" si="4"/>
        <v>0</v>
      </c>
      <c r="I63">
        <f t="shared" si="4"/>
        <v>0</v>
      </c>
    </row>
    <row r="65" spans="1:10" x14ac:dyDescent="0.2">
      <c r="A65" t="s">
        <v>89</v>
      </c>
      <c r="J65">
        <f>SUM(J48:J61)</f>
        <v>103631.62</v>
      </c>
    </row>
    <row r="67" spans="1:10" x14ac:dyDescent="0.2">
      <c r="J67" t="s">
        <v>6</v>
      </c>
    </row>
  </sheetData>
  <phoneticPr fontId="0" type="noConversion"/>
  <pageMargins left="0.35" right="0.35" top="0.75" bottom="0.75" header="0.5" footer="0.5"/>
  <pageSetup orientation="portrait" horizontalDpi="4294967293" verticalDpi="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74"/>
  <sheetViews>
    <sheetView showOutlineSymbols="0" zoomScale="87" workbookViewId="0"/>
  </sheetViews>
  <sheetFormatPr defaultColWidth="11.44140625" defaultRowHeight="15" x14ac:dyDescent="0.2"/>
  <sheetData>
    <row r="1" spans="2:6" x14ac:dyDescent="0.2">
      <c r="F1" t="s">
        <v>0</v>
      </c>
    </row>
    <row r="2" spans="2:6" x14ac:dyDescent="0.2">
      <c r="F2" t="s">
        <v>1</v>
      </c>
    </row>
    <row r="3" spans="2:6" x14ac:dyDescent="0.2">
      <c r="F3" t="s">
        <v>2</v>
      </c>
    </row>
    <row r="6" spans="2:6" x14ac:dyDescent="0.2">
      <c r="B6" t="s">
        <v>160</v>
      </c>
    </row>
    <row r="8" spans="2:6" x14ac:dyDescent="0.2">
      <c r="B8" t="s">
        <v>4</v>
      </c>
    </row>
    <row r="9" spans="2:6" x14ac:dyDescent="0.2">
      <c r="B9" t="s">
        <v>161</v>
      </c>
    </row>
    <row r="10" spans="2:6" x14ac:dyDescent="0.2">
      <c r="B10" t="s">
        <v>6</v>
      </c>
    </row>
    <row r="13" spans="2:6" x14ac:dyDescent="0.2">
      <c r="F13" t="s">
        <v>7</v>
      </c>
    </row>
    <row r="14" spans="2:6" x14ac:dyDescent="0.2">
      <c r="D14" t="s">
        <v>30</v>
      </c>
      <c r="E14" t="s">
        <v>31</v>
      </c>
      <c r="F14" t="s">
        <v>8</v>
      </c>
    </row>
    <row r="15" spans="2:6" x14ac:dyDescent="0.2">
      <c r="B15" t="s">
        <v>92</v>
      </c>
      <c r="D15" t="s">
        <v>26</v>
      </c>
      <c r="E15" t="s">
        <v>32</v>
      </c>
      <c r="F15" t="s">
        <v>13</v>
      </c>
    </row>
    <row r="17" spans="2:8" x14ac:dyDescent="0.2">
      <c r="B17" t="s">
        <v>162</v>
      </c>
      <c r="D17">
        <v>41181</v>
      </c>
      <c r="E17" t="s">
        <v>6</v>
      </c>
      <c r="F17" t="s">
        <v>6</v>
      </c>
    </row>
    <row r="18" spans="2:8" x14ac:dyDescent="0.2">
      <c r="B18" t="s">
        <v>34</v>
      </c>
      <c r="D18">
        <v>41000</v>
      </c>
      <c r="E18" t="s">
        <v>6</v>
      </c>
      <c r="F18" t="s">
        <v>6</v>
      </c>
    </row>
    <row r="19" spans="2:8" x14ac:dyDescent="0.2">
      <c r="B19" t="s">
        <v>35</v>
      </c>
      <c r="D19">
        <v>39200</v>
      </c>
      <c r="E19">
        <f>'5th year actual'!$J$50</f>
        <v>11637.6</v>
      </c>
      <c r="F19">
        <f>SUM(E19:E19)/SUM(D19:D19)</f>
        <v>0.29687755102040819</v>
      </c>
    </row>
    <row r="20" spans="2:8" x14ac:dyDescent="0.2">
      <c r="B20" t="s">
        <v>163</v>
      </c>
      <c r="D20">
        <v>39187</v>
      </c>
      <c r="E20">
        <f>'5th year actual'!$J$51</f>
        <v>11028.29</v>
      </c>
      <c r="F20">
        <f>SUM(E19:E20)/SUM(D19:D20)</f>
        <v>0.2891536861979665</v>
      </c>
    </row>
    <row r="21" spans="2:8" x14ac:dyDescent="0.2">
      <c r="B21" t="s">
        <v>37</v>
      </c>
      <c r="D21">
        <v>39206</v>
      </c>
      <c r="E21">
        <f>'5th year actual'!$J$52</f>
        <v>8014.71</v>
      </c>
      <c r="F21">
        <f t="shared" ref="F21:F30" si="0">SUM(E19:E21)/SUM(D19:D21)</f>
        <v>0.26090498584099392</v>
      </c>
    </row>
    <row r="22" spans="2:8" x14ac:dyDescent="0.2">
      <c r="B22" t="s">
        <v>38</v>
      </c>
      <c r="D22">
        <v>39757</v>
      </c>
      <c r="E22">
        <f>'5th year actual'!$J$53</f>
        <v>9621.92</v>
      </c>
      <c r="F22">
        <f t="shared" si="0"/>
        <v>0.24261464240372407</v>
      </c>
    </row>
    <row r="23" spans="2:8" x14ac:dyDescent="0.2">
      <c r="B23" t="s">
        <v>95</v>
      </c>
      <c r="D23">
        <v>40246</v>
      </c>
      <c r="E23">
        <f>'5th year actual'!$J$54</f>
        <v>9354.5400000000009</v>
      </c>
      <c r="F23">
        <f t="shared" si="0"/>
        <v>0.2264188945465527</v>
      </c>
    </row>
    <row r="24" spans="2:8" x14ac:dyDescent="0.2">
      <c r="B24" t="s">
        <v>40</v>
      </c>
      <c r="D24">
        <v>40653</v>
      </c>
      <c r="E24">
        <f>'5th year actual'!$J$55</f>
        <v>10057.120000000001</v>
      </c>
      <c r="F24">
        <f t="shared" si="0"/>
        <v>0.24063105025858642</v>
      </c>
    </row>
    <row r="25" spans="2:8" x14ac:dyDescent="0.2">
      <c r="B25" t="s">
        <v>41</v>
      </c>
      <c r="D25">
        <v>40873</v>
      </c>
      <c r="E25">
        <f>'5th year actual'!$J$56</f>
        <v>8833.3799999999992</v>
      </c>
      <c r="F25">
        <f t="shared" si="0"/>
        <v>0.23195020201688402</v>
      </c>
    </row>
    <row r="26" spans="2:8" x14ac:dyDescent="0.2">
      <c r="B26" t="s">
        <v>42</v>
      </c>
      <c r="D26">
        <v>41430</v>
      </c>
      <c r="E26">
        <f>'5th year actual'!$J$57</f>
        <v>9341.75</v>
      </c>
      <c r="F26">
        <f t="shared" si="0"/>
        <v>0.22961262565470575</v>
      </c>
    </row>
    <row r="27" spans="2:8" x14ac:dyDescent="0.2">
      <c r="B27" t="s">
        <v>43</v>
      </c>
      <c r="D27">
        <v>42370</v>
      </c>
      <c r="E27">
        <f>'5th year actual'!$J$58</f>
        <v>8685.92</v>
      </c>
      <c r="F27">
        <f t="shared" si="0"/>
        <v>0.215452022490836</v>
      </c>
    </row>
    <row r="28" spans="2:8" x14ac:dyDescent="0.2">
      <c r="B28" t="s">
        <v>44</v>
      </c>
      <c r="D28">
        <v>42847</v>
      </c>
      <c r="E28">
        <f>'5th year actual'!$J$59</f>
        <v>8875.5400000000009</v>
      </c>
      <c r="F28">
        <f t="shared" si="0"/>
        <v>0.2124267452051766</v>
      </c>
    </row>
    <row r="29" spans="2:8" x14ac:dyDescent="0.2">
      <c r="B29" t="s">
        <v>72</v>
      </c>
      <c r="D29">
        <v>42591</v>
      </c>
      <c r="E29">
        <f>'5th year actual'!$J$60</f>
        <v>9401.2800000000007</v>
      </c>
      <c r="F29">
        <f t="shared" si="0"/>
        <v>0.21096285052578867</v>
      </c>
    </row>
    <row r="30" spans="2:8" x14ac:dyDescent="0.2">
      <c r="B30" t="s">
        <v>34</v>
      </c>
      <c r="D30">
        <v>42283</v>
      </c>
      <c r="E30">
        <f>'5th year actual'!$J$61</f>
        <v>8895.73</v>
      </c>
      <c r="F30">
        <f t="shared" si="0"/>
        <v>0.21274927380775283</v>
      </c>
    </row>
    <row r="31" spans="2:8" x14ac:dyDescent="0.2">
      <c r="E31" t="s">
        <v>6</v>
      </c>
    </row>
    <row r="32" spans="2:8" x14ac:dyDescent="0.2">
      <c r="B32" t="s">
        <v>96</v>
      </c>
      <c r="D32">
        <f>SUM(D17:D31)</f>
        <v>572824</v>
      </c>
      <c r="E32">
        <f>SUM(E19:E31)</f>
        <v>113747.77999999998</v>
      </c>
      <c r="H32" t="s">
        <v>6</v>
      </c>
    </row>
    <row r="34" spans="2:10" x14ac:dyDescent="0.2">
      <c r="B34" t="s">
        <v>164</v>
      </c>
    </row>
    <row r="36" spans="2:10" x14ac:dyDescent="0.2">
      <c r="B36" t="s">
        <v>165</v>
      </c>
      <c r="F36">
        <v>0</v>
      </c>
    </row>
    <row r="37" spans="2:10" x14ac:dyDescent="0.2">
      <c r="B37" t="s">
        <v>166</v>
      </c>
      <c r="F37">
        <v>0</v>
      </c>
    </row>
    <row r="38" spans="2:10" x14ac:dyDescent="0.2">
      <c r="B38" t="s">
        <v>167</v>
      </c>
      <c r="F38">
        <f>D19</f>
        <v>39200</v>
      </c>
    </row>
    <row r="39" spans="2:10" x14ac:dyDescent="0.2">
      <c r="B39" t="s">
        <v>6</v>
      </c>
      <c r="F39" t="s">
        <v>6</v>
      </c>
    </row>
    <row r="40" spans="2:10" x14ac:dyDescent="0.2">
      <c r="B40" t="s">
        <v>6</v>
      </c>
      <c r="F40">
        <f>(+F36+F37+F38)</f>
        <v>39200</v>
      </c>
    </row>
    <row r="41" spans="2:10" x14ac:dyDescent="0.2">
      <c r="B41" t="s">
        <v>101</v>
      </c>
      <c r="F41">
        <f>'Third Year adj'!$J$74</f>
        <v>5.1621775761443056E-2</v>
      </c>
    </row>
    <row r="43" spans="2:10" x14ac:dyDescent="0.2">
      <c r="B43" t="s">
        <v>102</v>
      </c>
      <c r="G43">
        <f>F40*F41</f>
        <v>2023.5736098485679</v>
      </c>
      <c r="H43" t="s">
        <v>6</v>
      </c>
    </row>
    <row r="45" spans="2:10" x14ac:dyDescent="0.2">
      <c r="B45" t="s">
        <v>168</v>
      </c>
      <c r="F45">
        <f>SUM(D20:D30)</f>
        <v>451443</v>
      </c>
      <c r="J45" t="s">
        <v>6</v>
      </c>
    </row>
    <row r="46" spans="2:10" x14ac:dyDescent="0.2">
      <c r="B46" t="s">
        <v>101</v>
      </c>
      <c r="F46">
        <f>'Fourth Year adj'!$J$74</f>
        <v>0.14894117171717172</v>
      </c>
    </row>
    <row r="48" spans="2:10" x14ac:dyDescent="0.2">
      <c r="B48" t="s">
        <v>102</v>
      </c>
      <c r="G48">
        <f>F45*F46</f>
        <v>67238.449383515152</v>
      </c>
    </row>
    <row r="50" spans="2:8" x14ac:dyDescent="0.2">
      <c r="B50" t="s">
        <v>104</v>
      </c>
      <c r="G50">
        <f>G43+G48</f>
        <v>69262.022993363717</v>
      </c>
    </row>
    <row r="52" spans="2:8" x14ac:dyDescent="0.2">
      <c r="B52" t="s">
        <v>50</v>
      </c>
      <c r="G52">
        <f>SUM(E20:E30)</f>
        <v>102110.17999999998</v>
      </c>
    </row>
    <row r="54" spans="2:8" x14ac:dyDescent="0.2">
      <c r="B54" t="s">
        <v>105</v>
      </c>
      <c r="G54">
        <f>G52-G50</f>
        <v>32848.157006636262</v>
      </c>
    </row>
    <row r="57" spans="2:8" x14ac:dyDescent="0.2">
      <c r="B57" t="s">
        <v>106</v>
      </c>
    </row>
    <row r="59" spans="2:8" x14ac:dyDescent="0.2">
      <c r="B59" t="s">
        <v>107</v>
      </c>
      <c r="G59">
        <f>G54</f>
        <v>32848.157006636262</v>
      </c>
    </row>
    <row r="60" spans="2:8" x14ac:dyDescent="0.2">
      <c r="B60" t="s">
        <v>54</v>
      </c>
      <c r="G60">
        <f>SUM(D28:D30)/3</f>
        <v>42573.666666666664</v>
      </c>
    </row>
    <row r="61" spans="2:8" x14ac:dyDescent="0.2">
      <c r="B61" t="s">
        <v>108</v>
      </c>
      <c r="G61">
        <f>G59/G60</f>
        <v>0.77156044049066941</v>
      </c>
    </row>
    <row r="62" spans="2:8" x14ac:dyDescent="0.2">
      <c r="B62" t="s">
        <v>56</v>
      </c>
    </row>
    <row r="63" spans="2:8" x14ac:dyDescent="0.2">
      <c r="B63" t="s">
        <v>57</v>
      </c>
      <c r="G63">
        <f>G61/12</f>
        <v>6.4296703374222455E-2</v>
      </c>
      <c r="H63" t="s">
        <v>6</v>
      </c>
    </row>
    <row r="65" spans="2:10" x14ac:dyDescent="0.2">
      <c r="G65" t="s">
        <v>169</v>
      </c>
      <c r="H65" t="s">
        <v>169</v>
      </c>
      <c r="I65" t="s">
        <v>169</v>
      </c>
      <c r="J65" t="s">
        <v>8</v>
      </c>
    </row>
    <row r="66" spans="2:10" x14ac:dyDescent="0.2">
      <c r="B66" t="s">
        <v>58</v>
      </c>
      <c r="G66" t="s">
        <v>44</v>
      </c>
      <c r="H66" t="s">
        <v>72</v>
      </c>
      <c r="I66" t="s">
        <v>34</v>
      </c>
      <c r="J66" t="s">
        <v>13</v>
      </c>
    </row>
    <row r="68" spans="2:10" x14ac:dyDescent="0.2">
      <c r="B68" t="s">
        <v>60</v>
      </c>
      <c r="G68">
        <f>E28</f>
        <v>8875.5400000000009</v>
      </c>
      <c r="H68">
        <f>E29</f>
        <v>9401.2800000000007</v>
      </c>
      <c r="I68">
        <f>E30</f>
        <v>8895.73</v>
      </c>
      <c r="J68">
        <f>AVERAGE(G68:I68)</f>
        <v>9057.5166666666664</v>
      </c>
    </row>
    <row r="69" spans="2:10" x14ac:dyDescent="0.2">
      <c r="B69" t="s">
        <v>62</v>
      </c>
      <c r="G69">
        <f>D28</f>
        <v>42847</v>
      </c>
      <c r="H69">
        <f>D29</f>
        <v>42591</v>
      </c>
      <c r="I69">
        <f>D30</f>
        <v>42283</v>
      </c>
      <c r="J69">
        <f>AVERAGE(G69:I69)</f>
        <v>42573.666666666664</v>
      </c>
    </row>
    <row r="71" spans="2:10" x14ac:dyDescent="0.2">
      <c r="B71" t="s">
        <v>170</v>
      </c>
      <c r="G71" t="s">
        <v>65</v>
      </c>
      <c r="J71">
        <f>J68/J69</f>
        <v>0.21274927380775285</v>
      </c>
    </row>
    <row r="72" spans="2:10" x14ac:dyDescent="0.2">
      <c r="B72" t="s">
        <v>111</v>
      </c>
      <c r="J72">
        <f>G63</f>
        <v>6.4296703374222455E-2</v>
      </c>
    </row>
    <row r="74" spans="2:10" x14ac:dyDescent="0.2">
      <c r="B74" t="s">
        <v>67</v>
      </c>
      <c r="E74" t="s">
        <v>68</v>
      </c>
      <c r="J74">
        <f>SUM(J71:J73)</f>
        <v>0.27704597718197532</v>
      </c>
    </row>
  </sheetData>
  <phoneticPr fontId="0" type="noConversion"/>
  <pageMargins left="0.35" right="0.35" top="0.75" bottom="0.75" header="0.5" footer="0.5"/>
  <pageSetup orientation="portrait" horizontalDpi="4294967293" verticalDpi="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68"/>
  <sheetViews>
    <sheetView showOutlineSymbols="0" zoomScale="87" workbookViewId="0"/>
  </sheetViews>
  <sheetFormatPr defaultColWidth="11.44140625" defaultRowHeight="15" x14ac:dyDescent="0.2"/>
  <sheetData>
    <row r="2" spans="1:10" x14ac:dyDescent="0.2">
      <c r="E2" t="s">
        <v>0</v>
      </c>
    </row>
    <row r="3" spans="1:10" x14ac:dyDescent="0.2">
      <c r="E3" t="s">
        <v>1</v>
      </c>
    </row>
    <row r="4" spans="1:10" x14ac:dyDescent="0.2">
      <c r="E4" t="s">
        <v>2</v>
      </c>
    </row>
    <row r="5" spans="1:10" x14ac:dyDescent="0.2">
      <c r="E5" t="s">
        <v>171</v>
      </c>
    </row>
    <row r="7" spans="1:10" x14ac:dyDescent="0.2">
      <c r="B7" t="s">
        <v>81</v>
      </c>
    </row>
    <row r="9" spans="1:10" x14ac:dyDescent="0.2">
      <c r="B9" t="s">
        <v>14</v>
      </c>
      <c r="C9" t="s">
        <v>15</v>
      </c>
      <c r="D9" t="s">
        <v>16</v>
      </c>
      <c r="E9" t="s">
        <v>17</v>
      </c>
      <c r="F9" t="s">
        <v>18</v>
      </c>
      <c r="G9" t="s">
        <v>19</v>
      </c>
      <c r="H9" t="s">
        <v>132</v>
      </c>
      <c r="I9" t="s">
        <v>83</v>
      </c>
      <c r="J9" t="s">
        <v>84</v>
      </c>
    </row>
    <row r="10" spans="1:10" x14ac:dyDescent="0.2">
      <c r="A10" t="s">
        <v>9</v>
      </c>
    </row>
    <row r="11" spans="1:10" x14ac:dyDescent="0.2">
      <c r="A11" t="s">
        <v>172</v>
      </c>
      <c r="B11">
        <v>0</v>
      </c>
      <c r="C11">
        <v>0</v>
      </c>
      <c r="D11">
        <v>0</v>
      </c>
      <c r="E11">
        <v>0</v>
      </c>
      <c r="F11">
        <v>0</v>
      </c>
      <c r="G11">
        <v>0</v>
      </c>
      <c r="H11">
        <v>0</v>
      </c>
      <c r="I11">
        <v>0</v>
      </c>
      <c r="J11">
        <f t="shared" ref="J11:J25" si="0">SUM(B11:I11)</f>
        <v>0</v>
      </c>
    </row>
    <row r="12" spans="1:10" x14ac:dyDescent="0.2">
      <c r="A12" t="s">
        <v>34</v>
      </c>
      <c r="B12">
        <v>0</v>
      </c>
      <c r="C12">
        <v>0</v>
      </c>
      <c r="D12">
        <v>0</v>
      </c>
      <c r="E12">
        <v>0</v>
      </c>
      <c r="F12">
        <v>0</v>
      </c>
      <c r="G12">
        <v>0</v>
      </c>
      <c r="H12">
        <v>0</v>
      </c>
      <c r="I12">
        <v>0</v>
      </c>
      <c r="J12">
        <f t="shared" si="0"/>
        <v>0</v>
      </c>
    </row>
    <row r="13" spans="1:10" x14ac:dyDescent="0.2">
      <c r="A13" t="s">
        <v>35</v>
      </c>
      <c r="B13">
        <f>56.795+96.208</f>
        <v>153.00299999999999</v>
      </c>
      <c r="C13">
        <f>184.5+109.11</f>
        <v>293.61</v>
      </c>
      <c r="D13">
        <f>16.3+9.61</f>
        <v>25.91</v>
      </c>
      <c r="E13">
        <f>53.093+67.758</f>
        <v>120.851</v>
      </c>
      <c r="F13">
        <f>1.501+2.514</f>
        <v>4.0149999999999997</v>
      </c>
      <c r="G13">
        <f>3.957+6.632</f>
        <v>10.588999999999999</v>
      </c>
      <c r="H13">
        <f>10.205+5.575</f>
        <v>15.780000000000001</v>
      </c>
      <c r="I13">
        <f>4.87+8.135</f>
        <v>13.004999999999999</v>
      </c>
      <c r="J13">
        <f t="shared" si="0"/>
        <v>636.76300000000003</v>
      </c>
    </row>
    <row r="14" spans="1:10" x14ac:dyDescent="0.2">
      <c r="A14" t="s">
        <v>173</v>
      </c>
      <c r="B14">
        <f>37.85+20.53</f>
        <v>58.38</v>
      </c>
      <c r="C14">
        <f>248.575+134.678</f>
        <v>383.25299999999999</v>
      </c>
      <c r="D14">
        <f>26.528+14.34</f>
        <v>40.867999999999995</v>
      </c>
      <c r="E14">
        <f>21.385+36.005</f>
        <v>57.39</v>
      </c>
      <c r="F14">
        <f>2.563+1.394</f>
        <v>3.9569999999999999</v>
      </c>
      <c r="G14">
        <f>7.603+3.673</f>
        <v>11.276</v>
      </c>
      <c r="H14">
        <f>0+0</f>
        <v>0</v>
      </c>
      <c r="I14">
        <f>12.58+6.815</f>
        <v>19.395</v>
      </c>
      <c r="J14">
        <f t="shared" si="0"/>
        <v>574.51899999999989</v>
      </c>
    </row>
    <row r="15" spans="1:10" x14ac:dyDescent="0.2">
      <c r="A15" t="s">
        <v>37</v>
      </c>
      <c r="B15">
        <f>35.71+19.385</f>
        <v>55.094999999999999</v>
      </c>
      <c r="C15">
        <f>96.578+176.973</f>
        <v>273.55100000000004</v>
      </c>
      <c r="D15">
        <f>13.38+7.258</f>
        <v>20.638000000000002</v>
      </c>
      <c r="E15">
        <f>12.425+30.905</f>
        <v>43.33</v>
      </c>
      <c r="F15">
        <f>2.765+1.504</f>
        <v>4.2690000000000001</v>
      </c>
      <c r="G15">
        <f>6.015+2.997</f>
        <v>9.0120000000000005</v>
      </c>
      <c r="H15">
        <v>0</v>
      </c>
      <c r="I15">
        <f>8.74+4.78</f>
        <v>13.52</v>
      </c>
      <c r="J15">
        <f t="shared" si="0"/>
        <v>419.41500000000002</v>
      </c>
    </row>
    <row r="16" spans="1:10" x14ac:dyDescent="0.2">
      <c r="A16" t="s">
        <v>38</v>
      </c>
      <c r="B16">
        <f>65.73+35.675</f>
        <v>101.405</v>
      </c>
      <c r="C16">
        <f>175.495+89.773</f>
        <v>265.26800000000003</v>
      </c>
      <c r="D16">
        <f>16.945+8.755</f>
        <v>25.700000000000003</v>
      </c>
      <c r="E16">
        <f>11.03+36.819</f>
        <v>47.849000000000004</v>
      </c>
      <c r="F16">
        <f>2.159+1.161</f>
        <v>3.32</v>
      </c>
      <c r="G16">
        <f>4.18+2.305</f>
        <v>6.4849999999999994</v>
      </c>
      <c r="H16">
        <v>0</v>
      </c>
      <c r="I16">
        <f>11.045+6.145</f>
        <v>17.189999999999998</v>
      </c>
      <c r="J16">
        <f t="shared" si="0"/>
        <v>467.21699999999998</v>
      </c>
    </row>
    <row r="17" spans="1:10" x14ac:dyDescent="0.2">
      <c r="A17" t="s">
        <v>95</v>
      </c>
      <c r="B17">
        <f>62.075+33.76</f>
        <v>95.835000000000008</v>
      </c>
      <c r="C17">
        <f>197.585+107.515</f>
        <v>305.10000000000002</v>
      </c>
      <c r="D17">
        <f>15.093+8.23</f>
        <v>23.323</v>
      </c>
      <c r="E17">
        <v>5.0149999999999997</v>
      </c>
      <c r="F17">
        <f>2.648+1.447</f>
        <v>4.0950000000000006</v>
      </c>
      <c r="G17">
        <f>5.197+2.838</f>
        <v>8.0350000000000001</v>
      </c>
      <c r="H17">
        <v>0</v>
      </c>
      <c r="I17">
        <f>9.48+5.17</f>
        <v>14.65</v>
      </c>
      <c r="J17">
        <f t="shared" si="0"/>
        <v>456.05300000000005</v>
      </c>
    </row>
    <row r="18" spans="1:10" x14ac:dyDescent="0.2">
      <c r="A18" t="s">
        <v>40</v>
      </c>
      <c r="B18">
        <f>45.435+33.76</f>
        <v>79.194999999999993</v>
      </c>
      <c r="C18">
        <f>107.515+196.013</f>
        <v>303.52800000000002</v>
      </c>
      <c r="D18">
        <f>15.447+8.23</f>
        <v>23.677</v>
      </c>
      <c r="E18">
        <v>5.15</v>
      </c>
      <c r="F18">
        <f>2.283+2.838</f>
        <v>5.1210000000000004</v>
      </c>
      <c r="G18">
        <f>4.255+2.838</f>
        <v>7.093</v>
      </c>
      <c r="H18">
        <v>0</v>
      </c>
      <c r="I18">
        <f>13.18+5.17</f>
        <v>18.350000000000001</v>
      </c>
      <c r="J18">
        <f t="shared" si="0"/>
        <v>442.11400000000003</v>
      </c>
    </row>
    <row r="19" spans="1:10" x14ac:dyDescent="0.2">
      <c r="A19" t="s">
        <v>41</v>
      </c>
      <c r="B19">
        <f>49.84+27.175</f>
        <v>77.015000000000001</v>
      </c>
      <c r="C19">
        <f>175.34+95.605</f>
        <v>270.94499999999999</v>
      </c>
      <c r="D19">
        <f>14.625+7.97</f>
        <v>22.594999999999999</v>
      </c>
      <c r="E19">
        <f>18.255+6.295</f>
        <v>24.549999999999997</v>
      </c>
      <c r="F19">
        <f>3.209+1.752</f>
        <v>4.9610000000000003</v>
      </c>
      <c r="G19">
        <f>6.372+3.477</f>
        <v>9.8490000000000002</v>
      </c>
      <c r="H19">
        <v>0</v>
      </c>
      <c r="I19">
        <f>7.77+4.23</f>
        <v>12</v>
      </c>
      <c r="J19">
        <f t="shared" si="0"/>
        <v>421.91499999999996</v>
      </c>
    </row>
    <row r="20" spans="1:10" x14ac:dyDescent="0.2">
      <c r="A20" t="s">
        <v>42</v>
      </c>
      <c r="B20">
        <f>66.035+36.41</f>
        <v>102.44499999999999</v>
      </c>
      <c r="C20">
        <f>165.24+91</f>
        <v>256.24</v>
      </c>
      <c r="D20">
        <f>14.92+8.178</f>
        <v>23.097999999999999</v>
      </c>
      <c r="E20">
        <f>24.81+5.33</f>
        <v>30.14</v>
      </c>
      <c r="F20">
        <f>3.573+2.009</f>
        <v>5.5819999999999999</v>
      </c>
      <c r="G20">
        <f>7.095+3.987</f>
        <v>11.082000000000001</v>
      </c>
      <c r="H20">
        <v>0</v>
      </c>
      <c r="I20">
        <f>4.585+8.285</f>
        <v>12.870000000000001</v>
      </c>
      <c r="J20">
        <f t="shared" si="0"/>
        <v>441.45699999999999</v>
      </c>
    </row>
    <row r="21" spans="1:10" x14ac:dyDescent="0.2">
      <c r="A21" t="s">
        <v>43</v>
      </c>
      <c r="B21">
        <f>53.64+100.185</f>
        <v>153.82499999999999</v>
      </c>
      <c r="C21">
        <f>123.158+65.93</f>
        <v>189.08800000000002</v>
      </c>
      <c r="D21">
        <f>8.305+15.515</f>
        <v>23.82</v>
      </c>
      <c r="E21">
        <f>71.17+14.82</f>
        <v>85.990000000000009</v>
      </c>
      <c r="F21">
        <f>2.874+1.539</f>
        <v>4.4130000000000003</v>
      </c>
      <c r="G21">
        <f>3.055+5.698</f>
        <v>8.7530000000000001</v>
      </c>
      <c r="H21">
        <v>0</v>
      </c>
      <c r="I21">
        <f>9.425+5.045</f>
        <v>14.47</v>
      </c>
      <c r="J21">
        <f t="shared" si="0"/>
        <v>480.35900000000004</v>
      </c>
    </row>
    <row r="22" spans="1:10" x14ac:dyDescent="0.2">
      <c r="A22" t="s">
        <v>44</v>
      </c>
      <c r="B22">
        <f>109.44+59.67</f>
        <v>169.11</v>
      </c>
      <c r="C22">
        <f>143.61+78.3</f>
        <v>221.91000000000003</v>
      </c>
      <c r="D22">
        <f>15.865+8.655</f>
        <v>24.52</v>
      </c>
      <c r="E22">
        <f>88.52+9.03</f>
        <v>97.55</v>
      </c>
      <c r="F22">
        <f>4.119+2.249</f>
        <v>6.3680000000000003</v>
      </c>
      <c r="G22">
        <f>8.179+4.44</f>
        <v>12.619</v>
      </c>
      <c r="H22">
        <v>0</v>
      </c>
      <c r="I22">
        <f>7.38+4.02</f>
        <v>11.399999999999999</v>
      </c>
      <c r="J22">
        <f t="shared" si="0"/>
        <v>543.47700000000009</v>
      </c>
    </row>
    <row r="23" spans="1:10" x14ac:dyDescent="0.2">
      <c r="A23" t="s">
        <v>116</v>
      </c>
      <c r="B23">
        <f>115.86+63.24</f>
        <v>179.1</v>
      </c>
      <c r="C23">
        <f>143.935+78.575</f>
        <v>222.51</v>
      </c>
      <c r="D23">
        <f>16.945+9.265</f>
        <v>26.21</v>
      </c>
      <c r="E23">
        <f>67.46+6.84</f>
        <v>74.3</v>
      </c>
      <c r="F23">
        <f>4.041+2.207</f>
        <v>6.2480000000000002</v>
      </c>
      <c r="G23">
        <f>8.023+4.382</f>
        <v>12.404999999999999</v>
      </c>
      <c r="H23">
        <f>2.935+0.82</f>
        <v>3.7549999999999999</v>
      </c>
      <c r="I23">
        <f>6.795+3.71</f>
        <v>10.504999999999999</v>
      </c>
      <c r="J23">
        <f t="shared" si="0"/>
        <v>535.03300000000002</v>
      </c>
    </row>
    <row r="24" spans="1:10" x14ac:dyDescent="0.2">
      <c r="A24" t="s">
        <v>34</v>
      </c>
      <c r="B24">
        <f>106.395+56.06</f>
        <v>162.45499999999998</v>
      </c>
      <c r="C24">
        <f>149.99+79.015</f>
        <v>229.005</v>
      </c>
      <c r="D24">
        <f>14.795+7.795</f>
        <v>22.59</v>
      </c>
      <c r="E24">
        <f>85.49+6.47</f>
        <v>91.96</v>
      </c>
      <c r="F24">
        <f>3.058+1.615</f>
        <v>4.673</v>
      </c>
      <c r="G24">
        <f>6.071+3.206</f>
        <v>9.2769999999999992</v>
      </c>
      <c r="H24">
        <f>5.87+2.645</f>
        <v>8.5150000000000006</v>
      </c>
      <c r="I24">
        <f>8.255+4.345</f>
        <v>12.600000000000001</v>
      </c>
      <c r="J24">
        <f t="shared" si="0"/>
        <v>541.07499999999993</v>
      </c>
    </row>
    <row r="25" spans="1:10" x14ac:dyDescent="0.2">
      <c r="A25" t="s">
        <v>35</v>
      </c>
      <c r="B25">
        <v>0</v>
      </c>
      <c r="C25">
        <v>0</v>
      </c>
      <c r="D25">
        <v>0</v>
      </c>
      <c r="E25">
        <v>0</v>
      </c>
      <c r="F25">
        <v>0</v>
      </c>
      <c r="G25">
        <v>0</v>
      </c>
      <c r="H25">
        <v>0</v>
      </c>
      <c r="I25">
        <v>0</v>
      </c>
      <c r="J25">
        <f t="shared" si="0"/>
        <v>0</v>
      </c>
    </row>
    <row r="26" spans="1:10" x14ac:dyDescent="0.2">
      <c r="A26" t="s">
        <v>22</v>
      </c>
      <c r="B26">
        <f t="shared" ref="B26:J26" si="1">SUM(B11:B25)</f>
        <v>1386.8629999999998</v>
      </c>
      <c r="C26">
        <f t="shared" si="1"/>
        <v>3214.0079999999998</v>
      </c>
      <c r="D26">
        <f t="shared" si="1"/>
        <v>302.94899999999996</v>
      </c>
      <c r="E26">
        <f t="shared" si="1"/>
        <v>684.07499999999993</v>
      </c>
      <c r="F26">
        <f t="shared" si="1"/>
        <v>57.022000000000006</v>
      </c>
      <c r="G26">
        <f t="shared" si="1"/>
        <v>116.47499999999999</v>
      </c>
      <c r="H26">
        <f t="shared" si="1"/>
        <v>28.05</v>
      </c>
      <c r="I26">
        <f t="shared" si="1"/>
        <v>169.95500000000001</v>
      </c>
      <c r="J26">
        <f t="shared" si="1"/>
        <v>5959.3969999999999</v>
      </c>
    </row>
    <row r="28" spans="1:10" x14ac:dyDescent="0.2">
      <c r="A28" t="s">
        <v>117</v>
      </c>
      <c r="B28">
        <v>0.28100000000000003</v>
      </c>
      <c r="C28">
        <v>0.31900000000000001</v>
      </c>
      <c r="D28">
        <v>7.8E-2</v>
      </c>
      <c r="E28">
        <v>0.2409</v>
      </c>
      <c r="F28">
        <v>1.7500000000000002E-2</v>
      </c>
      <c r="G28">
        <v>3.9600000000000003E-2</v>
      </c>
      <c r="H28">
        <v>1.3599999999999999E-2</v>
      </c>
      <c r="I28">
        <v>1.04E-2</v>
      </c>
    </row>
    <row r="30" spans="1:10" x14ac:dyDescent="0.2">
      <c r="A30" t="s">
        <v>86</v>
      </c>
      <c r="B30" t="s">
        <v>6</v>
      </c>
    </row>
    <row r="31" spans="1:10" x14ac:dyDescent="0.2">
      <c r="A31" t="str">
        <f t="shared" ref="A31:A44" si="2">A11</f>
        <v>October 02</v>
      </c>
      <c r="B31">
        <v>0</v>
      </c>
      <c r="C31">
        <v>0</v>
      </c>
      <c r="D31">
        <v>0</v>
      </c>
      <c r="E31">
        <v>0</v>
      </c>
      <c r="F31">
        <v>0</v>
      </c>
      <c r="G31">
        <v>0</v>
      </c>
      <c r="H31">
        <v>0</v>
      </c>
      <c r="I31">
        <v>0</v>
      </c>
    </row>
    <row r="32" spans="1:10" x14ac:dyDescent="0.2">
      <c r="A32" t="str">
        <f t="shared" si="2"/>
        <v>November</v>
      </c>
      <c r="B32">
        <v>0</v>
      </c>
      <c r="C32">
        <v>0</v>
      </c>
      <c r="D32">
        <v>0</v>
      </c>
      <c r="E32">
        <v>0</v>
      </c>
      <c r="F32">
        <v>0</v>
      </c>
      <c r="G32">
        <v>0</v>
      </c>
      <c r="H32">
        <v>0</v>
      </c>
      <c r="I32">
        <v>0</v>
      </c>
    </row>
    <row r="33" spans="1:10" x14ac:dyDescent="0.2">
      <c r="A33" t="str">
        <f t="shared" si="2"/>
        <v>December</v>
      </c>
      <c r="B33">
        <v>19</v>
      </c>
      <c r="C33">
        <v>10</v>
      </c>
      <c r="D33">
        <v>26.75</v>
      </c>
      <c r="E33" t="s">
        <v>118</v>
      </c>
      <c r="F33">
        <v>480</v>
      </c>
      <c r="G33">
        <v>-18.5</v>
      </c>
      <c r="H33">
        <v>0</v>
      </c>
      <c r="I33">
        <v>100</v>
      </c>
    </row>
    <row r="34" spans="1:10" x14ac:dyDescent="0.2">
      <c r="A34" t="str">
        <f t="shared" si="2"/>
        <v>January 03</v>
      </c>
      <c r="B34">
        <v>22</v>
      </c>
      <c r="C34">
        <v>7.5</v>
      </c>
      <c r="D34">
        <v>26</v>
      </c>
      <c r="E34" t="s">
        <v>118</v>
      </c>
      <c r="F34">
        <v>500</v>
      </c>
      <c r="G34">
        <v>0</v>
      </c>
      <c r="H34">
        <v>0</v>
      </c>
      <c r="I34">
        <v>110</v>
      </c>
    </row>
    <row r="35" spans="1:10" x14ac:dyDescent="0.2">
      <c r="A35" t="str">
        <f t="shared" si="2"/>
        <v>February</v>
      </c>
      <c r="B35">
        <v>22</v>
      </c>
      <c r="C35">
        <v>9.5</v>
      </c>
      <c r="D35">
        <v>28</v>
      </c>
      <c r="E35" t="s">
        <v>118</v>
      </c>
      <c r="F35">
        <v>500</v>
      </c>
      <c r="G35">
        <v>0</v>
      </c>
      <c r="H35">
        <v>0</v>
      </c>
      <c r="I35">
        <v>110</v>
      </c>
    </row>
    <row r="36" spans="1:10" x14ac:dyDescent="0.2">
      <c r="A36" t="str">
        <f t="shared" si="2"/>
        <v>March</v>
      </c>
      <c r="B36">
        <v>20</v>
      </c>
      <c r="C36">
        <v>8</v>
      </c>
      <c r="D36">
        <v>37.5</v>
      </c>
      <c r="E36" t="s">
        <v>118</v>
      </c>
      <c r="F36">
        <v>500</v>
      </c>
      <c r="G36">
        <v>0</v>
      </c>
      <c r="H36">
        <v>0</v>
      </c>
      <c r="I36">
        <v>110</v>
      </c>
    </row>
    <row r="37" spans="1:10" x14ac:dyDescent="0.2">
      <c r="A37" t="str">
        <f t="shared" si="2"/>
        <v xml:space="preserve">April </v>
      </c>
      <c r="B37">
        <v>20</v>
      </c>
      <c r="C37">
        <v>8</v>
      </c>
      <c r="D37">
        <v>38</v>
      </c>
      <c r="E37" t="s">
        <v>118</v>
      </c>
      <c r="F37">
        <v>500</v>
      </c>
      <c r="G37">
        <v>0</v>
      </c>
      <c r="H37">
        <v>0</v>
      </c>
      <c r="I37">
        <v>110</v>
      </c>
    </row>
    <row r="38" spans="1:10" x14ac:dyDescent="0.2">
      <c r="A38" t="str">
        <f t="shared" si="2"/>
        <v>May</v>
      </c>
      <c r="B38">
        <v>21.5</v>
      </c>
      <c r="C38">
        <v>10</v>
      </c>
      <c r="D38">
        <v>42</v>
      </c>
      <c r="E38" t="s">
        <v>118</v>
      </c>
      <c r="F38">
        <v>500</v>
      </c>
      <c r="G38">
        <v>0</v>
      </c>
      <c r="H38">
        <v>0</v>
      </c>
      <c r="I38">
        <v>110</v>
      </c>
    </row>
    <row r="39" spans="1:10" x14ac:dyDescent="0.2">
      <c r="A39" t="str">
        <f t="shared" si="2"/>
        <v>June</v>
      </c>
      <c r="B39">
        <v>22</v>
      </c>
      <c r="C39">
        <v>8.5</v>
      </c>
      <c r="D39">
        <v>40</v>
      </c>
      <c r="E39" t="s">
        <v>118</v>
      </c>
      <c r="F39">
        <v>500</v>
      </c>
      <c r="G39">
        <v>0</v>
      </c>
      <c r="H39">
        <v>0</v>
      </c>
      <c r="I39">
        <v>110</v>
      </c>
    </row>
    <row r="40" spans="1:10" x14ac:dyDescent="0.2">
      <c r="A40" t="str">
        <f t="shared" si="2"/>
        <v>July</v>
      </c>
      <c r="B40">
        <v>22</v>
      </c>
      <c r="C40">
        <v>8</v>
      </c>
      <c r="D40">
        <v>36</v>
      </c>
      <c r="E40" t="s">
        <v>118</v>
      </c>
      <c r="F40">
        <v>500</v>
      </c>
      <c r="G40">
        <v>0</v>
      </c>
      <c r="H40">
        <v>0</v>
      </c>
      <c r="I40">
        <v>110</v>
      </c>
    </row>
    <row r="41" spans="1:10" x14ac:dyDescent="0.2">
      <c r="A41" t="str">
        <f t="shared" si="2"/>
        <v>August</v>
      </c>
      <c r="B41">
        <v>17</v>
      </c>
      <c r="C41">
        <v>8</v>
      </c>
      <c r="D41">
        <v>36</v>
      </c>
      <c r="E41" t="s">
        <v>118</v>
      </c>
      <c r="F41">
        <v>500</v>
      </c>
      <c r="G41">
        <v>0</v>
      </c>
      <c r="H41">
        <v>0</v>
      </c>
      <c r="I41">
        <v>110</v>
      </c>
    </row>
    <row r="42" spans="1:10" x14ac:dyDescent="0.2">
      <c r="A42" t="str">
        <f t="shared" si="2"/>
        <v>September</v>
      </c>
      <c r="B42">
        <v>14.5</v>
      </c>
      <c r="C42">
        <v>5</v>
      </c>
      <c r="D42">
        <v>38</v>
      </c>
      <c r="E42" t="s">
        <v>118</v>
      </c>
      <c r="F42">
        <v>500</v>
      </c>
      <c r="G42">
        <v>0</v>
      </c>
      <c r="H42">
        <v>0</v>
      </c>
      <c r="I42">
        <v>110</v>
      </c>
    </row>
    <row r="43" spans="1:10" x14ac:dyDescent="0.2">
      <c r="A43" t="str">
        <f t="shared" si="2"/>
        <v xml:space="preserve">October </v>
      </c>
      <c r="B43">
        <f>B60/B23</f>
        <v>17</v>
      </c>
      <c r="C43">
        <v>5</v>
      </c>
      <c r="D43">
        <v>38</v>
      </c>
      <c r="E43" t="s">
        <v>118</v>
      </c>
      <c r="F43">
        <v>500</v>
      </c>
      <c r="G43">
        <v>0</v>
      </c>
      <c r="H43">
        <v>0</v>
      </c>
      <c r="I43">
        <v>110</v>
      </c>
    </row>
    <row r="44" spans="1:10" x14ac:dyDescent="0.2">
      <c r="A44" t="str">
        <f t="shared" si="2"/>
        <v>November</v>
      </c>
      <c r="B44">
        <f>B61/B24</f>
        <v>17.000030777753839</v>
      </c>
      <c r="C44">
        <v>5</v>
      </c>
      <c r="D44">
        <v>37.5</v>
      </c>
      <c r="E44" t="s">
        <v>118</v>
      </c>
      <c r="F44">
        <v>500</v>
      </c>
      <c r="G44">
        <v>0</v>
      </c>
      <c r="H44">
        <v>0</v>
      </c>
      <c r="I44">
        <v>110</v>
      </c>
    </row>
    <row r="45" spans="1:10" x14ac:dyDescent="0.2">
      <c r="A45" t="s">
        <v>35</v>
      </c>
      <c r="B45">
        <v>0</v>
      </c>
      <c r="C45">
        <v>0</v>
      </c>
      <c r="D45">
        <v>0</v>
      </c>
      <c r="E45">
        <v>0</v>
      </c>
      <c r="F45">
        <v>0</v>
      </c>
      <c r="G45">
        <v>0</v>
      </c>
      <c r="H45">
        <v>0</v>
      </c>
      <c r="I45">
        <v>0</v>
      </c>
    </row>
    <row r="46" spans="1:10" x14ac:dyDescent="0.2">
      <c r="B46" t="s">
        <v>14</v>
      </c>
      <c r="C46" t="s">
        <v>15</v>
      </c>
      <c r="D46" t="s">
        <v>16</v>
      </c>
      <c r="E46" t="s">
        <v>17</v>
      </c>
      <c r="F46" t="s">
        <v>18</v>
      </c>
      <c r="G46" t="s">
        <v>19</v>
      </c>
      <c r="H46" t="s">
        <v>132</v>
      </c>
      <c r="I46" t="s">
        <v>83</v>
      </c>
      <c r="J46" t="s">
        <v>84</v>
      </c>
    </row>
    <row r="47" spans="1:10" x14ac:dyDescent="0.2">
      <c r="A47" t="s">
        <v>24</v>
      </c>
      <c r="C47" t="s">
        <v>6</v>
      </c>
    </row>
    <row r="48" spans="1:10" x14ac:dyDescent="0.2">
      <c r="A48" t="str">
        <f t="shared" ref="A48:A61" si="3">A11</f>
        <v>October 02</v>
      </c>
      <c r="B48">
        <v>0</v>
      </c>
      <c r="C48">
        <v>0</v>
      </c>
      <c r="D48">
        <v>0</v>
      </c>
      <c r="E48">
        <v>0</v>
      </c>
      <c r="F48">
        <v>0</v>
      </c>
      <c r="G48">
        <v>0</v>
      </c>
      <c r="H48">
        <v>0</v>
      </c>
      <c r="I48">
        <v>0</v>
      </c>
      <c r="J48">
        <f>SUM(B48:I48)</f>
        <v>0</v>
      </c>
    </row>
    <row r="49" spans="1:10" x14ac:dyDescent="0.2">
      <c r="A49" t="str">
        <f t="shared" si="3"/>
        <v>November</v>
      </c>
      <c r="B49">
        <v>0</v>
      </c>
      <c r="C49">
        <v>0</v>
      </c>
      <c r="D49">
        <v>0</v>
      </c>
      <c r="E49">
        <v>0</v>
      </c>
      <c r="F49">
        <v>0</v>
      </c>
      <c r="G49">
        <v>0</v>
      </c>
      <c r="H49">
        <v>0</v>
      </c>
      <c r="I49">
        <v>0</v>
      </c>
      <c r="J49">
        <f>SUM(B49:I49)</f>
        <v>0</v>
      </c>
    </row>
    <row r="50" spans="1:10" x14ac:dyDescent="0.2">
      <c r="A50" t="str">
        <f t="shared" si="3"/>
        <v>December</v>
      </c>
      <c r="B50">
        <v>2915.69</v>
      </c>
      <c r="C50">
        <v>2936.1</v>
      </c>
      <c r="D50">
        <v>696.23</v>
      </c>
      <c r="E50">
        <v>2056.7199999999998</v>
      </c>
      <c r="F50">
        <v>1926.88</v>
      </c>
      <c r="G50">
        <v>-194.52</v>
      </c>
      <c r="H50">
        <v>0</v>
      </c>
      <c r="I50">
        <v>1300.5</v>
      </c>
      <c r="J50">
        <v>11637.6</v>
      </c>
    </row>
    <row r="51" spans="1:10" x14ac:dyDescent="0.2">
      <c r="A51" t="str">
        <f t="shared" si="3"/>
        <v>January 03</v>
      </c>
      <c r="B51">
        <v>1284.3599999999999</v>
      </c>
      <c r="C51">
        <v>2874.39</v>
      </c>
      <c r="D51">
        <v>1062.56</v>
      </c>
      <c r="E51">
        <v>1695.53</v>
      </c>
      <c r="F51">
        <v>1978</v>
      </c>
      <c r="G51">
        <v>0</v>
      </c>
      <c r="H51">
        <v>0</v>
      </c>
      <c r="I51">
        <v>2133.4499999999998</v>
      </c>
      <c r="J51">
        <v>11028.29</v>
      </c>
    </row>
    <row r="52" spans="1:10" x14ac:dyDescent="0.2">
      <c r="A52" t="str">
        <f t="shared" si="3"/>
        <v>February</v>
      </c>
      <c r="B52">
        <v>1212.0899999999999</v>
      </c>
      <c r="C52">
        <v>2598.73</v>
      </c>
      <c r="D52">
        <v>577.85</v>
      </c>
      <c r="E52">
        <v>0</v>
      </c>
      <c r="F52">
        <v>2138.84</v>
      </c>
      <c r="G52">
        <v>0</v>
      </c>
      <c r="H52">
        <v>0</v>
      </c>
      <c r="I52">
        <v>1487.2</v>
      </c>
      <c r="J52">
        <v>8014.71</v>
      </c>
    </row>
    <row r="53" spans="1:10" x14ac:dyDescent="0.2">
      <c r="A53" t="str">
        <f t="shared" si="3"/>
        <v>March</v>
      </c>
      <c r="B53">
        <v>2028.1</v>
      </c>
      <c r="C53">
        <v>2122.14</v>
      </c>
      <c r="D53">
        <v>963.75</v>
      </c>
      <c r="E53">
        <v>957.03</v>
      </c>
      <c r="F53">
        <v>1660</v>
      </c>
      <c r="G53">
        <v>0</v>
      </c>
      <c r="H53">
        <v>0</v>
      </c>
      <c r="I53">
        <v>1890.9</v>
      </c>
      <c r="J53">
        <v>9621.92</v>
      </c>
    </row>
    <row r="54" spans="1:10" x14ac:dyDescent="0.2">
      <c r="A54" t="str">
        <f t="shared" si="3"/>
        <v xml:space="preserve">April </v>
      </c>
      <c r="B54">
        <v>1916.7</v>
      </c>
      <c r="C54">
        <v>2440.8000000000002</v>
      </c>
      <c r="D54">
        <v>886.27</v>
      </c>
      <c r="E54">
        <v>452.27</v>
      </c>
      <c r="F54">
        <v>2047</v>
      </c>
      <c r="G54">
        <v>0</v>
      </c>
      <c r="H54">
        <v>0</v>
      </c>
      <c r="I54">
        <v>1611.5</v>
      </c>
      <c r="J54">
        <v>9354.5400000000009</v>
      </c>
    </row>
    <row r="55" spans="1:10" x14ac:dyDescent="0.2">
      <c r="A55" t="str">
        <f t="shared" si="3"/>
        <v>May</v>
      </c>
      <c r="B55">
        <v>1701.6</v>
      </c>
      <c r="C55">
        <v>3058.88</v>
      </c>
      <c r="D55">
        <v>1014.55</v>
      </c>
      <c r="E55">
        <v>241.49</v>
      </c>
      <c r="F55">
        <v>1779</v>
      </c>
      <c r="G55">
        <v>0</v>
      </c>
      <c r="H55">
        <v>0</v>
      </c>
      <c r="I55">
        <v>2261.6</v>
      </c>
      <c r="J55">
        <v>10057.120000000001</v>
      </c>
    </row>
    <row r="56" spans="1:10" x14ac:dyDescent="0.2">
      <c r="A56" t="str">
        <f t="shared" si="3"/>
        <v>June</v>
      </c>
      <c r="B56">
        <v>1694.33</v>
      </c>
      <c r="C56">
        <v>2303.0300000000002</v>
      </c>
      <c r="D56">
        <v>903.8</v>
      </c>
      <c r="E56">
        <v>132.22</v>
      </c>
      <c r="F56">
        <v>2480</v>
      </c>
      <c r="G56">
        <v>0</v>
      </c>
      <c r="H56">
        <v>0</v>
      </c>
      <c r="I56">
        <v>1320</v>
      </c>
      <c r="J56">
        <v>8833.3799999999992</v>
      </c>
    </row>
    <row r="57" spans="1:10" x14ac:dyDescent="0.2">
      <c r="A57" t="str">
        <f t="shared" si="3"/>
        <v>July</v>
      </c>
      <c r="B57">
        <v>2253.64</v>
      </c>
      <c r="C57">
        <v>2049.92</v>
      </c>
      <c r="D57">
        <v>831.49</v>
      </c>
      <c r="E57">
        <v>0</v>
      </c>
      <c r="F57">
        <v>2791</v>
      </c>
      <c r="G57">
        <v>0</v>
      </c>
      <c r="H57">
        <v>0</v>
      </c>
      <c r="I57">
        <v>1415.7</v>
      </c>
      <c r="J57">
        <v>9341.75</v>
      </c>
    </row>
    <row r="58" spans="1:10" x14ac:dyDescent="0.2">
      <c r="A58" t="str">
        <f t="shared" si="3"/>
        <v>August</v>
      </c>
      <c r="B58">
        <v>2615.0300000000002</v>
      </c>
      <c r="C58">
        <v>1512.7</v>
      </c>
      <c r="D58">
        <v>857.52</v>
      </c>
      <c r="E58">
        <v>-97.28</v>
      </c>
      <c r="F58">
        <v>2206.25</v>
      </c>
      <c r="G58">
        <v>0</v>
      </c>
      <c r="H58">
        <v>0</v>
      </c>
      <c r="I58">
        <v>1591.7</v>
      </c>
      <c r="J58">
        <v>8685.92</v>
      </c>
    </row>
    <row r="59" spans="1:10" x14ac:dyDescent="0.2">
      <c r="A59" t="str">
        <f t="shared" si="3"/>
        <v>September</v>
      </c>
      <c r="B59">
        <v>2418.42</v>
      </c>
      <c r="C59">
        <v>1088.93</v>
      </c>
      <c r="D59">
        <v>930.46</v>
      </c>
      <c r="E59">
        <v>0</v>
      </c>
      <c r="F59">
        <v>3183.75</v>
      </c>
      <c r="G59">
        <v>0</v>
      </c>
      <c r="H59">
        <v>0</v>
      </c>
      <c r="I59">
        <v>1254</v>
      </c>
      <c r="J59">
        <v>8875.5400000000009</v>
      </c>
    </row>
    <row r="60" spans="1:10" x14ac:dyDescent="0.2">
      <c r="A60" t="str">
        <f t="shared" si="3"/>
        <v xml:space="preserve">October </v>
      </c>
      <c r="B60">
        <v>3044.7</v>
      </c>
      <c r="C60">
        <v>1084.3599999999999</v>
      </c>
      <c r="D60">
        <v>995.98</v>
      </c>
      <c r="E60">
        <v>0</v>
      </c>
      <c r="F60">
        <v>3124</v>
      </c>
      <c r="G60">
        <v>0</v>
      </c>
      <c r="H60">
        <v>0</v>
      </c>
      <c r="I60">
        <v>1152.25</v>
      </c>
      <c r="J60">
        <v>9401.2800000000007</v>
      </c>
    </row>
    <row r="61" spans="1:10" x14ac:dyDescent="0.2">
      <c r="A61" t="str">
        <f t="shared" si="3"/>
        <v>November</v>
      </c>
      <c r="B61">
        <v>2761.74</v>
      </c>
      <c r="C61">
        <v>1145.03</v>
      </c>
      <c r="D61">
        <v>847.11</v>
      </c>
      <c r="E61">
        <v>419.6</v>
      </c>
      <c r="F61">
        <v>2336.25</v>
      </c>
      <c r="G61">
        <v>0</v>
      </c>
      <c r="H61">
        <v>0</v>
      </c>
      <c r="I61">
        <v>1386</v>
      </c>
      <c r="J61">
        <v>8895.73</v>
      </c>
    </row>
    <row r="62" spans="1:10" x14ac:dyDescent="0.2">
      <c r="A62" t="s">
        <v>174</v>
      </c>
      <c r="B62">
        <v>0</v>
      </c>
      <c r="C62">
        <v>0</v>
      </c>
      <c r="D62">
        <v>0</v>
      </c>
      <c r="E62">
        <v>0</v>
      </c>
      <c r="F62">
        <v>0</v>
      </c>
      <c r="G62">
        <v>0</v>
      </c>
      <c r="H62">
        <v>0</v>
      </c>
      <c r="I62">
        <v>0</v>
      </c>
      <c r="J62">
        <f>SUM(B62:I62)</f>
        <v>0</v>
      </c>
    </row>
    <row r="63" spans="1:10" x14ac:dyDescent="0.2">
      <c r="A63" t="s">
        <v>88</v>
      </c>
      <c r="B63">
        <f t="shared" ref="B63:I63" si="4">SUM(B48:B61)</f>
        <v>25846.400000000001</v>
      </c>
      <c r="C63">
        <f t="shared" si="4"/>
        <v>25215.01</v>
      </c>
      <c r="D63">
        <f t="shared" si="4"/>
        <v>10567.57</v>
      </c>
      <c r="E63">
        <f t="shared" si="4"/>
        <v>5857.58</v>
      </c>
      <c r="F63">
        <f t="shared" si="4"/>
        <v>27650.97</v>
      </c>
      <c r="G63">
        <f t="shared" si="4"/>
        <v>-194.52</v>
      </c>
      <c r="H63">
        <f t="shared" si="4"/>
        <v>0</v>
      </c>
      <c r="I63">
        <f t="shared" si="4"/>
        <v>18804.800000000003</v>
      </c>
    </row>
    <row r="65" spans="1:10" x14ac:dyDescent="0.2">
      <c r="A65" t="s">
        <v>89</v>
      </c>
      <c r="J65">
        <f>SUM(J48:J61)</f>
        <v>113747.77999999998</v>
      </c>
    </row>
    <row r="67" spans="1:10" x14ac:dyDescent="0.2">
      <c r="J67" t="s">
        <v>6</v>
      </c>
    </row>
    <row r="68" spans="1:10" x14ac:dyDescent="0.2">
      <c r="B68" t="s">
        <v>6</v>
      </c>
    </row>
  </sheetData>
  <phoneticPr fontId="0" type="noConversion"/>
  <pageMargins left="0.35" right="0.35" top="0.75" bottom="0.75" header="0.5" footer="0.5"/>
  <pageSetup orientation="portrait" horizontalDpi="4294967292" verticalDpi="0" r:id="rId1"/>
  <headerFooter alignWithMargins="0"/>
  <rowBreaks count="2" manualBreakCount="2">
    <brk max="65535" man="1"/>
    <brk id="65" max="65535"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115"/>
  <sheetViews>
    <sheetView zoomScale="70" zoomScaleNormal="70" workbookViewId="0"/>
  </sheetViews>
  <sheetFormatPr defaultRowHeight="15" x14ac:dyDescent="0.2"/>
  <cols>
    <col min="4" max="4" width="10.6640625" customWidth="1"/>
    <col min="7" max="7" width="9.33203125" bestFit="1" customWidth="1"/>
    <col min="10" max="10" width="9.21875" customWidth="1"/>
    <col min="11" max="11" width="12.21875" customWidth="1"/>
    <col min="13" max="13" width="9.5546875" customWidth="1"/>
    <col min="14" max="14" width="9.77734375" customWidth="1"/>
    <col min="15" max="15" width="13.88671875" customWidth="1"/>
    <col min="22" max="22" width="11.44140625" customWidth="1"/>
  </cols>
  <sheetData>
    <row r="1" spans="2:15" x14ac:dyDescent="0.2">
      <c r="F1" t="s">
        <v>0</v>
      </c>
    </row>
    <row r="2" spans="2:15" x14ac:dyDescent="0.2">
      <c r="F2" t="s">
        <v>1</v>
      </c>
    </row>
    <row r="3" spans="2:15" x14ac:dyDescent="0.2">
      <c r="F3" t="s">
        <v>2</v>
      </c>
    </row>
    <row r="4" spans="2:15" x14ac:dyDescent="0.2">
      <c r="K4" t="s">
        <v>261</v>
      </c>
      <c r="O4" t="s">
        <v>260</v>
      </c>
    </row>
    <row r="6" spans="2:15" x14ac:dyDescent="0.2">
      <c r="B6" t="s">
        <v>181</v>
      </c>
      <c r="K6">
        <f>+'6th year actual'!J28</f>
        <v>7206.2529999999988</v>
      </c>
      <c r="L6" t="s">
        <v>201</v>
      </c>
      <c r="O6">
        <f>+'6th year actual'!K28</f>
        <v>6556.1919999999991</v>
      </c>
    </row>
    <row r="7" spans="2:15" x14ac:dyDescent="0.2">
      <c r="K7">
        <v>25</v>
      </c>
      <c r="L7" t="s">
        <v>202</v>
      </c>
      <c r="O7">
        <v>25</v>
      </c>
    </row>
    <row r="8" spans="2:15" x14ac:dyDescent="0.2">
      <c r="B8" t="s">
        <v>4</v>
      </c>
      <c r="K8">
        <f>+K6*K7</f>
        <v>180156.32499999998</v>
      </c>
      <c r="L8" t="s">
        <v>203</v>
      </c>
      <c r="O8">
        <f>+O6*O7</f>
        <v>163904.79999999999</v>
      </c>
    </row>
    <row r="9" spans="2:15" x14ac:dyDescent="0.2">
      <c r="B9" t="s">
        <v>182</v>
      </c>
    </row>
    <row r="10" spans="2:15" x14ac:dyDescent="0.2">
      <c r="B10" t="s">
        <v>6</v>
      </c>
      <c r="K10">
        <f>SUM(D19:D33)</f>
        <v>675109</v>
      </c>
      <c r="L10" t="s">
        <v>204</v>
      </c>
      <c r="O10">
        <f>SUM(D20:D31)</f>
        <v>540003</v>
      </c>
    </row>
    <row r="12" spans="2:15" x14ac:dyDescent="0.2">
      <c r="K12">
        <f>+K10/K8</f>
        <v>3.7473510852311183</v>
      </c>
      <c r="O12">
        <f>+O10/O8</f>
        <v>3.294613702588332</v>
      </c>
    </row>
    <row r="13" spans="2:15" x14ac:dyDescent="0.2">
      <c r="F13" t="s">
        <v>7</v>
      </c>
      <c r="J13">
        <f>K8/K10</f>
        <v>0.26685516709153628</v>
      </c>
      <c r="K13">
        <f>+K12/12</f>
        <v>0.31227925710259319</v>
      </c>
      <c r="L13" t="s">
        <v>205</v>
      </c>
      <c r="O13">
        <f>+O12/12</f>
        <v>0.27455114188236102</v>
      </c>
    </row>
    <row r="14" spans="2:15" x14ac:dyDescent="0.2">
      <c r="D14" t="s">
        <v>30</v>
      </c>
      <c r="E14" t="s">
        <v>31</v>
      </c>
      <c r="F14" t="s">
        <v>8</v>
      </c>
      <c r="J14">
        <f>J13/0.92</f>
        <v>0.29005996422993074</v>
      </c>
      <c r="K14">
        <f>+K13/0.92</f>
        <v>0.3394339751115143</v>
      </c>
      <c r="L14" t="s">
        <v>258</v>
      </c>
      <c r="O14">
        <f>+O13/0.92</f>
        <v>0.29842515421995763</v>
      </c>
    </row>
    <row r="15" spans="2:15" x14ac:dyDescent="0.2">
      <c r="B15" t="s">
        <v>92</v>
      </c>
      <c r="D15" t="s">
        <v>26</v>
      </c>
      <c r="E15" t="s">
        <v>32</v>
      </c>
      <c r="F15" t="s">
        <v>13</v>
      </c>
    </row>
    <row r="17" spans="2:9" x14ac:dyDescent="0.2">
      <c r="B17" t="s">
        <v>177</v>
      </c>
      <c r="D17">
        <v>43832</v>
      </c>
      <c r="E17">
        <v>0</v>
      </c>
      <c r="F17" t="s">
        <v>6</v>
      </c>
    </row>
    <row r="18" spans="2:9" x14ac:dyDescent="0.2">
      <c r="B18" t="s">
        <v>34</v>
      </c>
      <c r="D18">
        <v>43832</v>
      </c>
      <c r="E18">
        <v>0</v>
      </c>
      <c r="F18" t="s">
        <v>6</v>
      </c>
    </row>
    <row r="19" spans="2:9" x14ac:dyDescent="0.2">
      <c r="B19" t="s">
        <v>35</v>
      </c>
      <c r="D19">
        <v>43832</v>
      </c>
      <c r="E19">
        <f>'6th year actual'!$J$54</f>
        <v>50449.867830847194</v>
      </c>
      <c r="F19">
        <f>SUM(E19)/SUM(D19)</f>
        <v>1.1509825659528927</v>
      </c>
    </row>
    <row r="20" spans="2:9" x14ac:dyDescent="0.2">
      <c r="B20" t="s">
        <v>176</v>
      </c>
      <c r="D20">
        <v>44117</v>
      </c>
      <c r="E20">
        <f>'6th year actual'!$J$55</f>
        <v>44891.521029239368</v>
      </c>
      <c r="F20">
        <f>SUM(E19:E20)/SUM(D19:D20)</f>
        <v>1.0840531314749067</v>
      </c>
    </row>
    <row r="21" spans="2:9" x14ac:dyDescent="0.2">
      <c r="B21" t="s">
        <v>37</v>
      </c>
      <c r="D21">
        <v>44117</v>
      </c>
      <c r="E21">
        <f>'6th year actual'!$J$56</f>
        <v>38406.229086844753</v>
      </c>
      <c r="F21">
        <f t="shared" ref="F21:F30" si="0">SUM(E19:E21)/SUM(D19:D21)</f>
        <v>1.0127331633193351</v>
      </c>
    </row>
    <row r="22" spans="2:9" x14ac:dyDescent="0.2">
      <c r="B22" t="s">
        <v>38</v>
      </c>
      <c r="D22">
        <v>44117</v>
      </c>
      <c r="E22">
        <f>'6th year actual'!$J$57</f>
        <v>45589.987291917911</v>
      </c>
      <c r="F22">
        <f t="shared" si="0"/>
        <v>0.97383274329625025</v>
      </c>
    </row>
    <row r="23" spans="2:9" x14ac:dyDescent="0.2">
      <c r="B23" t="s">
        <v>95</v>
      </c>
      <c r="D23">
        <v>44775</v>
      </c>
      <c r="E23">
        <f>'6th year actual'!$J$58</f>
        <v>43000.805305639042</v>
      </c>
      <c r="F23">
        <f t="shared" si="0"/>
        <v>0.95480021415394223</v>
      </c>
    </row>
    <row r="24" spans="2:9" x14ac:dyDescent="0.2">
      <c r="B24" t="s">
        <v>40</v>
      </c>
      <c r="D24">
        <v>44775</v>
      </c>
      <c r="E24">
        <f>'6th year actual'!$J$59</f>
        <v>44111.846588018867</v>
      </c>
      <c r="F24">
        <f t="shared" si="0"/>
        <v>0.99278534855705469</v>
      </c>
    </row>
    <row r="25" spans="2:9" x14ac:dyDescent="0.2">
      <c r="B25" t="s">
        <v>41</v>
      </c>
      <c r="D25">
        <v>44775</v>
      </c>
      <c r="E25">
        <f>'6th year actual'!$J$60</f>
        <v>44172.069378400403</v>
      </c>
      <c r="F25">
        <f t="shared" si="0"/>
        <v>0.97736624807041372</v>
      </c>
      <c r="H25">
        <f>AVERAGE(D17:D33)</f>
        <v>44869</v>
      </c>
      <c r="I25" t="s">
        <v>187</v>
      </c>
    </row>
    <row r="26" spans="2:9" x14ac:dyDescent="0.2">
      <c r="B26" t="s">
        <v>42</v>
      </c>
      <c r="D26">
        <v>45425</v>
      </c>
      <c r="E26">
        <f>'6th year actual'!$J$61</f>
        <v>45792.313107206915</v>
      </c>
      <c r="F26">
        <f t="shared" si="0"/>
        <v>0.99334120447213325</v>
      </c>
    </row>
    <row r="27" spans="2:9" x14ac:dyDescent="0.2">
      <c r="B27" t="s">
        <v>43</v>
      </c>
      <c r="D27">
        <v>45425</v>
      </c>
      <c r="E27">
        <f>'6th year actual'!$J$62</f>
        <v>49518.042542997362</v>
      </c>
      <c r="F27">
        <f t="shared" si="0"/>
        <v>1.0284418435288825</v>
      </c>
    </row>
    <row r="28" spans="2:9" x14ac:dyDescent="0.2">
      <c r="B28" t="s">
        <v>44</v>
      </c>
      <c r="D28">
        <v>45425</v>
      </c>
      <c r="E28">
        <f>'6th year actual'!$J$63</f>
        <v>49627.849189355249</v>
      </c>
      <c r="F28">
        <f t="shared" si="0"/>
        <v>1.0635714902921265</v>
      </c>
    </row>
    <row r="29" spans="2:9" x14ac:dyDescent="0.2">
      <c r="B29" t="s">
        <v>72</v>
      </c>
      <c r="D29">
        <v>45684</v>
      </c>
      <c r="E29">
        <f>'6th year actual'!$J$64</f>
        <v>49034.331802258166</v>
      </c>
      <c r="F29">
        <f t="shared" si="0"/>
        <v>1.0852990722795111</v>
      </c>
    </row>
    <row r="30" spans="2:9" x14ac:dyDescent="0.2">
      <c r="B30" t="s">
        <v>34</v>
      </c>
      <c r="D30">
        <v>45684</v>
      </c>
      <c r="E30">
        <f>'6th year actual'!$J$65</f>
        <v>42767.48194223467</v>
      </c>
      <c r="F30">
        <f t="shared" si="0"/>
        <v>1.0338954693138398</v>
      </c>
    </row>
    <row r="31" spans="2:9" x14ac:dyDescent="0.2">
      <c r="B31" t="s">
        <v>35</v>
      </c>
      <c r="D31">
        <v>45684</v>
      </c>
      <c r="E31">
        <f>'6th year actual'!$J$66</f>
        <v>47451.702115040083</v>
      </c>
      <c r="F31">
        <f>SUM(E29:E31)/SUM(D29:D31)</f>
        <v>1.0160633617862778</v>
      </c>
    </row>
    <row r="32" spans="2:9" x14ac:dyDescent="0.2">
      <c r="B32" t="s">
        <v>194</v>
      </c>
      <c r="D32">
        <v>45703</v>
      </c>
      <c r="E32">
        <f>+'6th year actual'!J67</f>
        <v>59490.177449999996</v>
      </c>
      <c r="F32">
        <f>SUM(E30:E32)/SUM(D30:D32)</f>
        <v>1.0922030298697372</v>
      </c>
    </row>
    <row r="33" spans="2:10" x14ac:dyDescent="0.2">
      <c r="B33" t="s">
        <v>37</v>
      </c>
      <c r="D33">
        <v>45571</v>
      </c>
      <c r="E33">
        <f>+'6th year actual'!J68</f>
        <v>50277.757599999997</v>
      </c>
      <c r="F33">
        <f>SUM(E31:E33)/SUM(D31:D33)</f>
        <v>1.1479405158153599</v>
      </c>
    </row>
    <row r="34" spans="2:10" ht="15.75" thickBot="1" x14ac:dyDescent="0.25">
      <c r="B34" t="s">
        <v>96</v>
      </c>
      <c r="D34">
        <f>SUM(D17:D33)</f>
        <v>762773</v>
      </c>
      <c r="E34">
        <f>SUM(E19:E33)</f>
        <v>704581.98225999984</v>
      </c>
      <c r="H34" t="s">
        <v>6</v>
      </c>
    </row>
    <row r="35" spans="2:10" ht="15.75" thickTop="1" x14ac:dyDescent="0.2"/>
    <row r="36" spans="2:10" ht="15.75" thickBot="1" x14ac:dyDescent="0.25">
      <c r="B36" t="s">
        <v>185</v>
      </c>
    </row>
    <row r="37" spans="2:10" ht="15.75" thickTop="1" x14ac:dyDescent="0.2"/>
    <row r="38" spans="2:10" x14ac:dyDescent="0.2">
      <c r="B38" t="s">
        <v>178</v>
      </c>
      <c r="F38">
        <v>0</v>
      </c>
    </row>
    <row r="39" spans="2:10" x14ac:dyDescent="0.2">
      <c r="B39" t="s">
        <v>179</v>
      </c>
      <c r="F39">
        <v>0</v>
      </c>
    </row>
    <row r="40" spans="2:10" x14ac:dyDescent="0.2">
      <c r="B40" t="s">
        <v>180</v>
      </c>
      <c r="F40">
        <f>+D19</f>
        <v>43832</v>
      </c>
    </row>
    <row r="41" spans="2:10" x14ac:dyDescent="0.2">
      <c r="B41" t="s">
        <v>6</v>
      </c>
      <c r="F41" t="s">
        <v>6</v>
      </c>
    </row>
    <row r="42" spans="2:10" x14ac:dyDescent="0.2">
      <c r="B42" t="s">
        <v>6</v>
      </c>
      <c r="F42">
        <f>(+F38+F39+F40)</f>
        <v>43832</v>
      </c>
    </row>
    <row r="43" spans="2:10" x14ac:dyDescent="0.2">
      <c r="B43" t="s">
        <v>101</v>
      </c>
      <c r="F43">
        <v>0.15</v>
      </c>
    </row>
    <row r="45" spans="2:10" x14ac:dyDescent="0.2">
      <c r="B45" t="s">
        <v>197</v>
      </c>
      <c r="G45">
        <f>F42*F43</f>
        <v>6574.8</v>
      </c>
      <c r="H45" t="s">
        <v>6</v>
      </c>
    </row>
    <row r="47" spans="2:10" x14ac:dyDescent="0.2">
      <c r="B47" t="s">
        <v>184</v>
      </c>
      <c r="F47">
        <f>SUM(D20:D31)</f>
        <v>540003</v>
      </c>
      <c r="J47" t="s">
        <v>6</v>
      </c>
    </row>
    <row r="48" spans="2:10" x14ac:dyDescent="0.2">
      <c r="B48" t="s">
        <v>195</v>
      </c>
      <c r="F48">
        <f>+D32</f>
        <v>45703</v>
      </c>
    </row>
    <row r="49" spans="2:18" x14ac:dyDescent="0.2">
      <c r="B49" t="s">
        <v>196</v>
      </c>
      <c r="F49">
        <f>+D33</f>
        <v>45571</v>
      </c>
    </row>
    <row r="51" spans="2:18" x14ac:dyDescent="0.2">
      <c r="B51" t="s">
        <v>101</v>
      </c>
      <c r="F51">
        <f>'Fifth Year Adj'!$J$74</f>
        <v>0.27704597718197532</v>
      </c>
    </row>
    <row r="54" spans="2:18" x14ac:dyDescent="0.2">
      <c r="B54" t="s">
        <v>198</v>
      </c>
      <c r="G54">
        <f>(F47+F48+F49)*F51</f>
        <v>174892.75333750583</v>
      </c>
    </row>
    <row r="56" spans="2:18" ht="15.75" thickBot="1" x14ac:dyDescent="0.25">
      <c r="B56" t="s">
        <v>104</v>
      </c>
      <c r="G56">
        <f>G45+G54</f>
        <v>181467.55333750581</v>
      </c>
    </row>
    <row r="57" spans="2:18" ht="15.75" thickTop="1" x14ac:dyDescent="0.2"/>
    <row r="58" spans="2:18" x14ac:dyDescent="0.2">
      <c r="B58" t="s">
        <v>50</v>
      </c>
      <c r="G58">
        <f>SUM(E19:E33)</f>
        <v>704581.98225999984</v>
      </c>
    </row>
    <row r="60" spans="2:18" ht="15.75" thickBot="1" x14ac:dyDescent="0.25">
      <c r="B60" t="s">
        <v>190</v>
      </c>
      <c r="G60">
        <f>G58-G56</f>
        <v>523114.42892249406</v>
      </c>
      <c r="H60" t="s">
        <v>199</v>
      </c>
    </row>
    <row r="61" spans="2:18" ht="15.75" thickTop="1" x14ac:dyDescent="0.2"/>
    <row r="62" spans="2:18" x14ac:dyDescent="0.2">
      <c r="R62" t="s">
        <v>257</v>
      </c>
    </row>
    <row r="63" spans="2:18" x14ac:dyDescent="0.2">
      <c r="B63" t="s">
        <v>106</v>
      </c>
    </row>
    <row r="64" spans="2:18" x14ac:dyDescent="0.2">
      <c r="R64" t="s">
        <v>245</v>
      </c>
    </row>
    <row r="65" spans="2:18" x14ac:dyDescent="0.2">
      <c r="B65" t="s">
        <v>107</v>
      </c>
      <c r="G65">
        <f>G60</f>
        <v>523114.42892249406</v>
      </c>
      <c r="R65" t="s">
        <v>244</v>
      </c>
    </row>
    <row r="66" spans="2:18" x14ac:dyDescent="0.2">
      <c r="B66" t="s">
        <v>54</v>
      </c>
      <c r="G66">
        <f>SUM(D31:D33)/3</f>
        <v>45652.666666666664</v>
      </c>
      <c r="R66" t="s">
        <v>246</v>
      </c>
    </row>
    <row r="67" spans="2:18" x14ac:dyDescent="0.2">
      <c r="B67" t="s">
        <v>108</v>
      </c>
      <c r="G67">
        <f>G65/G66</f>
        <v>11.458573334653559</v>
      </c>
      <c r="R67" t="s">
        <v>248</v>
      </c>
    </row>
    <row r="68" spans="2:18" x14ac:dyDescent="0.2">
      <c r="B68" t="s">
        <v>56</v>
      </c>
      <c r="R68" t="s">
        <v>249</v>
      </c>
    </row>
    <row r="69" spans="2:18" x14ac:dyDescent="0.2">
      <c r="B69" t="s">
        <v>57</v>
      </c>
      <c r="G69">
        <f>G67/12</f>
        <v>0.95488111122112995</v>
      </c>
      <c r="H69" t="s">
        <v>6</v>
      </c>
    </row>
    <row r="70" spans="2:18" x14ac:dyDescent="0.2">
      <c r="R70" t="s">
        <v>247</v>
      </c>
    </row>
    <row r="71" spans="2:18" x14ac:dyDescent="0.2">
      <c r="G71">
        <v>2004</v>
      </c>
      <c r="H71">
        <v>2005</v>
      </c>
      <c r="I71">
        <v>2005</v>
      </c>
      <c r="J71" t="s">
        <v>8</v>
      </c>
      <c r="R71" t="s">
        <v>250</v>
      </c>
    </row>
    <row r="72" spans="2:18" ht="15.75" thickBot="1" x14ac:dyDescent="0.25">
      <c r="B72" t="s">
        <v>58</v>
      </c>
      <c r="G72" t="s">
        <v>35</v>
      </c>
      <c r="H72" t="s">
        <v>214</v>
      </c>
      <c r="I72" t="s">
        <v>37</v>
      </c>
      <c r="J72" t="s">
        <v>13</v>
      </c>
      <c r="R72" t="s">
        <v>251</v>
      </c>
    </row>
    <row r="73" spans="2:18" ht="15.75" thickTop="1" x14ac:dyDescent="0.2"/>
    <row r="74" spans="2:18" x14ac:dyDescent="0.2">
      <c r="B74" t="s">
        <v>60</v>
      </c>
      <c r="G74">
        <f>E31</f>
        <v>47451.702115040083</v>
      </c>
      <c r="H74">
        <f>E32</f>
        <v>59490.177449999996</v>
      </c>
      <c r="I74">
        <f>E33</f>
        <v>50277.757599999997</v>
      </c>
      <c r="J74">
        <f>AVERAGE(G74:I74)</f>
        <v>52406.545721680021</v>
      </c>
      <c r="R74" t="s">
        <v>253</v>
      </c>
    </row>
    <row r="75" spans="2:18" x14ac:dyDescent="0.2">
      <c r="B75" t="s">
        <v>62</v>
      </c>
      <c r="G75">
        <f>D31</f>
        <v>45684</v>
      </c>
      <c r="H75">
        <f>D32</f>
        <v>45703</v>
      </c>
      <c r="I75">
        <f>D33</f>
        <v>45571</v>
      </c>
      <c r="J75">
        <f>AVERAGE(G75:I75)</f>
        <v>45652.666666666664</v>
      </c>
      <c r="R75" t="s">
        <v>252</v>
      </c>
    </row>
    <row r="76" spans="2:18" x14ac:dyDescent="0.2">
      <c r="K76">
        <f>+G69</f>
        <v>0.95488111122112995</v>
      </c>
      <c r="L76" t="s">
        <v>215</v>
      </c>
      <c r="R76" t="s">
        <v>254</v>
      </c>
    </row>
    <row r="77" spans="2:18" ht="15.75" thickBot="1" x14ac:dyDescent="0.25">
      <c r="B77" t="s">
        <v>200</v>
      </c>
      <c r="G77" t="s">
        <v>65</v>
      </c>
      <c r="J77">
        <f>J74/J75</f>
        <v>1.1479405158153599</v>
      </c>
      <c r="K77">
        <f>-K14</f>
        <v>-0.3394339751115143</v>
      </c>
      <c r="L77" t="s">
        <v>206</v>
      </c>
      <c r="R77" t="s">
        <v>255</v>
      </c>
    </row>
    <row r="78" spans="2:18" x14ac:dyDescent="0.2">
      <c r="B78" t="s">
        <v>111</v>
      </c>
      <c r="J78">
        <f>+K78</f>
        <v>0.61544713610961566</v>
      </c>
      <c r="K78">
        <f>+K76+K77</f>
        <v>0.61544713610961566</v>
      </c>
      <c r="L78" t="s">
        <v>207</v>
      </c>
      <c r="R78" t="s">
        <v>256</v>
      </c>
    </row>
    <row r="79" spans="2:18" x14ac:dyDescent="0.2">
      <c r="L79" t="s">
        <v>208</v>
      </c>
    </row>
    <row r="80" spans="2:18" x14ac:dyDescent="0.2">
      <c r="L80" t="s">
        <v>209</v>
      </c>
    </row>
    <row r="81" spans="2:18" x14ac:dyDescent="0.2">
      <c r="B81" t="s">
        <v>67</v>
      </c>
      <c r="E81" t="s">
        <v>68</v>
      </c>
      <c r="J81">
        <f>+J77+J78</f>
        <v>1.7633876519249756</v>
      </c>
    </row>
    <row r="84" spans="2:18" x14ac:dyDescent="0.2">
      <c r="N84" t="s">
        <v>216</v>
      </c>
    </row>
    <row r="86" spans="2:18" x14ac:dyDescent="0.2">
      <c r="N86" t="s">
        <v>212</v>
      </c>
      <c r="P86">
        <v>1.21</v>
      </c>
      <c r="Q86" t="s">
        <v>238</v>
      </c>
    </row>
    <row r="87" spans="2:18" x14ac:dyDescent="0.2">
      <c r="N87" t="s">
        <v>210</v>
      </c>
      <c r="P87">
        <v>0.51</v>
      </c>
      <c r="R87" t="s">
        <v>211</v>
      </c>
    </row>
    <row r="88" spans="2:18" x14ac:dyDescent="0.2">
      <c r="N88" t="s">
        <v>217</v>
      </c>
      <c r="P88">
        <f>+P86-P87</f>
        <v>0.7</v>
      </c>
    </row>
    <row r="91" spans="2:18" x14ac:dyDescent="0.2">
      <c r="M91" t="s">
        <v>241</v>
      </c>
      <c r="P91">
        <f>+P88</f>
        <v>0.7</v>
      </c>
      <c r="R91" t="s">
        <v>265</v>
      </c>
    </row>
    <row r="93" spans="2:18" x14ac:dyDescent="0.2">
      <c r="R93" t="s">
        <v>213</v>
      </c>
    </row>
    <row r="94" spans="2:18" x14ac:dyDescent="0.2">
      <c r="L94" t="s">
        <v>218</v>
      </c>
    </row>
    <row r="95" spans="2:18" x14ac:dyDescent="0.2">
      <c r="M95">
        <f>+P86</f>
        <v>1.21</v>
      </c>
      <c r="N95" t="s">
        <v>219</v>
      </c>
      <c r="P95">
        <f>+P86</f>
        <v>1.21</v>
      </c>
      <c r="Q95" t="s">
        <v>219</v>
      </c>
    </row>
    <row r="96" spans="2:18" x14ac:dyDescent="0.2">
      <c r="L96" t="s">
        <v>242</v>
      </c>
      <c r="M96">
        <f>+P88/2</f>
        <v>0.35</v>
      </c>
      <c r="N96" t="s">
        <v>243</v>
      </c>
      <c r="P96">
        <f>+S88/2</f>
        <v>0</v>
      </c>
      <c r="Q96" t="s">
        <v>221</v>
      </c>
    </row>
    <row r="97" spans="7:17" x14ac:dyDescent="0.2">
      <c r="G97" t="s">
        <v>231</v>
      </c>
      <c r="J97">
        <v>4.2300000000000004</v>
      </c>
      <c r="M97">
        <f>+J78</f>
        <v>0.61544713610961566</v>
      </c>
      <c r="N97" t="s">
        <v>220</v>
      </c>
      <c r="P97">
        <f>+J78</f>
        <v>0.61544713610961566</v>
      </c>
      <c r="Q97" t="s">
        <v>220</v>
      </c>
    </row>
    <row r="98" spans="7:17" x14ac:dyDescent="0.2">
      <c r="G98" t="s">
        <v>232</v>
      </c>
      <c r="J98">
        <v>-0.51</v>
      </c>
      <c r="M98">
        <f>SUM(M95:M97)</f>
        <v>2.1754471361096157</v>
      </c>
      <c r="P98">
        <f>SUM(P95:P97)</f>
        <v>1.8254471361096156</v>
      </c>
    </row>
    <row r="99" spans="7:17" x14ac:dyDescent="0.2">
      <c r="H99" t="s">
        <v>233</v>
      </c>
      <c r="J99">
        <f>+J97+J98</f>
        <v>3.7200000000000006</v>
      </c>
    </row>
    <row r="101" spans="7:17" x14ac:dyDescent="0.2">
      <c r="L101" t="s">
        <v>224</v>
      </c>
      <c r="N101" t="s">
        <v>225</v>
      </c>
      <c r="Q101">
        <v>4.2300000000000004</v>
      </c>
    </row>
    <row r="102" spans="7:17" x14ac:dyDescent="0.2">
      <c r="G102" t="s">
        <v>239</v>
      </c>
      <c r="J102">
        <f>+Q115</f>
        <v>4.7525708087093843</v>
      </c>
    </row>
    <row r="103" spans="7:17" x14ac:dyDescent="0.2">
      <c r="G103" t="s">
        <v>240</v>
      </c>
      <c r="J103">
        <f>-M98</f>
        <v>-2.1754471361096157</v>
      </c>
      <c r="L103" t="s">
        <v>206</v>
      </c>
      <c r="N103" t="s">
        <v>226</v>
      </c>
      <c r="O103">
        <v>62.89</v>
      </c>
    </row>
    <row r="104" spans="7:17" x14ac:dyDescent="0.2">
      <c r="G104" t="s">
        <v>234</v>
      </c>
      <c r="J104">
        <f>+J102+J103</f>
        <v>2.5771236725997686</v>
      </c>
      <c r="N104" t="s">
        <v>227</v>
      </c>
      <c r="O104">
        <v>45</v>
      </c>
    </row>
    <row r="105" spans="7:17" x14ac:dyDescent="0.2">
      <c r="O105">
        <f>+O103-O104</f>
        <v>17.89</v>
      </c>
    </row>
    <row r="106" spans="7:17" x14ac:dyDescent="0.2">
      <c r="G106" t="s">
        <v>239</v>
      </c>
      <c r="J106">
        <f>+Q115</f>
        <v>4.7525708087093843</v>
      </c>
      <c r="L106" t="s">
        <v>228</v>
      </c>
      <c r="O106">
        <v>5075</v>
      </c>
    </row>
    <row r="107" spans="7:17" x14ac:dyDescent="0.2">
      <c r="G107" t="s">
        <v>240</v>
      </c>
      <c r="J107">
        <f>-P98</f>
        <v>-1.8254471361096156</v>
      </c>
      <c r="L107" t="s">
        <v>229</v>
      </c>
      <c r="O107">
        <v>46651</v>
      </c>
    </row>
    <row r="108" spans="7:17" x14ac:dyDescent="0.2">
      <c r="G108" t="s">
        <v>235</v>
      </c>
      <c r="J108">
        <f>+J106+J107</f>
        <v>2.9271236725997687</v>
      </c>
    </row>
    <row r="109" spans="7:17" x14ac:dyDescent="0.2">
      <c r="G109" t="s">
        <v>236</v>
      </c>
      <c r="L109" t="s">
        <v>262</v>
      </c>
      <c r="O109">
        <f>+O105*O106/6</f>
        <v>15131.958333333334</v>
      </c>
    </row>
    <row r="110" spans="7:17" x14ac:dyDescent="0.2">
      <c r="L110" t="s">
        <v>230</v>
      </c>
      <c r="O110">
        <f>+O107</f>
        <v>46651</v>
      </c>
    </row>
    <row r="111" spans="7:17" x14ac:dyDescent="0.2">
      <c r="O111">
        <f>+O109/O110</f>
        <v>0.32436514401263283</v>
      </c>
    </row>
    <row r="112" spans="7:17" x14ac:dyDescent="0.2">
      <c r="M112" t="s">
        <v>237</v>
      </c>
      <c r="O112">
        <f>+O111/0.92</f>
        <v>0.35257080870938351</v>
      </c>
      <c r="Q112">
        <f>+O112</f>
        <v>0.35257080870938351</v>
      </c>
    </row>
    <row r="113" spans="13:18" x14ac:dyDescent="0.2">
      <c r="Q113">
        <f>+Q101+Q112</f>
        <v>4.5825708087093844</v>
      </c>
    </row>
    <row r="114" spans="13:18" x14ac:dyDescent="0.2">
      <c r="M114" t="s">
        <v>263</v>
      </c>
      <c r="Q114">
        <v>0.17</v>
      </c>
      <c r="R114" t="s">
        <v>264</v>
      </c>
    </row>
    <row r="115" spans="13:18" x14ac:dyDescent="0.2">
      <c r="Q115">
        <f>+Q113+Q114</f>
        <v>4.7525708087093843</v>
      </c>
    </row>
  </sheetData>
  <phoneticPr fontId="0" type="noConversion"/>
  <pageMargins left="0.5" right="0.5" top="0.5" bottom="1" header="0.5" footer="0.25"/>
  <pageSetup scale="36" orientation="portrait" r:id="rId1"/>
  <headerFooter alignWithMargins="0">
    <oddFooter>&amp;C&amp;A&amp;R&amp;F</oddFooter>
  </headerFooter>
  <rowBreaks count="1" manualBreakCount="1">
    <brk id="116" max="21"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74"/>
  <sheetViews>
    <sheetView zoomScale="75" workbookViewId="0"/>
  </sheetViews>
  <sheetFormatPr defaultColWidth="10.44140625" defaultRowHeight="15" x14ac:dyDescent="0.2"/>
  <cols>
    <col min="1" max="1" width="11.77734375" customWidth="1"/>
  </cols>
  <sheetData>
    <row r="2" spans="1:11" x14ac:dyDescent="0.2">
      <c r="E2" t="s">
        <v>0</v>
      </c>
    </row>
    <row r="3" spans="1:11" x14ac:dyDescent="0.2">
      <c r="E3" t="s">
        <v>1</v>
      </c>
    </row>
    <row r="4" spans="1:11" x14ac:dyDescent="0.2">
      <c r="E4" t="s">
        <v>2</v>
      </c>
    </row>
    <row r="5" spans="1:11" x14ac:dyDescent="0.2">
      <c r="E5" t="s">
        <v>183</v>
      </c>
    </row>
    <row r="7" spans="1:11" x14ac:dyDescent="0.2">
      <c r="B7" t="s">
        <v>81</v>
      </c>
    </row>
    <row r="8" spans="1:11" x14ac:dyDescent="0.2">
      <c r="H8" t="s">
        <v>188</v>
      </c>
      <c r="I8" t="s">
        <v>189</v>
      </c>
    </row>
    <row r="9" spans="1:11" x14ac:dyDescent="0.2">
      <c r="B9" t="s">
        <v>14</v>
      </c>
      <c r="C9" t="s">
        <v>15</v>
      </c>
      <c r="D9" t="s">
        <v>16</v>
      </c>
      <c r="E9" t="s">
        <v>17</v>
      </c>
      <c r="F9" t="s">
        <v>18</v>
      </c>
      <c r="G9" t="s">
        <v>19</v>
      </c>
      <c r="H9" t="s">
        <v>132</v>
      </c>
      <c r="I9" t="s">
        <v>83</v>
      </c>
      <c r="J9" t="s">
        <v>84</v>
      </c>
    </row>
    <row r="10" spans="1:11" ht="15.75" thickBot="1" x14ac:dyDescent="0.25">
      <c r="A10" t="s">
        <v>9</v>
      </c>
    </row>
    <row r="11" spans="1:11" ht="15.75" thickTop="1" x14ac:dyDescent="0.2"/>
    <row r="13" spans="1:11" x14ac:dyDescent="0.2">
      <c r="A13" t="s">
        <v>186</v>
      </c>
      <c r="B13">
        <f>52.62+98.23</f>
        <v>150.85</v>
      </c>
      <c r="C13">
        <f>110.59+206.39</f>
        <v>316.98</v>
      </c>
      <c r="D13">
        <f>9.38+17.495</f>
        <v>26.875</v>
      </c>
      <c r="E13">
        <f>101.1+18.93</f>
        <v>120.03</v>
      </c>
      <c r="F13">
        <f>3.739+2.002</f>
        <v>5.7409999999999997</v>
      </c>
      <c r="G13">
        <f>3.976+7.424</f>
        <v>11.4</v>
      </c>
      <c r="H13">
        <f>0.955+3.125</f>
        <v>4.08</v>
      </c>
      <c r="I13">
        <f>4.93+9.175</f>
        <v>14.105</v>
      </c>
      <c r="J13">
        <f t="shared" ref="J13:J24" si="0">SUM(B13:I13)</f>
        <v>650.06100000000004</v>
      </c>
      <c r="K13" t="s">
        <v>6</v>
      </c>
    </row>
    <row r="14" spans="1:11" x14ac:dyDescent="0.2">
      <c r="A14" t="s">
        <v>175</v>
      </c>
      <c r="B14">
        <f>237150/2000</f>
        <v>118.575</v>
      </c>
      <c r="C14">
        <f>572710/2000</f>
        <v>286.35500000000002</v>
      </c>
      <c r="D14">
        <f>64600/2000</f>
        <v>32.299999999999997</v>
      </c>
      <c r="E14">
        <f>279870/2000</f>
        <v>139.935</v>
      </c>
      <c r="F14">
        <f>11570/2000</f>
        <v>5.7850000000000001</v>
      </c>
      <c r="G14">
        <f>22970/2000</f>
        <v>11.484999999999999</v>
      </c>
      <c r="H14">
        <f>10920/2000</f>
        <v>5.46</v>
      </c>
      <c r="I14">
        <f>34300/2000</f>
        <v>17.149999999999999</v>
      </c>
      <c r="J14">
        <f t="shared" si="0"/>
        <v>617.04499999999996</v>
      </c>
    </row>
    <row r="15" spans="1:11" x14ac:dyDescent="0.2">
      <c r="A15" t="s">
        <v>37</v>
      </c>
      <c r="B15">
        <f>253720/2000</f>
        <v>126.86</v>
      </c>
      <c r="C15">
        <f>435310/2000</f>
        <v>217.655</v>
      </c>
      <c r="D15">
        <f>48230/2000</f>
        <v>24.114999999999998</v>
      </c>
      <c r="E15">
        <f>212530/2000</f>
        <v>106.265</v>
      </c>
      <c r="F15">
        <f>12918/2000</f>
        <v>6.4589999999999996</v>
      </c>
      <c r="G15">
        <f>25655/2000</f>
        <v>12.827500000000001</v>
      </c>
      <c r="H15">
        <v>0</v>
      </c>
      <c r="I15">
        <f>17310/2000</f>
        <v>8.6549999999999994</v>
      </c>
      <c r="J15">
        <f t="shared" si="0"/>
        <v>502.83649999999994</v>
      </c>
    </row>
    <row r="16" spans="1:11" x14ac:dyDescent="0.2">
      <c r="A16" t="s">
        <v>38</v>
      </c>
      <c r="B16">
        <f>266810/2000</f>
        <v>133.405</v>
      </c>
      <c r="C16">
        <f>525570/2000</f>
        <v>262.78500000000003</v>
      </c>
      <c r="D16">
        <f>51920/2000</f>
        <v>25.96</v>
      </c>
      <c r="E16">
        <f>219022/2000</f>
        <v>109.511</v>
      </c>
      <c r="F16">
        <f>11236/2000</f>
        <v>5.6180000000000003</v>
      </c>
      <c r="G16">
        <f>22284/2000</f>
        <v>11.141999999999999</v>
      </c>
      <c r="H16">
        <f>1920/2000</f>
        <v>0.96</v>
      </c>
      <c r="I16">
        <f>24750/2000</f>
        <v>12.375</v>
      </c>
      <c r="J16">
        <f t="shared" si="0"/>
        <v>561.7560000000002</v>
      </c>
    </row>
    <row r="17" spans="1:11" x14ac:dyDescent="0.2">
      <c r="A17" t="s">
        <v>95</v>
      </c>
      <c r="B17">
        <f>264225/2000</f>
        <v>132.11250000000001</v>
      </c>
      <c r="C17">
        <f>476260/2000</f>
        <v>238.13</v>
      </c>
      <c r="D17">
        <f>49190/2000</f>
        <v>24.594999999999999</v>
      </c>
      <c r="E17">
        <f>264650/2000</f>
        <v>132.32499999999999</v>
      </c>
      <c r="F17">
        <f>11388/2000</f>
        <v>5.694</v>
      </c>
      <c r="G17">
        <f>22611/2000</f>
        <v>11.3055</v>
      </c>
      <c r="H17">
        <v>0</v>
      </c>
      <c r="I17">
        <f>20000/2000</f>
        <v>10</v>
      </c>
      <c r="J17">
        <f t="shared" si="0"/>
        <v>554.16199999999992</v>
      </c>
    </row>
    <row r="18" spans="1:11" x14ac:dyDescent="0.2">
      <c r="A18" t="s">
        <v>40</v>
      </c>
      <c r="B18">
        <f>204405/2000</f>
        <v>102.2025</v>
      </c>
      <c r="C18">
        <f>542705/2000</f>
        <v>271.35250000000002</v>
      </c>
      <c r="D18">
        <f>46980/2000</f>
        <v>23.49</v>
      </c>
      <c r="E18">
        <f>304430/2000</f>
        <v>152.215</v>
      </c>
      <c r="F18">
        <f>10075/2000</f>
        <v>5.0374999999999996</v>
      </c>
      <c r="G18">
        <f>20004/2000</f>
        <v>10.002000000000001</v>
      </c>
      <c r="H18">
        <v>0</v>
      </c>
      <c r="I18">
        <f>24560/2000</f>
        <v>12.28</v>
      </c>
      <c r="J18">
        <f t="shared" si="0"/>
        <v>576.57949999999994</v>
      </c>
    </row>
    <row r="19" spans="1:11" x14ac:dyDescent="0.2">
      <c r="A19" t="s">
        <v>41</v>
      </c>
      <c r="B19">
        <f>171030/2000</f>
        <v>85.515000000000001</v>
      </c>
      <c r="C19">
        <f>586770/2000</f>
        <v>293.38499999999999</v>
      </c>
      <c r="D19">
        <f>44240/2000</f>
        <v>22.12</v>
      </c>
      <c r="E19">
        <f>264880/2000</f>
        <v>132.44</v>
      </c>
      <c r="F19">
        <f>6058/2000</f>
        <v>3.0289999999999999</v>
      </c>
      <c r="G19">
        <f>12021/2000</f>
        <v>6.0105000000000004</v>
      </c>
      <c r="H19">
        <v>0</v>
      </c>
      <c r="I19">
        <f>29520/2000</f>
        <v>14.76</v>
      </c>
      <c r="J19">
        <f t="shared" si="0"/>
        <v>557.2595</v>
      </c>
    </row>
    <row r="20" spans="1:11" x14ac:dyDescent="0.2">
      <c r="A20" t="s">
        <v>42</v>
      </c>
      <c r="B20">
        <f>125210/2000</f>
        <v>62.604999999999997</v>
      </c>
      <c r="C20">
        <f>629520/2000</f>
        <v>314.76</v>
      </c>
      <c r="D20">
        <f>40910/2000</f>
        <v>20.454999999999998</v>
      </c>
      <c r="E20">
        <f>299220/2000</f>
        <v>149.61000000000001</v>
      </c>
      <c r="F20">
        <f>9335/2000</f>
        <v>4.6675000000000004</v>
      </c>
      <c r="G20">
        <f>18529/2000</f>
        <v>9.2645</v>
      </c>
      <c r="H20">
        <v>0</v>
      </c>
      <c r="I20">
        <f>25480/2000</f>
        <v>12.74</v>
      </c>
      <c r="J20">
        <f t="shared" si="0"/>
        <v>574.10200000000009</v>
      </c>
    </row>
    <row r="21" spans="1:11" x14ac:dyDescent="0.2">
      <c r="A21" t="s">
        <v>43</v>
      </c>
      <c r="B21">
        <f>110740/2000</f>
        <v>55.37</v>
      </c>
      <c r="C21">
        <f>714010/2000</f>
        <v>357.005</v>
      </c>
      <c r="D21">
        <f>42410/2000</f>
        <v>21.204999999999998</v>
      </c>
      <c r="E21">
        <f>196710/2000</f>
        <v>98.355000000000004</v>
      </c>
      <c r="F21">
        <f>10648/2000</f>
        <v>5.3239999999999998</v>
      </c>
      <c r="G21">
        <f>21141/2000</f>
        <v>10.570499999999999</v>
      </c>
      <c r="H21">
        <v>0</v>
      </c>
      <c r="I21">
        <f>26730/2000</f>
        <v>13.365</v>
      </c>
      <c r="J21">
        <f t="shared" si="0"/>
        <v>561.19449999999995</v>
      </c>
    </row>
    <row r="22" spans="1:11" x14ac:dyDescent="0.2">
      <c r="A22" t="s">
        <v>44</v>
      </c>
      <c r="B22">
        <f>166040/2000</f>
        <v>83.02</v>
      </c>
      <c r="C22">
        <f>689910/2000</f>
        <v>344.95499999999998</v>
      </c>
      <c r="D22">
        <f>55910/2000</f>
        <v>27.954999999999998</v>
      </c>
      <c r="E22">
        <f>144150/2000</f>
        <v>72.075000000000003</v>
      </c>
      <c r="F22">
        <f>8650/2000</f>
        <v>4.3250000000000002</v>
      </c>
      <c r="G22">
        <f>17178/2000</f>
        <v>8.5890000000000004</v>
      </c>
      <c r="H22">
        <v>0</v>
      </c>
      <c r="I22">
        <f>28495/2000</f>
        <v>14.2475</v>
      </c>
      <c r="J22">
        <f t="shared" si="0"/>
        <v>555.16650000000004</v>
      </c>
    </row>
    <row r="23" spans="1:11" x14ac:dyDescent="0.2">
      <c r="A23" t="s">
        <v>116</v>
      </c>
      <c r="B23">
        <f>122510/2000</f>
        <v>61.255000000000003</v>
      </c>
      <c r="C23">
        <f>644170/2000</f>
        <v>322.08499999999998</v>
      </c>
      <c r="D23">
        <f>34250/2000</f>
        <v>17.125</v>
      </c>
      <c r="E23">
        <f>151200/2000</f>
        <v>75.599999999999994</v>
      </c>
      <c r="F23">
        <f>5589/2000</f>
        <v>2.7945000000000002</v>
      </c>
      <c r="G23">
        <f>11093/2000</f>
        <v>5.5465</v>
      </c>
      <c r="H23">
        <f>2615/2000</f>
        <v>1.3075000000000001</v>
      </c>
      <c r="I23">
        <f>30015/2000</f>
        <v>15.0075</v>
      </c>
      <c r="J23">
        <f t="shared" si="0"/>
        <v>500.72099999999995</v>
      </c>
    </row>
    <row r="24" spans="1:11" x14ac:dyDescent="0.2">
      <c r="A24" t="s">
        <v>34</v>
      </c>
      <c r="B24">
        <f>110250/2000</f>
        <v>55.125</v>
      </c>
      <c r="C24">
        <f>585230/2000</f>
        <v>292.61500000000001</v>
      </c>
      <c r="D24">
        <f>23920/2000</f>
        <v>11.96</v>
      </c>
      <c r="E24">
        <f>164905/2000</f>
        <v>82.452500000000001</v>
      </c>
      <c r="F24">
        <f>5750/2000</f>
        <v>2.875</v>
      </c>
      <c r="G24">
        <f>11413/2000</f>
        <v>5.7065000000000001</v>
      </c>
      <c r="H24">
        <v>0</v>
      </c>
      <c r="I24">
        <f>28200/2000</f>
        <v>14.1</v>
      </c>
      <c r="J24">
        <f t="shared" si="0"/>
        <v>464.834</v>
      </c>
    </row>
    <row r="25" spans="1:11" x14ac:dyDescent="0.2">
      <c r="A25" t="s">
        <v>35</v>
      </c>
      <c r="B25">
        <f>182200/2000</f>
        <v>91.1</v>
      </c>
      <c r="C25">
        <f>585000/2000</f>
        <v>292.5</v>
      </c>
      <c r="D25">
        <f>43850/2000</f>
        <v>21.925000000000001</v>
      </c>
      <c r="E25">
        <f>203290/2000</f>
        <v>101.645</v>
      </c>
      <c r="F25">
        <f>6577/2000</f>
        <v>3.2885</v>
      </c>
      <c r="G25">
        <f>10284/2000</f>
        <v>5.1420000000000003</v>
      </c>
      <c r="H25">
        <v>0</v>
      </c>
      <c r="I25">
        <f>29870/2000</f>
        <v>14.935</v>
      </c>
      <c r="J25">
        <f>SUM(B25:I25)</f>
        <v>530.53549999999996</v>
      </c>
    </row>
    <row r="26" spans="1:11" x14ac:dyDescent="0.2">
      <c r="A26" t="s">
        <v>192</v>
      </c>
      <c r="B26">
        <f>213864/2000</f>
        <v>106.932</v>
      </c>
      <c r="C26">
        <f>499191/2000</f>
        <v>249.59549999999999</v>
      </c>
      <c r="D26">
        <f>144286/2000</f>
        <v>72.143000000000001</v>
      </c>
      <c r="E26">
        <v>0</v>
      </c>
      <c r="F26">
        <f>17269/2000</f>
        <v>8.6344999999999992</v>
      </c>
      <c r="G26">
        <f>24044/2000</f>
        <v>12.022</v>
      </c>
      <c r="H26">
        <v>0</v>
      </c>
      <c r="I26">
        <f>(12064+22361)/2000</f>
        <v>17.212499999999999</v>
      </c>
      <c r="J26">
        <f>SUM(B26:I26)</f>
        <v>466.53949999999992</v>
      </c>
      <c r="K26" t="s">
        <v>259</v>
      </c>
    </row>
    <row r="27" spans="1:11" x14ac:dyDescent="0.2">
      <c r="A27" t="s">
        <v>37</v>
      </c>
      <c r="B27">
        <f>271836/2000</f>
        <v>135.91800000000001</v>
      </c>
      <c r="C27">
        <f>395580/2000</f>
        <v>197.79</v>
      </c>
      <c r="D27">
        <f>111652/2000</f>
        <v>55.826000000000001</v>
      </c>
      <c r="E27">
        <v>0</v>
      </c>
      <c r="F27">
        <f>15220/2000</f>
        <v>7.61</v>
      </c>
      <c r="G27">
        <f>16020/2000</f>
        <v>8.01</v>
      </c>
      <c r="H27">
        <v>0</v>
      </c>
      <c r="I27">
        <f>(3581+5399)/2000</f>
        <v>4.49</v>
      </c>
      <c r="J27">
        <f>SUM(B27:I27)</f>
        <v>409.64400000000001</v>
      </c>
      <c r="K27">
        <v>2004</v>
      </c>
    </row>
    <row r="28" spans="1:11" ht="15.75" thickBot="1" x14ac:dyDescent="0.25">
      <c r="A28" t="s">
        <v>22</v>
      </c>
      <c r="B28">
        <f t="shared" ref="B28:J28" si="1">SUM(B11:B25)</f>
        <v>1257.9950000000001</v>
      </c>
      <c r="C28">
        <f t="shared" si="1"/>
        <v>3810.5625</v>
      </c>
      <c r="D28">
        <f t="shared" si="1"/>
        <v>300.08</v>
      </c>
      <c r="E28">
        <f t="shared" si="1"/>
        <v>1472.4585000000002</v>
      </c>
      <c r="F28">
        <f t="shared" si="1"/>
        <v>60.638000000000005</v>
      </c>
      <c r="G28">
        <f t="shared" si="1"/>
        <v>118.9915</v>
      </c>
      <c r="H28">
        <f>SUM(H11:H27)</f>
        <v>11.807500000000001</v>
      </c>
      <c r="I28">
        <f t="shared" si="1"/>
        <v>173.71999999999997</v>
      </c>
      <c r="J28">
        <f t="shared" si="1"/>
        <v>7206.2529999999988</v>
      </c>
      <c r="K28">
        <f>SUM(J14:J25)</f>
        <v>6556.1919999999991</v>
      </c>
    </row>
    <row r="29" spans="1:11" ht="15.75" thickTop="1" x14ac:dyDescent="0.2"/>
    <row r="30" spans="1:11" x14ac:dyDescent="0.2">
      <c r="A30" t="s">
        <v>117</v>
      </c>
      <c r="B30">
        <v>0.28100000000000003</v>
      </c>
      <c r="C30">
        <v>0.31900000000000001</v>
      </c>
      <c r="D30">
        <v>7.8E-2</v>
      </c>
      <c r="E30">
        <v>0.2409</v>
      </c>
      <c r="F30">
        <v>1.7500000000000002E-2</v>
      </c>
      <c r="G30">
        <v>3.9600000000000003E-2</v>
      </c>
      <c r="H30">
        <v>1.3599999999999999E-2</v>
      </c>
      <c r="I30">
        <v>1.04E-2</v>
      </c>
    </row>
    <row r="32" spans="1:11" ht="15.75" thickBot="1" x14ac:dyDescent="0.25">
      <c r="A32" t="s">
        <v>86</v>
      </c>
      <c r="B32" t="s">
        <v>6</v>
      </c>
    </row>
    <row r="33" spans="1:9" ht="15.75" thickTop="1" x14ac:dyDescent="0.2">
      <c r="B33" t="s">
        <v>222</v>
      </c>
    </row>
    <row r="34" spans="1:9" x14ac:dyDescent="0.2">
      <c r="B34" t="s">
        <v>223</v>
      </c>
    </row>
    <row r="35" spans="1:9" x14ac:dyDescent="0.2">
      <c r="A35" t="str">
        <f t="shared" ref="A35:A46" si="2">A13</f>
        <v>December 03</v>
      </c>
      <c r="B35">
        <f>103.5-25</f>
        <v>78.5</v>
      </c>
      <c r="C35">
        <v>83.2</v>
      </c>
      <c r="D35">
        <v>103.9</v>
      </c>
      <c r="E35" t="s">
        <v>87</v>
      </c>
      <c r="F35">
        <v>1011.5</v>
      </c>
      <c r="G35">
        <v>39.5</v>
      </c>
      <c r="H35">
        <v>0</v>
      </c>
      <c r="I35">
        <v>160</v>
      </c>
    </row>
    <row r="36" spans="1:9" x14ac:dyDescent="0.2">
      <c r="A36" t="str">
        <f t="shared" si="2"/>
        <v>January 04</v>
      </c>
      <c r="B36">
        <f>101.9-25</f>
        <v>76.900000000000006</v>
      </c>
      <c r="C36">
        <v>86.5</v>
      </c>
      <c r="D36">
        <v>102.1</v>
      </c>
      <c r="E36" t="s">
        <v>87</v>
      </c>
      <c r="F36">
        <v>429.1</v>
      </c>
      <c r="G36">
        <v>0</v>
      </c>
      <c r="H36">
        <v>0</v>
      </c>
      <c r="I36">
        <v>210.8</v>
      </c>
    </row>
    <row r="37" spans="1:9" x14ac:dyDescent="0.2">
      <c r="A37" t="str">
        <f t="shared" si="2"/>
        <v>February</v>
      </c>
      <c r="B37">
        <f>107.3-25</f>
        <v>82.3</v>
      </c>
      <c r="C37">
        <v>91.1</v>
      </c>
      <c r="D37">
        <v>120.3</v>
      </c>
      <c r="E37" t="s">
        <v>87</v>
      </c>
      <c r="F37">
        <v>352.7</v>
      </c>
      <c r="G37">
        <v>0</v>
      </c>
      <c r="H37">
        <v>0</v>
      </c>
      <c r="I37">
        <v>200.7</v>
      </c>
    </row>
    <row r="38" spans="1:9" x14ac:dyDescent="0.2">
      <c r="A38" t="str">
        <f t="shared" si="2"/>
        <v>March</v>
      </c>
      <c r="B38">
        <f>106.8-25</f>
        <v>81.8</v>
      </c>
      <c r="C38">
        <v>94.9</v>
      </c>
      <c r="D38">
        <v>120.3</v>
      </c>
      <c r="E38" t="s">
        <v>87</v>
      </c>
      <c r="F38">
        <v>616</v>
      </c>
      <c r="G38">
        <v>0</v>
      </c>
      <c r="H38">
        <v>0</v>
      </c>
      <c r="I38">
        <v>153.30000000000001</v>
      </c>
    </row>
    <row r="39" spans="1:9" x14ac:dyDescent="0.2">
      <c r="A39" t="str">
        <f t="shared" si="2"/>
        <v xml:space="preserve">April </v>
      </c>
      <c r="B39">
        <f>111.8-25</f>
        <v>86.8</v>
      </c>
      <c r="C39">
        <v>90</v>
      </c>
      <c r="D39">
        <v>120.8</v>
      </c>
      <c r="E39" t="s">
        <v>87</v>
      </c>
      <c r="F39">
        <v>755.2</v>
      </c>
      <c r="G39">
        <v>0</v>
      </c>
      <c r="H39">
        <v>0</v>
      </c>
      <c r="I39">
        <v>131</v>
      </c>
    </row>
    <row r="40" spans="1:9" x14ac:dyDescent="0.2">
      <c r="A40" t="str">
        <f t="shared" si="2"/>
        <v>May</v>
      </c>
      <c r="B40">
        <f>109.2-25</f>
        <v>84.2</v>
      </c>
      <c r="C40">
        <v>92.7</v>
      </c>
      <c r="D40">
        <v>118.7</v>
      </c>
      <c r="E40" t="s">
        <v>87</v>
      </c>
      <c r="F40">
        <v>560.20000000000005</v>
      </c>
      <c r="G40">
        <v>0</v>
      </c>
      <c r="H40">
        <v>0</v>
      </c>
      <c r="I40">
        <v>243.7</v>
      </c>
    </row>
    <row r="41" spans="1:9" x14ac:dyDescent="0.2">
      <c r="A41" t="str">
        <f t="shared" si="2"/>
        <v>June</v>
      </c>
      <c r="B41">
        <f>112.3-25</f>
        <v>87.3</v>
      </c>
      <c r="C41">
        <v>93.7</v>
      </c>
      <c r="D41">
        <v>119.4</v>
      </c>
      <c r="E41" t="s">
        <v>87</v>
      </c>
      <c r="F41">
        <v>393.6</v>
      </c>
      <c r="G41">
        <v>0</v>
      </c>
      <c r="H41">
        <v>0</v>
      </c>
      <c r="I41">
        <v>261.60000000000002</v>
      </c>
    </row>
    <row r="42" spans="1:9" x14ac:dyDescent="0.2">
      <c r="A42" t="str">
        <f t="shared" si="2"/>
        <v>July</v>
      </c>
      <c r="B42">
        <f>113-25</f>
        <v>88</v>
      </c>
      <c r="C42">
        <v>91.7</v>
      </c>
      <c r="D42">
        <v>120</v>
      </c>
      <c r="E42" t="s">
        <v>87</v>
      </c>
      <c r="F42">
        <v>739</v>
      </c>
      <c r="G42">
        <v>0</v>
      </c>
      <c r="H42">
        <v>0</v>
      </c>
      <c r="I42">
        <v>298</v>
      </c>
    </row>
    <row r="43" spans="1:9" x14ac:dyDescent="0.2">
      <c r="A43" t="str">
        <f t="shared" si="2"/>
        <v>August</v>
      </c>
      <c r="B43">
        <f>111.1-25</f>
        <v>86.1</v>
      </c>
      <c r="C43">
        <v>94.5</v>
      </c>
      <c r="D43">
        <v>116.5</v>
      </c>
      <c r="E43" t="s">
        <v>87</v>
      </c>
      <c r="F43">
        <v>906.9</v>
      </c>
      <c r="G43">
        <v>0</v>
      </c>
      <c r="H43">
        <v>0</v>
      </c>
      <c r="I43">
        <v>193.4</v>
      </c>
    </row>
    <row r="44" spans="1:9" x14ac:dyDescent="0.2">
      <c r="A44" t="str">
        <f t="shared" si="2"/>
        <v>September</v>
      </c>
      <c r="B44">
        <f>110.9-25</f>
        <v>85.9</v>
      </c>
      <c r="C44">
        <v>89.8</v>
      </c>
      <c r="D44">
        <v>112.3</v>
      </c>
      <c r="E44" t="s">
        <v>87</v>
      </c>
      <c r="F44">
        <v>803.3</v>
      </c>
      <c r="G44">
        <v>0</v>
      </c>
      <c r="H44">
        <v>0</v>
      </c>
      <c r="I44">
        <v>286.2</v>
      </c>
    </row>
    <row r="45" spans="1:9" x14ac:dyDescent="0.2">
      <c r="A45" t="str">
        <f t="shared" si="2"/>
        <v xml:space="preserve">October </v>
      </c>
      <c r="B45">
        <f>114.5-25</f>
        <v>89.5</v>
      </c>
      <c r="C45">
        <v>88.5</v>
      </c>
      <c r="D45">
        <v>123.7</v>
      </c>
      <c r="E45" t="s">
        <v>87</v>
      </c>
      <c r="F45">
        <v>1227.8</v>
      </c>
      <c r="G45">
        <v>82.5</v>
      </c>
      <c r="H45">
        <v>0</v>
      </c>
      <c r="I45">
        <v>575</v>
      </c>
    </row>
    <row r="46" spans="1:9" x14ac:dyDescent="0.2">
      <c r="A46" t="str">
        <f t="shared" si="2"/>
        <v>November</v>
      </c>
      <c r="B46">
        <f>117.06-25</f>
        <v>92.06</v>
      </c>
      <c r="C46">
        <v>97.41</v>
      </c>
      <c r="D46">
        <v>121.53</v>
      </c>
      <c r="E46" t="s">
        <v>87</v>
      </c>
      <c r="F46">
        <v>734.79</v>
      </c>
      <c r="G46">
        <v>0</v>
      </c>
      <c r="H46">
        <v>0</v>
      </c>
      <c r="I46">
        <v>331.6</v>
      </c>
    </row>
    <row r="47" spans="1:9" x14ac:dyDescent="0.2">
      <c r="A47" t="s">
        <v>35</v>
      </c>
      <c r="B47">
        <f>117.77-25</f>
        <v>92.77</v>
      </c>
      <c r="C47">
        <v>97.36</v>
      </c>
      <c r="D47">
        <v>121.24</v>
      </c>
      <c r="E47" t="s">
        <v>87</v>
      </c>
      <c r="F47">
        <v>446.06</v>
      </c>
      <c r="G47">
        <v>0</v>
      </c>
      <c r="H47">
        <v>0</v>
      </c>
      <c r="I47">
        <v>350.15</v>
      </c>
    </row>
    <row r="48" spans="1:9" x14ac:dyDescent="0.2">
      <c r="A48" t="s">
        <v>192</v>
      </c>
      <c r="B48">
        <f>113.5-25</f>
        <v>88.5</v>
      </c>
      <c r="C48">
        <v>94.7</v>
      </c>
      <c r="D48">
        <v>127.9</v>
      </c>
      <c r="E48" t="s">
        <v>87</v>
      </c>
      <c r="F48">
        <v>1230.2</v>
      </c>
      <c r="G48">
        <v>0</v>
      </c>
      <c r="H48">
        <v>0</v>
      </c>
      <c r="I48">
        <v>380</v>
      </c>
    </row>
    <row r="49" spans="1:10" x14ac:dyDescent="0.2">
      <c r="A49" t="s">
        <v>191</v>
      </c>
      <c r="B49">
        <f>120.5-25</f>
        <v>95.5</v>
      </c>
      <c r="C49">
        <v>95.3</v>
      </c>
      <c r="D49">
        <v>131.6</v>
      </c>
      <c r="E49" t="s">
        <v>87</v>
      </c>
      <c r="F49">
        <v>1270</v>
      </c>
      <c r="G49">
        <v>0</v>
      </c>
      <c r="H49">
        <v>0</v>
      </c>
      <c r="I49">
        <v>320</v>
      </c>
    </row>
    <row r="51" spans="1:10" ht="15.75" thickBot="1" x14ac:dyDescent="0.25">
      <c r="A51" t="s">
        <v>24</v>
      </c>
      <c r="C51" t="s">
        <v>6</v>
      </c>
    </row>
    <row r="52" spans="1:10" ht="15.75" thickTop="1" x14ac:dyDescent="0.2">
      <c r="B52" t="s">
        <v>14</v>
      </c>
      <c r="C52" t="s">
        <v>15</v>
      </c>
      <c r="D52" t="s">
        <v>16</v>
      </c>
      <c r="E52" t="s">
        <v>17</v>
      </c>
      <c r="F52" t="s">
        <v>18</v>
      </c>
      <c r="G52" t="s">
        <v>19</v>
      </c>
      <c r="H52" t="s">
        <v>132</v>
      </c>
      <c r="I52" t="s">
        <v>83</v>
      </c>
      <c r="J52" t="s">
        <v>84</v>
      </c>
    </row>
    <row r="54" spans="1:10" x14ac:dyDescent="0.2">
      <c r="A54" t="str">
        <f t="shared" ref="A54:A65" si="3">A13</f>
        <v>December 03</v>
      </c>
      <c r="B54">
        <f t="shared" ref="B54:D68" si="4">+B13*B35</f>
        <v>11841.725</v>
      </c>
      <c r="C54">
        <f t="shared" si="4"/>
        <v>26372.736000000001</v>
      </c>
      <c r="D54">
        <f t="shared" si="4"/>
        <v>2792.3125</v>
      </c>
      <c r="E54">
        <f t="shared" ref="E54:E66" si="5">+$E$69/$E$28*E13</f>
        <v>1379.2728308471851</v>
      </c>
      <c r="F54">
        <f t="shared" ref="F54:F66" si="6">+F13*F35</f>
        <v>5807.0214999999998</v>
      </c>
      <c r="G54">
        <v>0</v>
      </c>
      <c r="H54">
        <f>+H13*H35</f>
        <v>0</v>
      </c>
      <c r="I54">
        <f t="shared" ref="I54:I66" si="7">+I13*I35</f>
        <v>2256.8000000000002</v>
      </c>
      <c r="J54">
        <f t="shared" ref="J54:J65" si="8">SUM(B54:I54)</f>
        <v>50449.867830847194</v>
      </c>
    </row>
    <row r="55" spans="1:10" x14ac:dyDescent="0.2">
      <c r="A55" t="str">
        <f t="shared" si="3"/>
        <v>January 04</v>
      </c>
      <c r="B55">
        <f t="shared" si="4"/>
        <v>9118.4175000000014</v>
      </c>
      <c r="C55">
        <f t="shared" si="4"/>
        <v>24769.7075</v>
      </c>
      <c r="D55">
        <f t="shared" si="4"/>
        <v>3297.8299999999995</v>
      </c>
      <c r="E55">
        <f t="shared" si="5"/>
        <v>1608.0025292393639</v>
      </c>
      <c r="F55">
        <f t="shared" si="6"/>
        <v>2482.3435000000004</v>
      </c>
      <c r="G55">
        <f t="shared" ref="G55:G63" si="9">+G14*G36</f>
        <v>0</v>
      </c>
      <c r="H55">
        <v>0</v>
      </c>
      <c r="I55">
        <f t="shared" si="7"/>
        <v>3615.22</v>
      </c>
      <c r="J55">
        <f t="shared" si="8"/>
        <v>44891.521029239368</v>
      </c>
    </row>
    <row r="56" spans="1:10" x14ac:dyDescent="0.2">
      <c r="A56" t="str">
        <f t="shared" si="3"/>
        <v>February</v>
      </c>
      <c r="B56">
        <f t="shared" si="4"/>
        <v>10440.578</v>
      </c>
      <c r="C56">
        <f t="shared" si="4"/>
        <v>19828.370499999997</v>
      </c>
      <c r="D56">
        <f t="shared" si="4"/>
        <v>2901.0344999999998</v>
      </c>
      <c r="E56">
        <f t="shared" si="5"/>
        <v>1221.0982868447563</v>
      </c>
      <c r="F56">
        <f t="shared" si="6"/>
        <v>2278.0892999999996</v>
      </c>
      <c r="G56">
        <f t="shared" si="9"/>
        <v>0</v>
      </c>
      <c r="H56">
        <v>0</v>
      </c>
      <c r="I56">
        <f t="shared" si="7"/>
        <v>1737.0584999999999</v>
      </c>
      <c r="J56">
        <f t="shared" si="8"/>
        <v>38406.229086844753</v>
      </c>
    </row>
    <row r="57" spans="1:10" x14ac:dyDescent="0.2">
      <c r="A57" t="str">
        <f t="shared" si="3"/>
        <v>March</v>
      </c>
      <c r="B57">
        <f t="shared" si="4"/>
        <v>10912.529</v>
      </c>
      <c r="C57">
        <f t="shared" si="4"/>
        <v>24938.296500000004</v>
      </c>
      <c r="D57">
        <f t="shared" si="4"/>
        <v>3122.9879999999998</v>
      </c>
      <c r="E57">
        <f t="shared" si="5"/>
        <v>1258.3982919179045</v>
      </c>
      <c r="F57">
        <f t="shared" si="6"/>
        <v>3460.6880000000001</v>
      </c>
      <c r="G57">
        <f t="shared" si="9"/>
        <v>0</v>
      </c>
      <c r="H57">
        <v>0</v>
      </c>
      <c r="I57">
        <f t="shared" si="7"/>
        <v>1897.0875000000001</v>
      </c>
      <c r="J57">
        <f t="shared" si="8"/>
        <v>45589.987291917911</v>
      </c>
    </row>
    <row r="58" spans="1:10" x14ac:dyDescent="0.2">
      <c r="A58" t="str">
        <f t="shared" si="3"/>
        <v xml:space="preserve">April </v>
      </c>
      <c r="B58">
        <f t="shared" si="4"/>
        <v>11467.365</v>
      </c>
      <c r="C58">
        <f t="shared" si="4"/>
        <v>21431.7</v>
      </c>
      <c r="D58">
        <f t="shared" si="4"/>
        <v>2971.0759999999996</v>
      </c>
      <c r="E58">
        <f t="shared" si="5"/>
        <v>1520.5555056390381</v>
      </c>
      <c r="F58">
        <f t="shared" si="6"/>
        <v>4300.1088</v>
      </c>
      <c r="G58">
        <f t="shared" si="9"/>
        <v>0</v>
      </c>
      <c r="H58">
        <v>0</v>
      </c>
      <c r="I58">
        <f t="shared" si="7"/>
        <v>1310</v>
      </c>
      <c r="J58">
        <f t="shared" si="8"/>
        <v>43000.805305639042</v>
      </c>
    </row>
    <row r="59" spans="1:10" x14ac:dyDescent="0.2">
      <c r="A59" t="str">
        <f t="shared" si="3"/>
        <v>May</v>
      </c>
      <c r="B59">
        <f t="shared" si="4"/>
        <v>8605.4505000000008</v>
      </c>
      <c r="C59">
        <f t="shared" si="4"/>
        <v>25154.376750000003</v>
      </c>
      <c r="D59">
        <f t="shared" si="4"/>
        <v>2788.2629999999999</v>
      </c>
      <c r="E59">
        <f t="shared" si="5"/>
        <v>1749.1128380188643</v>
      </c>
      <c r="F59">
        <f t="shared" si="6"/>
        <v>2822.0075000000002</v>
      </c>
      <c r="G59">
        <f t="shared" si="9"/>
        <v>0</v>
      </c>
      <c r="H59">
        <v>0</v>
      </c>
      <c r="I59">
        <f t="shared" si="7"/>
        <v>2992.6359999999995</v>
      </c>
      <c r="J59">
        <f t="shared" si="8"/>
        <v>44111.846588018867</v>
      </c>
    </row>
    <row r="60" spans="1:10" x14ac:dyDescent="0.2">
      <c r="A60" t="str">
        <f t="shared" si="3"/>
        <v>June</v>
      </c>
      <c r="B60">
        <f t="shared" si="4"/>
        <v>7465.4594999999999</v>
      </c>
      <c r="C60">
        <f t="shared" si="4"/>
        <v>27490.174500000001</v>
      </c>
      <c r="D60">
        <f t="shared" si="4"/>
        <v>2641.1280000000002</v>
      </c>
      <c r="E60">
        <f t="shared" si="5"/>
        <v>1521.8769784004098</v>
      </c>
      <c r="F60">
        <f t="shared" si="6"/>
        <v>1192.2144000000001</v>
      </c>
      <c r="G60">
        <f t="shared" si="9"/>
        <v>0</v>
      </c>
      <c r="H60">
        <v>0</v>
      </c>
      <c r="I60">
        <f t="shared" si="7"/>
        <v>3861.2160000000003</v>
      </c>
      <c r="J60">
        <f t="shared" si="8"/>
        <v>44172.069378400403</v>
      </c>
    </row>
    <row r="61" spans="1:10" x14ac:dyDescent="0.2">
      <c r="A61" t="str">
        <f t="shared" si="3"/>
        <v>July</v>
      </c>
      <c r="B61">
        <f t="shared" si="4"/>
        <v>5509.24</v>
      </c>
      <c r="C61">
        <f t="shared" si="4"/>
        <v>28863.491999999998</v>
      </c>
      <c r="D61">
        <f t="shared" si="4"/>
        <v>2454.6</v>
      </c>
      <c r="E61">
        <f t="shared" si="5"/>
        <v>1719.1786072069262</v>
      </c>
      <c r="F61">
        <f t="shared" si="6"/>
        <v>3449.2825000000003</v>
      </c>
      <c r="G61">
        <f t="shared" si="9"/>
        <v>0</v>
      </c>
      <c r="H61">
        <v>0</v>
      </c>
      <c r="I61">
        <f t="shared" si="7"/>
        <v>3796.52</v>
      </c>
      <c r="J61">
        <f t="shared" si="8"/>
        <v>45792.313107206915</v>
      </c>
    </row>
    <row r="62" spans="1:10" x14ac:dyDescent="0.2">
      <c r="A62" t="str">
        <f t="shared" si="3"/>
        <v>August</v>
      </c>
      <c r="B62">
        <f t="shared" si="4"/>
        <v>4767.3569999999991</v>
      </c>
      <c r="C62">
        <f t="shared" si="4"/>
        <v>33736.972499999996</v>
      </c>
      <c r="D62">
        <f t="shared" si="4"/>
        <v>2470.3824999999997</v>
      </c>
      <c r="E62">
        <f t="shared" si="5"/>
        <v>1130.2039429973747</v>
      </c>
      <c r="F62">
        <f t="shared" si="6"/>
        <v>4828.3355999999994</v>
      </c>
      <c r="G62">
        <f t="shared" si="9"/>
        <v>0</v>
      </c>
      <c r="H62">
        <v>0</v>
      </c>
      <c r="I62">
        <f t="shared" si="7"/>
        <v>2584.7910000000002</v>
      </c>
      <c r="J62">
        <f t="shared" si="8"/>
        <v>49518.042542997362</v>
      </c>
    </row>
    <row r="63" spans="1:10" x14ac:dyDescent="0.2">
      <c r="A63" t="str">
        <f t="shared" si="3"/>
        <v>September</v>
      </c>
      <c r="B63">
        <f t="shared" si="4"/>
        <v>7131.4180000000006</v>
      </c>
      <c r="C63">
        <f t="shared" si="4"/>
        <v>30976.958999999999</v>
      </c>
      <c r="D63">
        <f t="shared" si="4"/>
        <v>3139.3464999999997</v>
      </c>
      <c r="E63">
        <f t="shared" si="5"/>
        <v>828.21868935525174</v>
      </c>
      <c r="F63">
        <f t="shared" si="6"/>
        <v>3474.2725</v>
      </c>
      <c r="G63">
        <f t="shared" si="9"/>
        <v>0</v>
      </c>
      <c r="H63">
        <v>0</v>
      </c>
      <c r="I63">
        <f t="shared" si="7"/>
        <v>4077.6345000000001</v>
      </c>
      <c r="J63">
        <f t="shared" si="8"/>
        <v>49627.849189355249</v>
      </c>
    </row>
    <row r="64" spans="1:10" x14ac:dyDescent="0.2">
      <c r="A64" t="str">
        <f t="shared" si="3"/>
        <v xml:space="preserve">October </v>
      </c>
      <c r="B64">
        <f t="shared" si="4"/>
        <v>5482.3225000000002</v>
      </c>
      <c r="C64">
        <f t="shared" si="4"/>
        <v>28504.522499999999</v>
      </c>
      <c r="D64">
        <f t="shared" si="4"/>
        <v>2118.3625000000002</v>
      </c>
      <c r="E64">
        <f t="shared" si="5"/>
        <v>868.72470225816198</v>
      </c>
      <c r="F64">
        <f t="shared" si="6"/>
        <v>3431.0871000000002</v>
      </c>
      <c r="G64">
        <v>0</v>
      </c>
      <c r="H64">
        <v>0</v>
      </c>
      <c r="I64">
        <f t="shared" si="7"/>
        <v>8629.3125</v>
      </c>
      <c r="J64">
        <f t="shared" si="8"/>
        <v>49034.331802258166</v>
      </c>
    </row>
    <row r="65" spans="1:11" x14ac:dyDescent="0.2">
      <c r="A65" t="str">
        <f t="shared" si="3"/>
        <v>November</v>
      </c>
      <c r="B65">
        <f t="shared" si="4"/>
        <v>5074.8074999999999</v>
      </c>
      <c r="C65">
        <f t="shared" si="4"/>
        <v>28503.62715</v>
      </c>
      <c r="D65">
        <f t="shared" si="4"/>
        <v>1453.4988000000001</v>
      </c>
      <c r="E65">
        <f t="shared" si="5"/>
        <v>947.46724223467072</v>
      </c>
      <c r="F65">
        <f t="shared" si="6"/>
        <v>2112.5212499999998</v>
      </c>
      <c r="G65">
        <f>+G24*G46</f>
        <v>0</v>
      </c>
      <c r="H65">
        <v>0</v>
      </c>
      <c r="I65">
        <f t="shared" si="7"/>
        <v>4675.5600000000004</v>
      </c>
      <c r="J65">
        <f t="shared" si="8"/>
        <v>42767.48194223467</v>
      </c>
    </row>
    <row r="66" spans="1:11" x14ac:dyDescent="0.2">
      <c r="A66" t="s">
        <v>174</v>
      </c>
      <c r="B66">
        <f t="shared" si="4"/>
        <v>8451.3469999999998</v>
      </c>
      <c r="C66">
        <f t="shared" si="4"/>
        <v>28477.8</v>
      </c>
      <c r="D66">
        <f t="shared" si="4"/>
        <v>2658.1869999999999</v>
      </c>
      <c r="E66">
        <f t="shared" si="5"/>
        <v>1168.0095550400908</v>
      </c>
      <c r="F66">
        <f t="shared" si="6"/>
        <v>1466.8683100000001</v>
      </c>
      <c r="G66">
        <f>+G25*G47</f>
        <v>0</v>
      </c>
      <c r="H66">
        <v>0</v>
      </c>
      <c r="I66">
        <f t="shared" si="7"/>
        <v>5229.4902499999998</v>
      </c>
      <c r="J66">
        <f>SUM(B66:I66)</f>
        <v>47451.702115040083</v>
      </c>
    </row>
    <row r="67" spans="1:11" x14ac:dyDescent="0.2">
      <c r="A67" t="s">
        <v>192</v>
      </c>
      <c r="B67">
        <f t="shared" si="4"/>
        <v>9463.482</v>
      </c>
      <c r="C67">
        <f>+C26*C48</f>
        <v>23636.69385</v>
      </c>
      <c r="D67">
        <f>+D26*D48</f>
        <v>9227.0897000000004</v>
      </c>
      <c r="E67">
        <v>0</v>
      </c>
      <c r="F67">
        <f>+F26*F48</f>
        <v>10622.161899999999</v>
      </c>
      <c r="I67">
        <f>+I26*I48</f>
        <v>6540.7499999999991</v>
      </c>
      <c r="J67">
        <f>SUM(B67:I67)</f>
        <v>59490.177449999996</v>
      </c>
    </row>
    <row r="68" spans="1:11" x14ac:dyDescent="0.2">
      <c r="A68" t="s">
        <v>191</v>
      </c>
      <c r="B68">
        <f t="shared" si="4"/>
        <v>12980.169</v>
      </c>
      <c r="C68">
        <f>+C27*C49</f>
        <v>18849.386999999999</v>
      </c>
      <c r="D68">
        <f>+D27*D49</f>
        <v>7346.7015999999994</v>
      </c>
      <c r="E68">
        <v>0</v>
      </c>
      <c r="F68">
        <f>+F27*F49</f>
        <v>9664.7000000000007</v>
      </c>
      <c r="I68">
        <f>+I27*I49</f>
        <v>1436.8000000000002</v>
      </c>
      <c r="J68">
        <f>SUM(B68:I68)</f>
        <v>50277.757599999997</v>
      </c>
    </row>
    <row r="69" spans="1:11" ht="15.75" thickBot="1" x14ac:dyDescent="0.25">
      <c r="A69" t="s">
        <v>88</v>
      </c>
      <c r="B69">
        <f>SUM(B52:B66)</f>
        <v>106268.0165</v>
      </c>
      <c r="C69">
        <f t="shared" ref="C69:I69" si="10">SUM(C52:C66)</f>
        <v>349048.73490000004</v>
      </c>
      <c r="D69">
        <f t="shared" si="10"/>
        <v>34809.009299999998</v>
      </c>
      <c r="E69">
        <v>16920.12</v>
      </c>
      <c r="F69">
        <f t="shared" si="10"/>
        <v>41104.840259999997</v>
      </c>
      <c r="G69">
        <f t="shared" si="10"/>
        <v>0</v>
      </c>
      <c r="H69">
        <f t="shared" si="10"/>
        <v>0</v>
      </c>
      <c r="I69">
        <f t="shared" si="10"/>
        <v>46663.326249999998</v>
      </c>
      <c r="K69" t="s">
        <v>6</v>
      </c>
    </row>
    <row r="70" spans="1:11" ht="15.75" thickTop="1" x14ac:dyDescent="0.2"/>
    <row r="71" spans="1:11" ht="15.75" thickBot="1" x14ac:dyDescent="0.25">
      <c r="A71" t="s">
        <v>193</v>
      </c>
      <c r="J71">
        <f>SUM(J52:J68)</f>
        <v>704581.98225999984</v>
      </c>
    </row>
    <row r="72" spans="1:11" ht="15.75" thickTop="1" x14ac:dyDescent="0.2">
      <c r="J72" t="s">
        <v>6</v>
      </c>
    </row>
    <row r="73" spans="1:11" x14ac:dyDescent="0.2">
      <c r="J73" t="s">
        <v>6</v>
      </c>
    </row>
    <row r="74" spans="1:11" x14ac:dyDescent="0.2">
      <c r="B74" t="s">
        <v>6</v>
      </c>
    </row>
  </sheetData>
  <phoneticPr fontId="0" type="noConversion"/>
  <pageMargins left="0.75" right="0.75" top="1" bottom="1" header="0.5" footer="0.5"/>
  <pageSetup scale="60"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zoomScaleNormal="100" workbookViewId="0"/>
  </sheetViews>
  <sheetFormatPr defaultRowHeight="15" customHeight="1" x14ac:dyDescent="0.2"/>
  <cols>
    <col min="1" max="1" width="12.88671875" customWidth="1"/>
    <col min="2" max="2" width="8.44140625" customWidth="1"/>
    <col min="4" max="4" width="9.44140625" customWidth="1"/>
    <col min="5" max="5" width="12.6640625" customWidth="1"/>
    <col min="6" max="6" width="8.5546875" customWidth="1"/>
    <col min="8" max="8" width="12.88671875" customWidth="1"/>
  </cols>
  <sheetData>
    <row r="1" spans="1:4" ht="15" customHeight="1" x14ac:dyDescent="0.2">
      <c r="A1" t="s">
        <v>266</v>
      </c>
    </row>
    <row r="3" spans="1:4" ht="15" customHeight="1" x14ac:dyDescent="0.2">
      <c r="A3" t="s">
        <v>267</v>
      </c>
      <c r="B3" t="s">
        <v>268</v>
      </c>
      <c r="C3">
        <v>2.56</v>
      </c>
    </row>
    <row r="4" spans="1:4" ht="15" customHeight="1" x14ac:dyDescent="0.2">
      <c r="A4" t="s">
        <v>68</v>
      </c>
      <c r="C4">
        <v>-0.28000000000000003</v>
      </c>
    </row>
    <row r="5" spans="1:4" ht="15" customHeight="1" x14ac:dyDescent="0.2">
      <c r="A5" t="s">
        <v>269</v>
      </c>
      <c r="C5">
        <f>SUM(C3:C4)</f>
        <v>2.2800000000000002</v>
      </c>
    </row>
    <row r="7" spans="1:4" ht="15" customHeight="1" x14ac:dyDescent="0.2">
      <c r="A7" t="s">
        <v>270</v>
      </c>
      <c r="B7" t="s">
        <v>272</v>
      </c>
      <c r="C7">
        <v>174893</v>
      </c>
    </row>
    <row r="8" spans="1:4" ht="15" customHeight="1" x14ac:dyDescent="0.2">
      <c r="A8" t="s">
        <v>271</v>
      </c>
      <c r="B8" t="s">
        <v>169</v>
      </c>
      <c r="C8">
        <v>6575</v>
      </c>
    </row>
    <row r="9" spans="1:4" ht="15" customHeight="1" x14ac:dyDescent="0.2">
      <c r="A9" t="s">
        <v>274</v>
      </c>
      <c r="C9">
        <f>SUM(C7:C8)</f>
        <v>181468</v>
      </c>
      <c r="D9" t="s">
        <v>322</v>
      </c>
    </row>
    <row r="10" spans="1:4" ht="15" customHeight="1" x14ac:dyDescent="0.2">
      <c r="A10" t="s">
        <v>275</v>
      </c>
      <c r="B10" t="s">
        <v>277</v>
      </c>
    </row>
    <row r="11" spans="1:4" ht="15" customHeight="1" x14ac:dyDescent="0.2">
      <c r="A11" t="s">
        <v>276</v>
      </c>
      <c r="C11">
        <v>704582</v>
      </c>
    </row>
    <row r="12" spans="1:4" ht="15" customHeight="1" x14ac:dyDescent="0.2">
      <c r="A12" t="s">
        <v>278</v>
      </c>
      <c r="C12">
        <f>C11-C9</f>
        <v>523114</v>
      </c>
      <c r="D12" t="s">
        <v>279</v>
      </c>
    </row>
    <row r="14" spans="1:4" ht="15" customHeight="1" x14ac:dyDescent="0.2">
      <c r="A14" t="s">
        <v>323</v>
      </c>
      <c r="C14">
        <v>45653</v>
      </c>
    </row>
    <row r="16" spans="1:4" ht="15" customHeight="1" x14ac:dyDescent="0.2">
      <c r="A16" t="s">
        <v>7</v>
      </c>
      <c r="C16">
        <f>(C12/C14)/12</f>
        <v>0.95487335625990255</v>
      </c>
    </row>
    <row r="17" spans="1:8" ht="15" customHeight="1" x14ac:dyDescent="0.2">
      <c r="A17" t="s">
        <v>280</v>
      </c>
      <c r="C17">
        <v>-0.34</v>
      </c>
    </row>
    <row r="18" spans="1:8" ht="15" customHeight="1" x14ac:dyDescent="0.2">
      <c r="A18" t="s">
        <v>287</v>
      </c>
      <c r="B18" t="s">
        <v>277</v>
      </c>
      <c r="C18">
        <f>SUM(C16:C17)+0.01</f>
        <v>0.62487335625990248</v>
      </c>
      <c r="D18" t="s">
        <v>286</v>
      </c>
    </row>
    <row r="20" spans="1:8" ht="15" customHeight="1" x14ac:dyDescent="0.2">
      <c r="A20" t="s">
        <v>281</v>
      </c>
      <c r="B20" t="s">
        <v>277</v>
      </c>
      <c r="C20">
        <v>7206.25</v>
      </c>
    </row>
    <row r="21" spans="1:8" ht="15" customHeight="1" x14ac:dyDescent="0.2">
      <c r="A21" t="s">
        <v>282</v>
      </c>
      <c r="C21">
        <v>25</v>
      </c>
      <c r="D21" t="s">
        <v>283</v>
      </c>
    </row>
    <row r="22" spans="1:8" ht="15" customHeight="1" x14ac:dyDescent="0.2">
      <c r="A22" t="s">
        <v>273</v>
      </c>
      <c r="C22">
        <f>C20*C21</f>
        <v>180156.25</v>
      </c>
    </row>
    <row r="23" spans="1:8" ht="15" customHeight="1" x14ac:dyDescent="0.2">
      <c r="A23" t="s">
        <v>26</v>
      </c>
      <c r="C23">
        <v>675109</v>
      </c>
    </row>
    <row r="24" spans="1:8" ht="15" customHeight="1" x14ac:dyDescent="0.2">
      <c r="A24" t="s">
        <v>7</v>
      </c>
      <c r="C24">
        <f>(C22/C23)/0.92</f>
        <v>0.29005984347648339</v>
      </c>
    </row>
    <row r="26" spans="1:8" ht="15" customHeight="1" x14ac:dyDescent="0.2">
      <c r="A26" t="s">
        <v>284</v>
      </c>
      <c r="B26">
        <v>0.05</v>
      </c>
      <c r="C26" t="s">
        <v>285</v>
      </c>
    </row>
    <row r="28" spans="1:8" ht="15" customHeight="1" x14ac:dyDescent="0.2">
      <c r="A28" t="s">
        <v>288</v>
      </c>
    </row>
    <row r="29" spans="1:8" ht="15" customHeight="1" x14ac:dyDescent="0.2">
      <c r="E29" t="s">
        <v>301</v>
      </c>
      <c r="F29">
        <v>4.2300000000000004</v>
      </c>
    </row>
    <row r="30" spans="1:8" ht="15" customHeight="1" x14ac:dyDescent="0.2">
      <c r="A30" t="s">
        <v>289</v>
      </c>
      <c r="C30">
        <v>1.21</v>
      </c>
      <c r="E30" t="s">
        <v>297</v>
      </c>
      <c r="F30">
        <f>C39</f>
        <v>0.35257080870938345</v>
      </c>
      <c r="G30">
        <f>C38*F30</f>
        <v>16447.780797101448</v>
      </c>
    </row>
    <row r="31" spans="1:8" ht="15" customHeight="1" x14ac:dyDescent="0.2">
      <c r="A31" t="s">
        <v>290</v>
      </c>
      <c r="C31">
        <v>-0.51</v>
      </c>
      <c r="E31" t="s">
        <v>298</v>
      </c>
      <c r="F31">
        <f>C40</f>
        <v>0.17</v>
      </c>
      <c r="G31">
        <f>C38*F31</f>
        <v>7930.670000000001</v>
      </c>
    </row>
    <row r="32" spans="1:8" ht="15" customHeight="1" x14ac:dyDescent="0.2">
      <c r="A32" t="s">
        <v>278</v>
      </c>
      <c r="C32">
        <f>SUM(C30:C31)</f>
        <v>0.7</v>
      </c>
      <c r="E32" t="s">
        <v>300</v>
      </c>
      <c r="F32">
        <f>SUM(F29:F31)</f>
        <v>4.7525708087093834</v>
      </c>
      <c r="G32">
        <f>SUM(G30:G31)</f>
        <v>24378.45079710145</v>
      </c>
      <c r="H32" t="s">
        <v>306</v>
      </c>
    </row>
    <row r="34" spans="1:8" ht="15" customHeight="1" x14ac:dyDescent="0.2">
      <c r="A34" t="s">
        <v>206</v>
      </c>
      <c r="C34">
        <v>45</v>
      </c>
      <c r="D34" t="s">
        <v>294</v>
      </c>
      <c r="E34" t="s">
        <v>302</v>
      </c>
      <c r="F34">
        <f>C30</f>
        <v>1.21</v>
      </c>
    </row>
    <row r="35" spans="1:8" ht="15" customHeight="1" x14ac:dyDescent="0.2">
      <c r="A35" t="s">
        <v>293</v>
      </c>
      <c r="C35">
        <v>62.89</v>
      </c>
      <c r="D35" t="s">
        <v>294</v>
      </c>
      <c r="E35" t="s">
        <v>303</v>
      </c>
      <c r="F35">
        <f>C32/2</f>
        <v>0.35</v>
      </c>
    </row>
    <row r="36" spans="1:8" ht="15" customHeight="1" x14ac:dyDescent="0.2">
      <c r="A36" t="s">
        <v>278</v>
      </c>
      <c r="C36">
        <f>C35-C34</f>
        <v>17.89</v>
      </c>
      <c r="D36" t="s">
        <v>294</v>
      </c>
      <c r="E36" t="s">
        <v>307</v>
      </c>
      <c r="F36">
        <f>C18</f>
        <v>0.62487335625990248</v>
      </c>
    </row>
    <row r="37" spans="1:8" ht="15" customHeight="1" x14ac:dyDescent="0.2">
      <c r="A37" t="s">
        <v>291</v>
      </c>
      <c r="B37" t="s">
        <v>292</v>
      </c>
      <c r="C37">
        <v>5075</v>
      </c>
      <c r="E37" t="s">
        <v>274</v>
      </c>
      <c r="F37">
        <f>SUM(F34:F36)</f>
        <v>2.1848733562599025</v>
      </c>
    </row>
    <row r="38" spans="1:8" ht="15" customHeight="1" x14ac:dyDescent="0.2">
      <c r="A38" t="s">
        <v>296</v>
      </c>
      <c r="C38">
        <v>46651</v>
      </c>
      <c r="D38" t="s">
        <v>26</v>
      </c>
      <c r="E38" t="s">
        <v>290</v>
      </c>
      <c r="F38">
        <v>0.51</v>
      </c>
    </row>
    <row r="39" spans="1:8" ht="15" customHeight="1" x14ac:dyDescent="0.2">
      <c r="A39" t="s">
        <v>295</v>
      </c>
      <c r="C39">
        <f>(C37*C36)/C38/6/0.92</f>
        <v>0.35257080870938345</v>
      </c>
      <c r="E39" t="s">
        <v>269</v>
      </c>
      <c r="F39">
        <f>F37-F38</f>
        <v>1.6748733562599025</v>
      </c>
    </row>
    <row r="40" spans="1:8" ht="15" customHeight="1" x14ac:dyDescent="0.2">
      <c r="A40" t="s">
        <v>299</v>
      </c>
      <c r="C40">
        <v>0.17</v>
      </c>
    </row>
    <row r="41" spans="1:8" ht="15" customHeight="1" x14ac:dyDescent="0.2">
      <c r="E41" t="s">
        <v>304</v>
      </c>
      <c r="F41">
        <f>F39</f>
        <v>1.6748733562599025</v>
      </c>
      <c r="G41">
        <f>C38*F41</f>
        <v>78134.516942880713</v>
      </c>
      <c r="H41" t="s">
        <v>306</v>
      </c>
    </row>
    <row r="43" spans="1:8" ht="15" customHeight="1" x14ac:dyDescent="0.2">
      <c r="E43" t="s">
        <v>308</v>
      </c>
      <c r="G43">
        <f>G41-G32</f>
        <v>53756.066145779259</v>
      </c>
      <c r="H43" t="s">
        <v>305</v>
      </c>
    </row>
    <row r="44" spans="1:8" ht="15" customHeight="1" x14ac:dyDescent="0.2">
      <c r="H44" t="s">
        <v>6</v>
      </c>
    </row>
    <row r="46" spans="1:8" ht="15" customHeight="1" x14ac:dyDescent="0.2">
      <c r="A46" t="s">
        <v>309</v>
      </c>
    </row>
    <row r="47" spans="1:8" ht="15" customHeight="1" x14ac:dyDescent="0.2">
      <c r="A47" t="s">
        <v>310</v>
      </c>
      <c r="B47">
        <v>29</v>
      </c>
      <c r="C47" t="s">
        <v>13</v>
      </c>
      <c r="D47">
        <v>5743</v>
      </c>
      <c r="E47">
        <f>D47*71</f>
        <v>407753</v>
      </c>
    </row>
    <row r="48" spans="1:8" ht="15" customHeight="1" x14ac:dyDescent="0.2">
      <c r="A48" t="s">
        <v>311</v>
      </c>
      <c r="B48">
        <v>40</v>
      </c>
      <c r="C48" t="s">
        <v>320</v>
      </c>
      <c r="D48">
        <v>9989</v>
      </c>
      <c r="E48">
        <f>D48*B59</f>
        <v>924382.06</v>
      </c>
    </row>
    <row r="49" spans="1:6" ht="15" customHeight="1" x14ac:dyDescent="0.2">
      <c r="E49">
        <f>E48-E47</f>
        <v>516629.06000000006</v>
      </c>
      <c r="F49" t="s">
        <v>321</v>
      </c>
    </row>
    <row r="50" spans="1:6" ht="15" customHeight="1" x14ac:dyDescent="0.2">
      <c r="A50" t="s">
        <v>316</v>
      </c>
      <c r="E50">
        <f>E49/C38</f>
        <v>11.074340528606033</v>
      </c>
    </row>
    <row r="51" spans="1:6" ht="15" customHeight="1" x14ac:dyDescent="0.2">
      <c r="A51" t="s">
        <v>312</v>
      </c>
      <c r="B51">
        <f>285607/12</f>
        <v>23800.583333333332</v>
      </c>
      <c r="C51" t="s">
        <v>314</v>
      </c>
      <c r="D51">
        <f>B51*12</f>
        <v>285607</v>
      </c>
      <c r="E51">
        <f>E50/12</f>
        <v>0.92286171071716938</v>
      </c>
      <c r="F51" t="s">
        <v>327</v>
      </c>
    </row>
    <row r="52" spans="1:6" ht="15" customHeight="1" x14ac:dyDescent="0.2">
      <c r="A52" t="s">
        <v>313</v>
      </c>
      <c r="B52">
        <f>(408010-285607)/12</f>
        <v>10200.25</v>
      </c>
      <c r="C52" t="s">
        <v>315</v>
      </c>
      <c r="D52">
        <f>B52*12</f>
        <v>122403</v>
      </c>
      <c r="E52">
        <v>0.7</v>
      </c>
      <c r="F52" t="s">
        <v>326</v>
      </c>
    </row>
    <row r="53" spans="1:6" ht="15" customHeight="1" x14ac:dyDescent="0.2">
      <c r="A53" t="s">
        <v>92</v>
      </c>
      <c r="B53">
        <f>SUM(B51:B52)</f>
        <v>34000.833333333328</v>
      </c>
      <c r="C53" t="s">
        <v>324</v>
      </c>
      <c r="D53">
        <f>SUM(D51:D52)</f>
        <v>408010</v>
      </c>
      <c r="E53">
        <f>E51-E52</f>
        <v>0.22286171071716943</v>
      </c>
    </row>
    <row r="54" spans="1:6" ht="15" customHeight="1" x14ac:dyDescent="0.2">
      <c r="A54" t="s">
        <v>319</v>
      </c>
      <c r="B54">
        <v>71.040000000000006</v>
      </c>
      <c r="C54" t="s">
        <v>283</v>
      </c>
    </row>
    <row r="56" spans="1:6" ht="15" customHeight="1" x14ac:dyDescent="0.2">
      <c r="A56" t="s">
        <v>317</v>
      </c>
      <c r="B56">
        <v>53925</v>
      </c>
      <c r="C56" t="s">
        <v>314</v>
      </c>
      <c r="D56">
        <f>B56*12</f>
        <v>647100</v>
      </c>
    </row>
    <row r="57" spans="1:6" ht="15" customHeight="1" x14ac:dyDescent="0.2">
      <c r="A57" t="s">
        <v>318</v>
      </c>
      <c r="B57">
        <v>23110</v>
      </c>
      <c r="C57" t="s">
        <v>315</v>
      </c>
      <c r="D57">
        <f>B57*12</f>
        <v>277320</v>
      </c>
    </row>
    <row r="58" spans="1:6" ht="15" customHeight="1" x14ac:dyDescent="0.2">
      <c r="A58" t="s">
        <v>92</v>
      </c>
      <c r="B58">
        <f>SUM(B56:B57)</f>
        <v>77035</v>
      </c>
    </row>
    <row r="59" spans="1:6" ht="15" customHeight="1" x14ac:dyDescent="0.2">
      <c r="A59" t="s">
        <v>319</v>
      </c>
      <c r="B59">
        <v>92.54</v>
      </c>
      <c r="C59" t="s">
        <v>283</v>
      </c>
    </row>
    <row r="60" spans="1:6" ht="15" customHeight="1" x14ac:dyDescent="0.2">
      <c r="D60">
        <f>D57-D52</f>
        <v>154917</v>
      </c>
      <c r="E60" t="s">
        <v>325</v>
      </c>
    </row>
  </sheetData>
  <phoneticPr fontId="0" type="noConversion"/>
  <pageMargins left="0.75" right="0.75" top="1" bottom="1" header="0.5" footer="0.5"/>
  <pageSetup scale="70" orientation="portrait" horizontalDpi="300" verticalDpi="300" r:id="rId1"/>
  <headerFooter alignWithMargins="0"/>
  <rowBreaks count="1" manualBreakCount="1">
    <brk id="61" max="7" man="1"/>
  </rowBreaks>
  <colBreaks count="1" manualBreakCount="1">
    <brk id="8"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23"/>
  <sheetViews>
    <sheetView topLeftCell="A56" zoomScaleNormal="100" workbookViewId="0">
      <selection activeCell="D80" sqref="D80"/>
    </sheetView>
  </sheetViews>
  <sheetFormatPr defaultRowHeight="15" x14ac:dyDescent="0.2"/>
  <cols>
    <col min="1" max="1" width="2.21875" customWidth="1"/>
    <col min="10" max="10" width="8.44140625" customWidth="1"/>
  </cols>
  <sheetData>
    <row r="1" spans="2:6" x14ac:dyDescent="0.2">
      <c r="F1" t="s">
        <v>0</v>
      </c>
    </row>
    <row r="2" spans="2:6" x14ac:dyDescent="0.2">
      <c r="F2" t="s">
        <v>1</v>
      </c>
    </row>
    <row r="3" spans="2:6" x14ac:dyDescent="0.2">
      <c r="F3" t="s">
        <v>2</v>
      </c>
    </row>
    <row r="6" spans="2:6" x14ac:dyDescent="0.2">
      <c r="B6" t="s">
        <v>334</v>
      </c>
    </row>
    <row r="8" spans="2:6" x14ac:dyDescent="0.2">
      <c r="B8" t="s">
        <v>4</v>
      </c>
    </row>
    <row r="9" spans="2:6" x14ac:dyDescent="0.2">
      <c r="B9" t="s">
        <v>341</v>
      </c>
    </row>
    <row r="10" spans="2:6" x14ac:dyDescent="0.2">
      <c r="B10" t="s">
        <v>6</v>
      </c>
    </row>
    <row r="11" spans="2:6" x14ac:dyDescent="0.2">
      <c r="F11" t="s">
        <v>7</v>
      </c>
    </row>
    <row r="12" spans="2:6" x14ac:dyDescent="0.2">
      <c r="D12" t="s">
        <v>30</v>
      </c>
      <c r="E12" t="s">
        <v>31</v>
      </c>
      <c r="F12" t="s">
        <v>8</v>
      </c>
    </row>
    <row r="13" spans="2:6" x14ac:dyDescent="0.2">
      <c r="B13" t="s">
        <v>92</v>
      </c>
      <c r="D13" t="s">
        <v>26</v>
      </c>
      <c r="E13" t="s">
        <v>32</v>
      </c>
      <c r="F13" t="s">
        <v>13</v>
      </c>
    </row>
    <row r="15" spans="2:6" x14ac:dyDescent="0.2">
      <c r="B15" t="s">
        <v>336</v>
      </c>
      <c r="D15">
        <v>47476</v>
      </c>
      <c r="E15">
        <f>'7th year actual'!J46</f>
        <v>99998.053</v>
      </c>
      <c r="F15">
        <f>SUM(E15)/SUM(D15)</f>
        <v>2.1062863973376023</v>
      </c>
    </row>
    <row r="16" spans="2:6" x14ac:dyDescent="0.2">
      <c r="B16" t="s">
        <v>116</v>
      </c>
      <c r="D16">
        <v>47499</v>
      </c>
      <c r="E16">
        <f>'7th year actual'!J47</f>
        <v>100921.652015</v>
      </c>
      <c r="F16">
        <f>SUM(E15:E16)/SUM(D15:D16)</f>
        <v>2.1155009740984472</v>
      </c>
    </row>
    <row r="17" spans="2:10" x14ac:dyDescent="0.2">
      <c r="B17" t="s">
        <v>34</v>
      </c>
      <c r="D17">
        <v>47396</v>
      </c>
      <c r="E17">
        <f>'7th year actual'!J48</f>
        <v>115283.78136000001</v>
      </c>
      <c r="F17">
        <f t="shared" ref="F17:F25" si="0">SUM(E15:E17)/SUM(D15:D17)</f>
        <v>2.2209824077586027</v>
      </c>
    </row>
    <row r="18" spans="2:10" x14ac:dyDescent="0.2">
      <c r="B18" t="s">
        <v>35</v>
      </c>
      <c r="D18">
        <v>47576</v>
      </c>
      <c r="E18">
        <f>'7th year actual'!J49</f>
        <v>113776.99083999998</v>
      </c>
      <c r="F18">
        <f t="shared" si="0"/>
        <v>2.3161374891381405</v>
      </c>
    </row>
    <row r="19" spans="2:10" x14ac:dyDescent="0.2">
      <c r="B19" t="s">
        <v>335</v>
      </c>
      <c r="D19">
        <v>47610</v>
      </c>
      <c r="E19">
        <f>'7th year actual'!J50</f>
        <v>125194.90045000002</v>
      </c>
      <c r="F19">
        <f t="shared" si="0"/>
        <v>2.484575</v>
      </c>
    </row>
    <row r="20" spans="2:10" x14ac:dyDescent="0.2">
      <c r="B20" t="s">
        <v>37</v>
      </c>
      <c r="D20">
        <v>47831</v>
      </c>
      <c r="E20">
        <f>'7th year actual'!J51</f>
        <v>105544.271205</v>
      </c>
      <c r="F20">
        <f t="shared" si="0"/>
        <v>2.4089175587167957</v>
      </c>
    </row>
    <row r="21" spans="2:10" x14ac:dyDescent="0.2">
      <c r="B21" t="s">
        <v>38</v>
      </c>
      <c r="D21">
        <v>47988</v>
      </c>
      <c r="E21">
        <f>'7th year actual'!J52</f>
        <v>122707.535745</v>
      </c>
      <c r="F21">
        <f t="shared" si="0"/>
        <v>2.4642625089765668</v>
      </c>
    </row>
    <row r="22" spans="2:10" x14ac:dyDescent="0.2">
      <c r="B22" t="s">
        <v>95</v>
      </c>
      <c r="D22">
        <v>48749</v>
      </c>
      <c r="E22">
        <f>'7th year actual'!J53</f>
        <v>114624.41059999999</v>
      </c>
      <c r="F22">
        <f t="shared" si="0"/>
        <v>2.3717296881052516</v>
      </c>
    </row>
    <row r="23" spans="2:10" x14ac:dyDescent="0.2">
      <c r="B23" t="s">
        <v>40</v>
      </c>
      <c r="D23">
        <v>48732</v>
      </c>
      <c r="E23">
        <f>'7th year actual'!J54</f>
        <v>138997.81067000001</v>
      </c>
      <c r="F23">
        <f t="shared" si="0"/>
        <v>2.587009995359836</v>
      </c>
    </row>
    <row r="24" spans="2:10" x14ac:dyDescent="0.2">
      <c r="B24" t="s">
        <v>41</v>
      </c>
      <c r="D24">
        <v>48923</v>
      </c>
      <c r="E24">
        <f>'7th year actual'!J55</f>
        <v>123877.28425999999</v>
      </c>
      <c r="F24">
        <f t="shared" si="0"/>
        <v>2.5784780848200866</v>
      </c>
    </row>
    <row r="25" spans="2:10" x14ac:dyDescent="0.2">
      <c r="B25" t="s">
        <v>42</v>
      </c>
      <c r="D25">
        <v>49104</v>
      </c>
      <c r="E25">
        <f>'7th year actual'!J56</f>
        <v>126571.92030000001</v>
      </c>
      <c r="F25">
        <f t="shared" si="0"/>
        <v>2.6536499651128724</v>
      </c>
    </row>
    <row r="26" spans="2:10" x14ac:dyDescent="0.2">
      <c r="B26" t="s">
        <v>43</v>
      </c>
      <c r="D26">
        <f>33476+15884</f>
        <v>49360</v>
      </c>
      <c r="E26">
        <f>'7th year actual'!J57</f>
        <v>133589.78310999999</v>
      </c>
      <c r="F26">
        <f>SUM(E24:E26)/SUM(D24:D26)</f>
        <v>2.6056503468419869</v>
      </c>
    </row>
    <row r="27" spans="2:10" x14ac:dyDescent="0.2">
      <c r="B27" t="s">
        <v>96</v>
      </c>
      <c r="D27">
        <f>SUM(D14:D26)</f>
        <v>578244</v>
      </c>
      <c r="E27">
        <f>SUM(E14:E26)</f>
        <v>1421088.393555</v>
      </c>
      <c r="H27" t="s">
        <v>6</v>
      </c>
    </row>
    <row r="29" spans="2:10" x14ac:dyDescent="0.2">
      <c r="B29" t="s">
        <v>337</v>
      </c>
    </row>
    <row r="31" spans="2:10" x14ac:dyDescent="0.2">
      <c r="B31" t="s">
        <v>338</v>
      </c>
      <c r="F31">
        <f>SUM(D14:D26)</f>
        <v>578244</v>
      </c>
      <c r="J31" t="s">
        <v>6</v>
      </c>
    </row>
    <row r="35" spans="2:9" x14ac:dyDescent="0.2">
      <c r="B35" t="s">
        <v>101</v>
      </c>
      <c r="F35">
        <v>1.21</v>
      </c>
    </row>
    <row r="38" spans="2:9" x14ac:dyDescent="0.2">
      <c r="B38" t="s">
        <v>339</v>
      </c>
      <c r="H38">
        <f>F31*F35</f>
        <v>699675.24</v>
      </c>
    </row>
    <row r="40" spans="2:9" x14ac:dyDescent="0.2">
      <c r="B40" t="s">
        <v>50</v>
      </c>
      <c r="G40">
        <f>SUM(E14:E26)</f>
        <v>1421088.393555</v>
      </c>
    </row>
    <row r="41" spans="2:9" x14ac:dyDescent="0.2">
      <c r="B41" t="s">
        <v>340</v>
      </c>
      <c r="G41">
        <f>G40*0.3</f>
        <v>426326.51806649996</v>
      </c>
    </row>
    <row r="42" spans="2:9" x14ac:dyDescent="0.2">
      <c r="B42" t="s">
        <v>350</v>
      </c>
      <c r="H42">
        <f>G40-G41</f>
        <v>994761.87548849999</v>
      </c>
    </row>
    <row r="44" spans="2:9" x14ac:dyDescent="0.2">
      <c r="B44" t="s">
        <v>351</v>
      </c>
      <c r="H44">
        <f>H42-H38</f>
        <v>295086.6354885</v>
      </c>
      <c r="I44" t="s">
        <v>352</v>
      </c>
    </row>
    <row r="46" spans="2:9" x14ac:dyDescent="0.2">
      <c r="B46" t="s">
        <v>106</v>
      </c>
    </row>
    <row r="48" spans="2:9" x14ac:dyDescent="0.2">
      <c r="B48" t="s">
        <v>107</v>
      </c>
      <c r="G48">
        <f>H44</f>
        <v>295086.6354885</v>
      </c>
    </row>
    <row r="49" spans="2:10" x14ac:dyDescent="0.2">
      <c r="B49" t="s">
        <v>54</v>
      </c>
      <c r="G49">
        <f>SUM(D24:D26)/3</f>
        <v>49129</v>
      </c>
    </row>
    <row r="50" spans="2:10" x14ac:dyDescent="0.2">
      <c r="B50" t="s">
        <v>108</v>
      </c>
      <c r="G50">
        <f>G48/G49</f>
        <v>6.006363563038124</v>
      </c>
    </row>
    <row r="51" spans="2:10" x14ac:dyDescent="0.2">
      <c r="B51" t="s">
        <v>56</v>
      </c>
    </row>
    <row r="52" spans="2:10" x14ac:dyDescent="0.2">
      <c r="B52" t="s">
        <v>57</v>
      </c>
      <c r="G52">
        <f>G50/12</f>
        <v>0.50053029691984363</v>
      </c>
    </row>
    <row r="54" spans="2:10" x14ac:dyDescent="0.2">
      <c r="J54" t="s">
        <v>362</v>
      </c>
    </row>
    <row r="55" spans="2:10" x14ac:dyDescent="0.2">
      <c r="B55" t="s">
        <v>354</v>
      </c>
      <c r="F55" t="s">
        <v>356</v>
      </c>
      <c r="G55" t="s">
        <v>357</v>
      </c>
      <c r="H55" t="s">
        <v>358</v>
      </c>
      <c r="I55" t="s">
        <v>13</v>
      </c>
      <c r="J55" t="s">
        <v>363</v>
      </c>
    </row>
    <row r="56" spans="2:10" x14ac:dyDescent="0.2">
      <c r="B56" t="s">
        <v>353</v>
      </c>
      <c r="F56">
        <f>E24</f>
        <v>123877.28425999999</v>
      </c>
      <c r="G56">
        <f>E25</f>
        <v>126571.92030000001</v>
      </c>
      <c r="H56">
        <f>E26</f>
        <v>133589.78310999999</v>
      </c>
      <c r="I56">
        <f>AVERAGE(F56:H56)</f>
        <v>128012.99588999998</v>
      </c>
      <c r="J56">
        <f>I56*0.7</f>
        <v>89609.097122999985</v>
      </c>
    </row>
    <row r="57" spans="2:10" x14ac:dyDescent="0.2">
      <c r="B57" t="s">
        <v>355</v>
      </c>
      <c r="F57">
        <f>D24</f>
        <v>48923</v>
      </c>
      <c r="G57">
        <f>D25</f>
        <v>49104</v>
      </c>
      <c r="H57">
        <f>D26</f>
        <v>49360</v>
      </c>
      <c r="I57">
        <f>AVERAGE(F57:H57)</f>
        <v>49129</v>
      </c>
      <c r="J57">
        <f>I57</f>
        <v>49129</v>
      </c>
    </row>
    <row r="59" spans="2:10" x14ac:dyDescent="0.2">
      <c r="E59" t="s">
        <v>359</v>
      </c>
      <c r="I59">
        <f>I56/I57</f>
        <v>2.6056503468419869</v>
      </c>
      <c r="J59">
        <f>J56/J57</f>
        <v>1.8239552427893908</v>
      </c>
    </row>
    <row r="60" spans="2:10" ht="15.75" thickBot="1" x14ac:dyDescent="0.25">
      <c r="E60" t="s">
        <v>360</v>
      </c>
      <c r="I60">
        <f>G52</f>
        <v>0.50053029691984363</v>
      </c>
      <c r="J60">
        <f>I60</f>
        <v>0.50053029691984363</v>
      </c>
    </row>
    <row r="61" spans="2:10" ht="15.75" thickBot="1" x14ac:dyDescent="0.25">
      <c r="F61" t="s">
        <v>361</v>
      </c>
      <c r="I61">
        <f>I59+I60</f>
        <v>3.1061806437618307</v>
      </c>
      <c r="J61">
        <f>SUM(J59:J60)</f>
        <v>2.3244855397092343</v>
      </c>
    </row>
    <row r="65" spans="2:6" x14ac:dyDescent="0.2">
      <c r="F65" t="s">
        <v>0</v>
      </c>
    </row>
    <row r="66" spans="2:6" x14ac:dyDescent="0.2">
      <c r="F66" t="s">
        <v>1</v>
      </c>
    </row>
    <row r="67" spans="2:6" x14ac:dyDescent="0.2">
      <c r="F67" t="s">
        <v>342</v>
      </c>
    </row>
    <row r="70" spans="2:6" x14ac:dyDescent="0.2">
      <c r="B70" t="s">
        <v>334</v>
      </c>
    </row>
    <row r="72" spans="2:6" x14ac:dyDescent="0.2">
      <c r="B72" t="s">
        <v>4</v>
      </c>
    </row>
    <row r="73" spans="2:6" x14ac:dyDescent="0.2">
      <c r="B73" t="s">
        <v>341</v>
      </c>
    </row>
    <row r="74" spans="2:6" x14ac:dyDescent="0.2">
      <c r="B74" t="s">
        <v>6</v>
      </c>
    </row>
    <row r="75" spans="2:6" x14ac:dyDescent="0.2">
      <c r="F75" t="s">
        <v>345</v>
      </c>
    </row>
    <row r="76" spans="2:6" x14ac:dyDescent="0.2">
      <c r="B76" t="s">
        <v>344</v>
      </c>
      <c r="D76" t="s">
        <v>30</v>
      </c>
      <c r="E76" t="s">
        <v>31</v>
      </c>
      <c r="F76" t="s">
        <v>8</v>
      </c>
    </row>
    <row r="77" spans="2:6" x14ac:dyDescent="0.2">
      <c r="B77" t="s">
        <v>92</v>
      </c>
      <c r="D77" t="s">
        <v>145</v>
      </c>
      <c r="E77" t="s">
        <v>32</v>
      </c>
      <c r="F77" t="s">
        <v>13</v>
      </c>
    </row>
    <row r="79" spans="2:6" x14ac:dyDescent="0.2">
      <c r="B79" t="s">
        <v>336</v>
      </c>
      <c r="D79">
        <f>6425+707</f>
        <v>7132</v>
      </c>
      <c r="E79">
        <v>1737</v>
      </c>
      <c r="F79">
        <f>SUM(E79)/SUM(D79)</f>
        <v>0.24355019629837352</v>
      </c>
    </row>
    <row r="80" spans="2:6" x14ac:dyDescent="0.2">
      <c r="B80" t="s">
        <v>116</v>
      </c>
      <c r="D80">
        <f>6537+707</f>
        <v>7244</v>
      </c>
      <c r="E80">
        <v>1844</v>
      </c>
      <c r="F80">
        <f>SUM(E79:E80)/SUM(D79:D80)</f>
        <v>0.24909571508069003</v>
      </c>
    </row>
    <row r="81" spans="2:8" x14ac:dyDescent="0.2">
      <c r="B81" t="s">
        <v>34</v>
      </c>
      <c r="D81">
        <f>6634+707</f>
        <v>7341</v>
      </c>
      <c r="E81">
        <v>3003</v>
      </c>
      <c r="F81">
        <f t="shared" ref="F81:F89" si="1">SUM(E79:E81)/SUM(D79:D81)</f>
        <v>0.30317262973707232</v>
      </c>
    </row>
    <row r="82" spans="2:8" x14ac:dyDescent="0.2">
      <c r="B82" t="s">
        <v>35</v>
      </c>
      <c r="D82">
        <f>6575+707</f>
        <v>7282</v>
      </c>
      <c r="E82">
        <v>3885</v>
      </c>
      <c r="F82">
        <f t="shared" si="1"/>
        <v>0.39932318104906939</v>
      </c>
    </row>
    <row r="83" spans="2:8" x14ac:dyDescent="0.2">
      <c r="B83" t="s">
        <v>335</v>
      </c>
      <c r="D83">
        <f>6609+934</f>
        <v>7543</v>
      </c>
      <c r="E83">
        <v>5293</v>
      </c>
      <c r="F83">
        <f t="shared" si="1"/>
        <v>0.54953532437065777</v>
      </c>
    </row>
    <row r="84" spans="2:8" x14ac:dyDescent="0.2">
      <c r="B84" t="s">
        <v>37</v>
      </c>
      <c r="D84">
        <f>6650+1014</f>
        <v>7664</v>
      </c>
      <c r="E84">
        <v>4915</v>
      </c>
      <c r="F84">
        <f t="shared" si="1"/>
        <v>0.62666192360709683</v>
      </c>
    </row>
    <row r="85" spans="2:8" x14ac:dyDescent="0.2">
      <c r="B85" t="s">
        <v>38</v>
      </c>
      <c r="D85">
        <f>6702+1014</f>
        <v>7716</v>
      </c>
      <c r="E85">
        <v>4607</v>
      </c>
      <c r="F85">
        <f t="shared" si="1"/>
        <v>0.64629411508092305</v>
      </c>
    </row>
    <row r="86" spans="2:8" x14ac:dyDescent="0.2">
      <c r="B86" t="s">
        <v>95</v>
      </c>
      <c r="D86">
        <f>6733+927</f>
        <v>7660</v>
      </c>
      <c r="E86">
        <v>3199</v>
      </c>
      <c r="F86">
        <f t="shared" si="1"/>
        <v>0.55212673611111107</v>
      </c>
    </row>
    <row r="87" spans="2:8" x14ac:dyDescent="0.2">
      <c r="B87" t="s">
        <v>40</v>
      </c>
      <c r="D87">
        <f>6782+928</f>
        <v>7710</v>
      </c>
      <c r="E87">
        <v>6609</v>
      </c>
      <c r="F87">
        <f t="shared" si="1"/>
        <v>0.62440440093563199</v>
      </c>
    </row>
    <row r="88" spans="2:8" x14ac:dyDescent="0.2">
      <c r="B88" t="s">
        <v>41</v>
      </c>
      <c r="D88">
        <f>6724+928</f>
        <v>7652</v>
      </c>
      <c r="E88">
        <v>3401</v>
      </c>
      <c r="F88">
        <f t="shared" si="1"/>
        <v>0.57375553818087044</v>
      </c>
    </row>
    <row r="89" spans="2:8" x14ac:dyDescent="0.2">
      <c r="B89" t="s">
        <v>42</v>
      </c>
      <c r="D89">
        <f>6852+928</f>
        <v>7780</v>
      </c>
      <c r="E89">
        <v>3382</v>
      </c>
      <c r="F89">
        <f t="shared" si="1"/>
        <v>0.57868809955924294</v>
      </c>
    </row>
    <row r="90" spans="2:8" x14ac:dyDescent="0.2">
      <c r="B90" t="s">
        <v>43</v>
      </c>
      <c r="D90">
        <f>6965+996</f>
        <v>7961</v>
      </c>
      <c r="E90">
        <v>4040</v>
      </c>
      <c r="F90">
        <f>SUM(E88:E90)/SUM(D88:D90)</f>
        <v>0.46265977001667163</v>
      </c>
    </row>
    <row r="91" spans="2:8" x14ac:dyDescent="0.2">
      <c r="B91" t="s">
        <v>96</v>
      </c>
      <c r="D91">
        <f>SUM(D78:D90)</f>
        <v>90685</v>
      </c>
      <c r="E91">
        <f>SUM(E78:E90)</f>
        <v>45915</v>
      </c>
      <c r="H91" t="s">
        <v>6</v>
      </c>
    </row>
    <row r="93" spans="2:8" x14ac:dyDescent="0.2">
      <c r="B93" t="s">
        <v>337</v>
      </c>
    </row>
    <row r="95" spans="2:8" x14ac:dyDescent="0.2">
      <c r="B95" t="s">
        <v>346</v>
      </c>
      <c r="F95">
        <f>SUM(D78:D90)</f>
        <v>90685</v>
      </c>
    </row>
    <row r="98" spans="2:8" x14ac:dyDescent="0.2">
      <c r="B98" t="s">
        <v>343</v>
      </c>
      <c r="F98">
        <v>0.15</v>
      </c>
    </row>
    <row r="101" spans="2:8" x14ac:dyDescent="0.2">
      <c r="B101" t="s">
        <v>347</v>
      </c>
      <c r="H101">
        <f>F95*F98</f>
        <v>13602.75</v>
      </c>
    </row>
    <row r="103" spans="2:8" x14ac:dyDescent="0.2">
      <c r="B103" t="s">
        <v>50</v>
      </c>
      <c r="G103">
        <f>SUM(E78:E90)</f>
        <v>45915</v>
      </c>
    </row>
    <row r="104" spans="2:8" x14ac:dyDescent="0.2">
      <c r="B104" t="s">
        <v>340</v>
      </c>
      <c r="G104">
        <v>0</v>
      </c>
    </row>
    <row r="105" spans="2:8" x14ac:dyDescent="0.2">
      <c r="B105" t="s">
        <v>364</v>
      </c>
      <c r="H105">
        <f>G103-G104</f>
        <v>45915</v>
      </c>
    </row>
    <row r="107" spans="2:8" x14ac:dyDescent="0.2">
      <c r="B107" t="s">
        <v>190</v>
      </c>
      <c r="H107">
        <f>H105-H101</f>
        <v>32312.25</v>
      </c>
    </row>
    <row r="109" spans="2:8" x14ac:dyDescent="0.2">
      <c r="B109" t="s">
        <v>365</v>
      </c>
    </row>
    <row r="111" spans="2:8" x14ac:dyDescent="0.2">
      <c r="B111" t="s">
        <v>107</v>
      </c>
      <c r="G111">
        <f>H107</f>
        <v>32312.25</v>
      </c>
    </row>
    <row r="112" spans="2:8" x14ac:dyDescent="0.2">
      <c r="B112" t="s">
        <v>348</v>
      </c>
      <c r="G112">
        <f>SUM(D88:D90)/3</f>
        <v>7797.666666666667</v>
      </c>
    </row>
    <row r="113" spans="2:9" x14ac:dyDescent="0.2">
      <c r="B113" t="s">
        <v>349</v>
      </c>
      <c r="G113">
        <f>G111/G112</f>
        <v>4.1438357628350362</v>
      </c>
    </row>
    <row r="114" spans="2:9" x14ac:dyDescent="0.2">
      <c r="B114" t="s">
        <v>56</v>
      </c>
    </row>
    <row r="115" spans="2:9" x14ac:dyDescent="0.2">
      <c r="B115" t="s">
        <v>367</v>
      </c>
      <c r="G115">
        <f>G113/12</f>
        <v>0.34531964690291966</v>
      </c>
    </row>
    <row r="117" spans="2:9" x14ac:dyDescent="0.2">
      <c r="B117" t="s">
        <v>354</v>
      </c>
      <c r="F117" t="s">
        <v>356</v>
      </c>
      <c r="G117" t="s">
        <v>357</v>
      </c>
      <c r="H117" t="s">
        <v>358</v>
      </c>
      <c r="I117" t="s">
        <v>13</v>
      </c>
    </row>
    <row r="118" spans="2:9" x14ac:dyDescent="0.2">
      <c r="B118" t="s">
        <v>353</v>
      </c>
      <c r="F118">
        <f>E88</f>
        <v>3401</v>
      </c>
      <c r="G118">
        <f>E89</f>
        <v>3382</v>
      </c>
      <c r="H118">
        <f>E90</f>
        <v>4040</v>
      </c>
      <c r="I118">
        <f>AVERAGE(F118:H118)</f>
        <v>3607.6666666666665</v>
      </c>
    </row>
    <row r="119" spans="2:9" x14ac:dyDescent="0.2">
      <c r="B119" t="s">
        <v>366</v>
      </c>
      <c r="F119">
        <f>D88</f>
        <v>7652</v>
      </c>
      <c r="G119">
        <f>D89</f>
        <v>7780</v>
      </c>
      <c r="H119">
        <f>D90</f>
        <v>7961</v>
      </c>
      <c r="I119">
        <f>AVERAGE(F119:H119)</f>
        <v>7797.666666666667</v>
      </c>
    </row>
    <row r="121" spans="2:9" x14ac:dyDescent="0.2">
      <c r="E121" t="s">
        <v>359</v>
      </c>
      <c r="I121">
        <f>I118/I119</f>
        <v>0.46265977001667163</v>
      </c>
    </row>
    <row r="122" spans="2:9" ht="15.75" thickBot="1" x14ac:dyDescent="0.25">
      <c r="E122" t="s">
        <v>368</v>
      </c>
      <c r="I122">
        <f>G115</f>
        <v>0.34531964690291966</v>
      </c>
    </row>
    <row r="123" spans="2:9" ht="15.75" thickBot="1" x14ac:dyDescent="0.25">
      <c r="F123" t="s">
        <v>369</v>
      </c>
      <c r="I123">
        <f>I121+I122</f>
        <v>0.8079794169195913</v>
      </c>
    </row>
  </sheetData>
  <phoneticPr fontId="0" type="noConversion"/>
  <pageMargins left="0.75" right="0.75" top="1" bottom="1" header="0.5" footer="0.5"/>
  <pageSetup scale="84" orientation="portrait" horizontalDpi="300" verticalDpi="300" r:id="rId1"/>
  <headerFooter alignWithMargins="0"/>
  <rowBreaks count="1" manualBreakCount="1">
    <brk id="63" max="9"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62"/>
  <sheetViews>
    <sheetView zoomScaleNormal="100" workbookViewId="0">
      <selection activeCell="E5" sqref="E5"/>
    </sheetView>
  </sheetViews>
  <sheetFormatPr defaultColWidth="10.77734375" defaultRowHeight="15" x14ac:dyDescent="0.2"/>
  <cols>
    <col min="1" max="1" width="10.77734375" customWidth="1"/>
    <col min="2" max="2" width="8.77734375" customWidth="1"/>
    <col min="3" max="3" width="9" customWidth="1"/>
    <col min="4" max="4" width="8.88671875" customWidth="1"/>
    <col min="5" max="5" width="9" customWidth="1"/>
    <col min="6" max="6" width="7.6640625" customWidth="1"/>
    <col min="7" max="7" width="8.21875" customWidth="1"/>
    <col min="8" max="8" width="9" customWidth="1"/>
    <col min="9" max="9" width="9.77734375" customWidth="1"/>
    <col min="10" max="10" width="8.6640625" customWidth="1"/>
  </cols>
  <sheetData>
    <row r="2" spans="1:10" x14ac:dyDescent="0.2">
      <c r="E2" t="s">
        <v>0</v>
      </c>
    </row>
    <row r="3" spans="1:10" x14ac:dyDescent="0.2">
      <c r="E3" t="s">
        <v>1</v>
      </c>
    </row>
    <row r="4" spans="1:10" x14ac:dyDescent="0.2">
      <c r="E4" t="s">
        <v>2</v>
      </c>
    </row>
    <row r="5" spans="1:10" x14ac:dyDescent="0.2">
      <c r="E5" t="s">
        <v>372</v>
      </c>
    </row>
    <row r="7" spans="1:10" x14ac:dyDescent="0.2">
      <c r="B7" t="s">
        <v>81</v>
      </c>
    </row>
    <row r="8" spans="1:10" x14ac:dyDescent="0.2">
      <c r="G8" t="s">
        <v>6</v>
      </c>
      <c r="H8" t="s">
        <v>330</v>
      </c>
      <c r="I8" t="s">
        <v>6</v>
      </c>
    </row>
    <row r="9" spans="1:10" x14ac:dyDescent="0.2">
      <c r="B9" t="s">
        <v>14</v>
      </c>
      <c r="C9" t="s">
        <v>15</v>
      </c>
      <c r="D9" t="s">
        <v>16</v>
      </c>
      <c r="E9" t="s">
        <v>18</v>
      </c>
      <c r="F9" t="s">
        <v>19</v>
      </c>
      <c r="G9" t="s">
        <v>20</v>
      </c>
      <c r="H9" t="s">
        <v>331</v>
      </c>
      <c r="I9" t="s">
        <v>333</v>
      </c>
      <c r="J9" t="s">
        <v>84</v>
      </c>
    </row>
    <row r="10" spans="1:10" x14ac:dyDescent="0.2">
      <c r="A10" t="s">
        <v>9</v>
      </c>
    </row>
    <row r="11" spans="1:10" x14ac:dyDescent="0.2">
      <c r="A11" t="s">
        <v>332</v>
      </c>
      <c r="B11">
        <v>142.66</v>
      </c>
      <c r="C11">
        <f>1164020/2000</f>
        <v>582.01</v>
      </c>
      <c r="D11">
        <f>225913/2000</f>
        <v>112.95650000000001</v>
      </c>
      <c r="E11">
        <f>29054/2000</f>
        <v>14.526999999999999</v>
      </c>
      <c r="F11">
        <f>43395/2000</f>
        <v>21.697500000000002</v>
      </c>
      <c r="G11">
        <f>28122/2000</f>
        <v>14.061</v>
      </c>
      <c r="H11">
        <f>29614/2000</f>
        <v>14.807</v>
      </c>
      <c r="I11">
        <f>56991/2000</f>
        <v>28.4955</v>
      </c>
      <c r="J11">
        <f>SUM(B11:I11)</f>
        <v>931.21450000000004</v>
      </c>
    </row>
    <row r="12" spans="1:10" x14ac:dyDescent="0.2">
      <c r="A12" t="s">
        <v>72</v>
      </c>
      <c r="B12">
        <v>146.19999999999999</v>
      </c>
      <c r="C12">
        <f>1192909/2000</f>
        <v>596.45450000000005</v>
      </c>
      <c r="D12">
        <f>231520/2000</f>
        <v>115.76</v>
      </c>
      <c r="E12">
        <f>29775/2000</f>
        <v>14.887499999999999</v>
      </c>
      <c r="F12">
        <f>44472/2000</f>
        <v>22.236000000000001</v>
      </c>
      <c r="G12">
        <f>28821/2000</f>
        <v>14.410500000000001</v>
      </c>
      <c r="H12">
        <f>30347/2000</f>
        <v>15.173500000000001</v>
      </c>
      <c r="I12">
        <f>58405/2000</f>
        <v>29.202500000000001</v>
      </c>
      <c r="J12">
        <f>SUM(B12:I12)</f>
        <v>954.32450000000006</v>
      </c>
    </row>
    <row r="13" spans="1:10" x14ac:dyDescent="0.2">
      <c r="A13" t="s">
        <v>34</v>
      </c>
      <c r="B13">
        <v>161.83000000000001</v>
      </c>
      <c r="C13">
        <f>1320384/2000</f>
        <v>660.19200000000001</v>
      </c>
      <c r="D13">
        <f>256260/2000</f>
        <v>128.13</v>
      </c>
      <c r="E13">
        <f>32657/2000</f>
        <v>16.328499999999998</v>
      </c>
      <c r="F13">
        <f>49224/2000</f>
        <v>24.611999999999998</v>
      </c>
      <c r="G13">
        <f>31900/2000</f>
        <v>15.95</v>
      </c>
      <c r="H13">
        <f>33590/2000</f>
        <v>16.795000000000002</v>
      </c>
      <c r="I13">
        <f>64648/2000</f>
        <v>32.323999999999998</v>
      </c>
      <c r="J13">
        <f>SUM(B13:I13)</f>
        <v>1056.1614999999999</v>
      </c>
    </row>
    <row r="14" spans="1:10" x14ac:dyDescent="0.2">
      <c r="A14" t="s">
        <v>35</v>
      </c>
      <c r="B14">
        <v>162.33000000000001</v>
      </c>
      <c r="C14">
        <f>1324514/2000</f>
        <v>662.25699999999995</v>
      </c>
      <c r="D14">
        <f>257060/2000</f>
        <v>128.53</v>
      </c>
      <c r="E14">
        <f>33060/2000</f>
        <v>16.53</v>
      </c>
      <c r="F14">
        <f>49378/2000</f>
        <v>24.689</v>
      </c>
      <c r="G14">
        <f>32000/2000</f>
        <v>16</v>
      </c>
      <c r="H14">
        <f>33696/2000</f>
        <v>16.847999999999999</v>
      </c>
      <c r="I14">
        <f>64848/2000</f>
        <v>32.423999999999999</v>
      </c>
      <c r="J14">
        <f>SUM(B14:I14)</f>
        <v>1059.6079999999999</v>
      </c>
    </row>
    <row r="15" spans="1:10" x14ac:dyDescent="0.2">
      <c r="A15" t="s">
        <v>328</v>
      </c>
      <c r="B15">
        <v>173.49</v>
      </c>
      <c r="C15">
        <f>1415589/2000</f>
        <v>707.79449999999997</v>
      </c>
      <c r="D15">
        <f>274738/2000</f>
        <v>137.369</v>
      </c>
      <c r="E15">
        <f>35333/2000</f>
        <v>17.666499999999999</v>
      </c>
      <c r="F15">
        <f>52773/2000</f>
        <v>26.386500000000002</v>
      </c>
      <c r="G15">
        <f>34200/2000</f>
        <v>17.100000000000001</v>
      </c>
      <c r="H15">
        <f>36013/2000</f>
        <v>18.006499999999999</v>
      </c>
      <c r="I15">
        <f>69307/2000</f>
        <v>34.653500000000001</v>
      </c>
      <c r="J15">
        <f>SUM(B15:I15)</f>
        <v>1132.4664999999998</v>
      </c>
    </row>
    <row r="16" spans="1:10" x14ac:dyDescent="0.2">
      <c r="A16" t="s">
        <v>37</v>
      </c>
      <c r="B16">
        <v>134.19</v>
      </c>
      <c r="C16">
        <f>1094924/2000</f>
        <v>547.46199999999999</v>
      </c>
      <c r="D16">
        <f>212503/2000</f>
        <v>106.25149999999999</v>
      </c>
      <c r="E16">
        <f>27329/2000</f>
        <v>13.6645</v>
      </c>
      <c r="F16">
        <f>40819/2000</f>
        <v>20.409500000000001</v>
      </c>
      <c r="G16">
        <f>26453/2000</f>
        <v>13.2265</v>
      </c>
      <c r="H16">
        <f>27855/2000</f>
        <v>13.9275</v>
      </c>
      <c r="I16">
        <f>53608/2000</f>
        <v>26.803999999999998</v>
      </c>
      <c r="J16">
        <f t="shared" ref="J16:J22" si="0">SUM(B16:I16)</f>
        <v>875.93549999999993</v>
      </c>
    </row>
    <row r="17" spans="1:10" x14ac:dyDescent="0.2">
      <c r="A17" t="s">
        <v>329</v>
      </c>
      <c r="B17">
        <v>161.56</v>
      </c>
      <c r="C17">
        <f>1318195/2000</f>
        <v>659.09749999999997</v>
      </c>
      <c r="D17">
        <f>255836/2000</f>
        <v>127.91800000000001</v>
      </c>
      <c r="E17">
        <f>32902/2000</f>
        <v>16.451000000000001</v>
      </c>
      <c r="F17">
        <f>49142/2000</f>
        <v>24.571000000000002</v>
      </c>
      <c r="G17">
        <f>31848/2000</f>
        <v>15.923999999999999</v>
      </c>
      <c r="H17">
        <f>33535/2000</f>
        <v>16.767499999999998</v>
      </c>
      <c r="I17">
        <f>64539/2000</f>
        <v>32.269500000000001</v>
      </c>
      <c r="J17">
        <f t="shared" si="0"/>
        <v>1054.5585000000001</v>
      </c>
    </row>
    <row r="18" spans="1:10" x14ac:dyDescent="0.2">
      <c r="A18" t="s">
        <v>95</v>
      </c>
      <c r="B18">
        <v>184.75</v>
      </c>
      <c r="C18">
        <f>1114036/2000</f>
        <v>557.01800000000003</v>
      </c>
      <c r="D18">
        <f>311217/2000</f>
        <v>155.60849999999999</v>
      </c>
      <c r="E18">
        <f>30924/2000</f>
        <v>15.462</v>
      </c>
      <c r="F18">
        <f>35681/2000</f>
        <v>17.840499999999999</v>
      </c>
      <c r="G18">
        <f>23787/2000</f>
        <v>11.8935</v>
      </c>
      <c r="H18">
        <f>41628/2000</f>
        <v>20.814</v>
      </c>
      <c r="I18">
        <f>55504/2000</f>
        <v>27.751999999999999</v>
      </c>
      <c r="J18">
        <f t="shared" si="0"/>
        <v>991.13850000000002</v>
      </c>
    </row>
    <row r="19" spans="1:10" x14ac:dyDescent="0.2">
      <c r="A19" t="s">
        <v>40</v>
      </c>
      <c r="B19">
        <f>438273/2000</f>
        <v>219.13650000000001</v>
      </c>
      <c r="C19">
        <f>1321404/2000</f>
        <v>660.702</v>
      </c>
      <c r="D19">
        <f>369147/2000</f>
        <v>184.5735</v>
      </c>
      <c r="E19">
        <f>36680/2000</f>
        <v>18.34</v>
      </c>
      <c r="F19">
        <f>42322/2000</f>
        <v>21.161000000000001</v>
      </c>
      <c r="G19">
        <f>28215/2000</f>
        <v>14.1075</v>
      </c>
      <c r="H19">
        <f>49376/2000</f>
        <v>24.687999999999999</v>
      </c>
      <c r="I19">
        <f>65835/2000</f>
        <v>32.917499999999997</v>
      </c>
      <c r="J19">
        <f t="shared" si="0"/>
        <v>1175.6260000000002</v>
      </c>
    </row>
    <row r="20" spans="1:10" x14ac:dyDescent="0.2">
      <c r="A20" t="s">
        <v>41</v>
      </c>
      <c r="B20">
        <v>201.96</v>
      </c>
      <c r="C20">
        <v>608.91</v>
      </c>
      <c r="D20">
        <v>170.1</v>
      </c>
      <c r="E20">
        <v>16.902000000000001</v>
      </c>
      <c r="F20">
        <v>19.5</v>
      </c>
      <c r="G20">
        <v>13</v>
      </c>
      <c r="H20">
        <v>22.75</v>
      </c>
      <c r="I20">
        <v>30.34</v>
      </c>
      <c r="J20">
        <f t="shared" si="0"/>
        <v>1083.462</v>
      </c>
    </row>
    <row r="21" spans="1:10" x14ac:dyDescent="0.2">
      <c r="A21" t="s">
        <v>42</v>
      </c>
      <c r="B21">
        <v>194.78</v>
      </c>
      <c r="C21">
        <v>587.25</v>
      </c>
      <c r="D21">
        <v>164.05</v>
      </c>
      <c r="E21">
        <v>16.3</v>
      </c>
      <c r="F21">
        <v>18.809999999999999</v>
      </c>
      <c r="G21">
        <v>12.54</v>
      </c>
      <c r="H21">
        <v>21.94</v>
      </c>
      <c r="I21">
        <v>29.26</v>
      </c>
      <c r="J21">
        <f t="shared" si="0"/>
        <v>1044.9299999999998</v>
      </c>
    </row>
    <row r="22" spans="1:10" x14ac:dyDescent="0.2">
      <c r="A22" t="s">
        <v>43</v>
      </c>
      <c r="B22">
        <f>135.6355+71.391</f>
        <v>207.0265</v>
      </c>
      <c r="C22">
        <f>408.944+215.246</f>
        <v>624.19000000000005</v>
      </c>
      <c r="D22">
        <f>114.2425+60.131</f>
        <v>174.37350000000001</v>
      </c>
      <c r="E22">
        <f>11.3515+5.975</f>
        <v>17.326499999999999</v>
      </c>
      <c r="F22">
        <f>13.098+6.894</f>
        <v>19.992000000000001</v>
      </c>
      <c r="G22">
        <f>8.732+4.596</f>
        <v>13.327999999999999</v>
      </c>
      <c r="H22">
        <f>15.281+8.043</f>
        <v>23.323999999999998</v>
      </c>
      <c r="I22">
        <f>20.3745+10.724</f>
        <v>31.098500000000001</v>
      </c>
      <c r="J22">
        <f t="shared" si="0"/>
        <v>1110.6590000000001</v>
      </c>
    </row>
    <row r="23" spans="1:10" x14ac:dyDescent="0.2">
      <c r="B23">
        <f t="shared" ref="B23:J23" si="1">SUM(B11:B22)</f>
        <v>2089.913</v>
      </c>
      <c r="C23">
        <f t="shared" si="1"/>
        <v>7453.3374999999996</v>
      </c>
      <c r="D23">
        <f t="shared" si="1"/>
        <v>1705.6204999999998</v>
      </c>
      <c r="E23">
        <f t="shared" si="1"/>
        <v>194.38550000000004</v>
      </c>
      <c r="F23">
        <f t="shared" si="1"/>
        <v>261.90499999999997</v>
      </c>
      <c r="G23">
        <f t="shared" si="1"/>
        <v>171.541</v>
      </c>
      <c r="H23">
        <f t="shared" si="1"/>
        <v>225.84099999999995</v>
      </c>
      <c r="I23">
        <f t="shared" si="1"/>
        <v>367.541</v>
      </c>
      <c r="J23">
        <f t="shared" si="1"/>
        <v>12470.084499999999</v>
      </c>
    </row>
    <row r="25" spans="1:10" x14ac:dyDescent="0.2">
      <c r="A25" t="s">
        <v>117</v>
      </c>
      <c r="B25">
        <f>B23/$J$23</f>
        <v>0.1675941329828198</v>
      </c>
      <c r="C25">
        <f t="shared" ref="C25:I25" si="2">C23/$J$23</f>
        <v>0.5976974334055235</v>
      </c>
      <c r="D25">
        <f t="shared" si="2"/>
        <v>0.13677698013995013</v>
      </c>
      <c r="E25">
        <f t="shared" si="2"/>
        <v>1.5588146174951746E-2</v>
      </c>
      <c r="F25">
        <f t="shared" si="2"/>
        <v>2.1002664416588355E-2</v>
      </c>
      <c r="G25">
        <f t="shared" si="2"/>
        <v>1.3756201892617489E-2</v>
      </c>
      <c r="H25">
        <f t="shared" si="2"/>
        <v>1.811062306755018E-2</v>
      </c>
      <c r="I25">
        <f t="shared" si="2"/>
        <v>2.9473817919998861E-2</v>
      </c>
    </row>
    <row r="27" spans="1:10" x14ac:dyDescent="0.2">
      <c r="A27" t="s">
        <v>86</v>
      </c>
      <c r="B27" t="s">
        <v>6</v>
      </c>
    </row>
    <row r="28" spans="1:10" x14ac:dyDescent="0.2">
      <c r="B28" t="s">
        <v>222</v>
      </c>
    </row>
    <row r="29" spans="1:10" x14ac:dyDescent="0.2">
      <c r="B29" t="s">
        <v>223</v>
      </c>
    </row>
    <row r="30" spans="1:10" x14ac:dyDescent="0.2">
      <c r="A30" t="s">
        <v>332</v>
      </c>
      <c r="B30">
        <f>111.85-25</f>
        <v>86.85</v>
      </c>
      <c r="C30">
        <v>80.22</v>
      </c>
      <c r="D30">
        <v>113.6</v>
      </c>
      <c r="E30">
        <v>1104.81</v>
      </c>
      <c r="F30">
        <v>74.03</v>
      </c>
      <c r="G30">
        <v>429.97</v>
      </c>
      <c r="H30">
        <v>469.68</v>
      </c>
      <c r="I30">
        <v>90.15</v>
      </c>
    </row>
    <row r="31" spans="1:10" x14ac:dyDescent="0.2">
      <c r="A31" t="s">
        <v>72</v>
      </c>
      <c r="B31">
        <f>112.67-25</f>
        <v>87.67</v>
      </c>
      <c r="C31">
        <v>78.81</v>
      </c>
      <c r="D31">
        <v>110.21</v>
      </c>
      <c r="E31">
        <v>1155.29</v>
      </c>
      <c r="F31">
        <v>49</v>
      </c>
      <c r="G31">
        <v>374.74</v>
      </c>
      <c r="H31">
        <v>480</v>
      </c>
      <c r="I31">
        <v>90.15</v>
      </c>
    </row>
    <row r="32" spans="1:10" x14ac:dyDescent="0.2">
      <c r="A32" t="s">
        <v>34</v>
      </c>
      <c r="B32">
        <f>115.32-25</f>
        <v>90.32</v>
      </c>
      <c r="C32">
        <v>82.93</v>
      </c>
      <c r="D32">
        <v>107.26</v>
      </c>
      <c r="E32">
        <v>1230</v>
      </c>
      <c r="F32">
        <v>44</v>
      </c>
      <c r="G32">
        <v>320</v>
      </c>
      <c r="H32">
        <v>525</v>
      </c>
      <c r="I32">
        <v>90.15</v>
      </c>
    </row>
    <row r="33" spans="1:10" x14ac:dyDescent="0.2">
      <c r="A33" t="s">
        <v>35</v>
      </c>
      <c r="B33">
        <f>114.1-25</f>
        <v>89.1</v>
      </c>
      <c r="C33">
        <v>79.02</v>
      </c>
      <c r="D33">
        <v>101.96</v>
      </c>
      <c r="E33">
        <v>1279.45</v>
      </c>
      <c r="F33">
        <v>44</v>
      </c>
      <c r="G33">
        <v>404.83</v>
      </c>
      <c r="H33">
        <v>480</v>
      </c>
      <c r="I33">
        <v>90.15</v>
      </c>
    </row>
    <row r="34" spans="1:10" x14ac:dyDescent="0.2">
      <c r="A34" t="s">
        <v>328</v>
      </c>
      <c r="B34">
        <f>111.31-25</f>
        <v>86.31</v>
      </c>
      <c r="C34">
        <v>80.239999999999995</v>
      </c>
      <c r="D34">
        <v>100.3</v>
      </c>
      <c r="E34">
        <v>1410</v>
      </c>
      <c r="F34">
        <v>35</v>
      </c>
      <c r="G34">
        <v>458.85</v>
      </c>
      <c r="H34">
        <v>505.03</v>
      </c>
      <c r="I34">
        <v>90.15</v>
      </c>
    </row>
    <row r="35" spans="1:10" x14ac:dyDescent="0.2">
      <c r="A35" t="s">
        <v>37</v>
      </c>
      <c r="B35">
        <f>111.3-25</f>
        <v>86.3</v>
      </c>
      <c r="C35">
        <v>90.65</v>
      </c>
      <c r="D35">
        <v>100.27</v>
      </c>
      <c r="E35">
        <v>1543.74</v>
      </c>
      <c r="F35">
        <v>46.01</v>
      </c>
      <c r="G35">
        <v>489.85</v>
      </c>
      <c r="H35">
        <v>544.70000000000005</v>
      </c>
      <c r="I35">
        <v>90.15</v>
      </c>
    </row>
    <row r="36" spans="1:10" x14ac:dyDescent="0.2">
      <c r="A36" t="s">
        <v>329</v>
      </c>
      <c r="B36">
        <f>110.31-25</f>
        <v>85.31</v>
      </c>
      <c r="C36">
        <v>79.64</v>
      </c>
      <c r="D36">
        <v>103.46</v>
      </c>
      <c r="E36">
        <v>1725</v>
      </c>
      <c r="F36">
        <v>42.71</v>
      </c>
      <c r="G36">
        <v>470</v>
      </c>
      <c r="H36">
        <v>553.92999999999995</v>
      </c>
      <c r="I36">
        <v>92.96</v>
      </c>
    </row>
    <row r="37" spans="1:10" x14ac:dyDescent="0.2">
      <c r="A37" t="s">
        <v>95</v>
      </c>
      <c r="B37">
        <f>110.01-25</f>
        <v>85.01</v>
      </c>
      <c r="C37">
        <v>76.81</v>
      </c>
      <c r="D37">
        <v>105.13</v>
      </c>
      <c r="E37">
        <v>1700</v>
      </c>
      <c r="F37">
        <v>50</v>
      </c>
      <c r="G37">
        <v>412.69</v>
      </c>
      <c r="H37">
        <v>493.38</v>
      </c>
      <c r="I37">
        <v>92.96</v>
      </c>
    </row>
    <row r="38" spans="1:10" x14ac:dyDescent="0.2">
      <c r="A38" t="s">
        <v>40</v>
      </c>
      <c r="B38">
        <f>109.1-25</f>
        <v>84.1</v>
      </c>
      <c r="C38">
        <v>80.17</v>
      </c>
      <c r="D38">
        <v>111.58</v>
      </c>
      <c r="E38">
        <v>1843.67</v>
      </c>
      <c r="F38">
        <v>58</v>
      </c>
      <c r="G38">
        <v>417.54</v>
      </c>
      <c r="H38">
        <v>370</v>
      </c>
      <c r="I38">
        <v>92.96</v>
      </c>
    </row>
    <row r="39" spans="1:10" x14ac:dyDescent="0.2">
      <c r="A39" t="s">
        <v>41</v>
      </c>
      <c r="B39">
        <f>106-25</f>
        <v>81</v>
      </c>
      <c r="C39">
        <v>67.05</v>
      </c>
      <c r="D39">
        <v>119.33</v>
      </c>
      <c r="E39">
        <v>1972.58</v>
      </c>
      <c r="F39">
        <v>62</v>
      </c>
      <c r="G39">
        <v>407.73</v>
      </c>
      <c r="H39">
        <v>411.58</v>
      </c>
      <c r="I39">
        <v>92.96</v>
      </c>
    </row>
    <row r="40" spans="1:10" x14ac:dyDescent="0.2">
      <c r="A40" t="s">
        <v>42</v>
      </c>
      <c r="B40">
        <f>104.11-25</f>
        <v>79.11</v>
      </c>
      <c r="C40">
        <v>85.19</v>
      </c>
      <c r="D40">
        <v>128.28</v>
      </c>
      <c r="E40">
        <v>1757.56</v>
      </c>
      <c r="F40">
        <v>58</v>
      </c>
      <c r="G40">
        <v>386.53</v>
      </c>
      <c r="H40">
        <v>374.86</v>
      </c>
      <c r="I40">
        <v>92.96</v>
      </c>
    </row>
    <row r="41" spans="1:10" x14ac:dyDescent="0.2">
      <c r="A41" t="s">
        <v>43</v>
      </c>
      <c r="B41">
        <f>105.44-25</f>
        <v>80.44</v>
      </c>
      <c r="C41">
        <v>85.64</v>
      </c>
      <c r="D41">
        <v>130.28</v>
      </c>
      <c r="E41">
        <v>1655.42</v>
      </c>
      <c r="F41">
        <v>58</v>
      </c>
      <c r="G41">
        <v>380</v>
      </c>
      <c r="H41">
        <v>375.05</v>
      </c>
      <c r="I41">
        <v>92.96</v>
      </c>
    </row>
    <row r="43" spans="1:10" x14ac:dyDescent="0.2">
      <c r="A43" t="s">
        <v>24</v>
      </c>
      <c r="C43" t="s">
        <v>6</v>
      </c>
      <c r="G43" t="s">
        <v>6</v>
      </c>
      <c r="H43" t="s">
        <v>330</v>
      </c>
      <c r="I43" t="s">
        <v>6</v>
      </c>
    </row>
    <row r="44" spans="1:10" x14ac:dyDescent="0.2">
      <c r="B44" t="s">
        <v>14</v>
      </c>
      <c r="C44" t="s">
        <v>15</v>
      </c>
      <c r="D44" t="s">
        <v>16</v>
      </c>
      <c r="E44" t="s">
        <v>18</v>
      </c>
      <c r="F44" t="s">
        <v>19</v>
      </c>
      <c r="G44" t="s">
        <v>20</v>
      </c>
      <c r="H44" t="s">
        <v>331</v>
      </c>
      <c r="I44" t="s">
        <v>333</v>
      </c>
      <c r="J44" t="s">
        <v>84</v>
      </c>
    </row>
    <row r="46" spans="1:10" x14ac:dyDescent="0.2">
      <c r="A46" t="s">
        <v>332</v>
      </c>
      <c r="B46">
        <f t="shared" ref="B46:H57" si="3">+B11*B30</f>
        <v>12390.020999999999</v>
      </c>
      <c r="C46">
        <f t="shared" si="3"/>
        <v>46688.842199999999</v>
      </c>
      <c r="D46">
        <f t="shared" si="3"/>
        <v>12831.858399999999</v>
      </c>
      <c r="E46">
        <f t="shared" si="3"/>
        <v>16049.574869999999</v>
      </c>
      <c r="F46">
        <f t="shared" si="3"/>
        <v>1606.2659250000002</v>
      </c>
      <c r="G46">
        <f t="shared" si="3"/>
        <v>6045.8081700000002</v>
      </c>
      <c r="H46">
        <f t="shared" si="3"/>
        <v>6954.5517600000003</v>
      </c>
      <c r="I46">
        <f t="shared" ref="I46:I57" si="4">+I11*-I30</f>
        <v>-2568.8693250000001</v>
      </c>
      <c r="J46">
        <f>SUM(B46:I46)</f>
        <v>99998.053</v>
      </c>
    </row>
    <row r="47" spans="1:10" x14ac:dyDescent="0.2">
      <c r="A47" t="s">
        <v>72</v>
      </c>
      <c r="B47">
        <f t="shared" si="3"/>
        <v>12817.353999999999</v>
      </c>
      <c r="C47">
        <f t="shared" si="3"/>
        <v>47006.579145000003</v>
      </c>
      <c r="D47">
        <f t="shared" si="3"/>
        <v>12757.909599999999</v>
      </c>
      <c r="E47">
        <f t="shared" si="3"/>
        <v>17199.379874999999</v>
      </c>
      <c r="F47">
        <f t="shared" si="3"/>
        <v>1089.5640000000001</v>
      </c>
      <c r="G47">
        <f t="shared" si="3"/>
        <v>5400.1907700000002</v>
      </c>
      <c r="H47">
        <f t="shared" si="3"/>
        <v>7283.2800000000007</v>
      </c>
      <c r="I47">
        <f t="shared" si="4"/>
        <v>-2632.6053750000001</v>
      </c>
      <c r="J47">
        <f t="shared" ref="J47:J57" si="5">SUM(B47:I47)</f>
        <v>100921.652015</v>
      </c>
    </row>
    <row r="48" spans="1:10" x14ac:dyDescent="0.2">
      <c r="A48" t="s">
        <v>34</v>
      </c>
      <c r="B48">
        <f t="shared" si="3"/>
        <v>14616.4856</v>
      </c>
      <c r="C48">
        <f t="shared" si="3"/>
        <v>54749.722560000002</v>
      </c>
      <c r="D48">
        <f t="shared" si="3"/>
        <v>13743.2238</v>
      </c>
      <c r="E48">
        <f t="shared" si="3"/>
        <v>20084.054999999997</v>
      </c>
      <c r="F48">
        <f t="shared" si="3"/>
        <v>1082.9279999999999</v>
      </c>
      <c r="G48">
        <f t="shared" si="3"/>
        <v>5104</v>
      </c>
      <c r="H48">
        <f t="shared" si="3"/>
        <v>8817.375</v>
      </c>
      <c r="I48">
        <f t="shared" si="4"/>
        <v>-2914.0086000000001</v>
      </c>
      <c r="J48">
        <f t="shared" si="5"/>
        <v>115283.78136000001</v>
      </c>
    </row>
    <row r="49" spans="1:10" x14ac:dyDescent="0.2">
      <c r="A49" t="s">
        <v>35</v>
      </c>
      <c r="B49">
        <f t="shared" si="3"/>
        <v>14463.603000000001</v>
      </c>
      <c r="C49">
        <f t="shared" si="3"/>
        <v>52331.548139999992</v>
      </c>
      <c r="D49">
        <f t="shared" si="3"/>
        <v>13104.918799999999</v>
      </c>
      <c r="E49">
        <f t="shared" si="3"/>
        <v>21149.308500000003</v>
      </c>
      <c r="F49">
        <f t="shared" si="3"/>
        <v>1086.316</v>
      </c>
      <c r="G49">
        <f t="shared" si="3"/>
        <v>6477.28</v>
      </c>
      <c r="H49">
        <f t="shared" si="3"/>
        <v>8087.0399999999991</v>
      </c>
      <c r="I49">
        <f t="shared" si="4"/>
        <v>-2923.0236</v>
      </c>
      <c r="J49">
        <f t="shared" si="5"/>
        <v>113776.99083999998</v>
      </c>
    </row>
    <row r="50" spans="1:10" x14ac:dyDescent="0.2">
      <c r="A50" t="s">
        <v>328</v>
      </c>
      <c r="B50">
        <f t="shared" si="3"/>
        <v>14973.921900000001</v>
      </c>
      <c r="C50">
        <f t="shared" si="3"/>
        <v>56793.430679999998</v>
      </c>
      <c r="D50">
        <f t="shared" si="3"/>
        <v>13778.110699999999</v>
      </c>
      <c r="E50">
        <f t="shared" si="3"/>
        <v>24909.764999999999</v>
      </c>
      <c r="F50">
        <f t="shared" si="3"/>
        <v>923.52750000000003</v>
      </c>
      <c r="G50">
        <f t="shared" si="3"/>
        <v>7846.3350000000009</v>
      </c>
      <c r="H50">
        <f t="shared" si="3"/>
        <v>9093.8226949999989</v>
      </c>
      <c r="I50">
        <f t="shared" si="4"/>
        <v>-3124.0130250000002</v>
      </c>
      <c r="J50">
        <f t="shared" si="5"/>
        <v>125194.90045000002</v>
      </c>
    </row>
    <row r="51" spans="1:10" x14ac:dyDescent="0.2">
      <c r="A51" t="s">
        <v>37</v>
      </c>
      <c r="B51">
        <f t="shared" si="3"/>
        <v>11580.597</v>
      </c>
      <c r="C51">
        <f t="shared" si="3"/>
        <v>49627.4303</v>
      </c>
      <c r="D51">
        <f t="shared" si="3"/>
        <v>10653.837904999998</v>
      </c>
      <c r="E51">
        <f t="shared" si="3"/>
        <v>21094.435229999999</v>
      </c>
      <c r="F51">
        <f t="shared" si="3"/>
        <v>939.04109500000004</v>
      </c>
      <c r="G51">
        <f t="shared" si="3"/>
        <v>6479.0010250000005</v>
      </c>
      <c r="H51">
        <f t="shared" si="3"/>
        <v>7586.3092500000012</v>
      </c>
      <c r="I51">
        <f t="shared" si="4"/>
        <v>-2416.3806</v>
      </c>
      <c r="J51">
        <f t="shared" si="5"/>
        <v>105544.271205</v>
      </c>
    </row>
    <row r="52" spans="1:10" x14ac:dyDescent="0.2">
      <c r="A52" t="s">
        <v>329</v>
      </c>
      <c r="B52">
        <f t="shared" si="3"/>
        <v>13782.6836</v>
      </c>
      <c r="C52">
        <f t="shared" si="3"/>
        <v>52490.524899999997</v>
      </c>
      <c r="D52">
        <f t="shared" si="3"/>
        <v>13234.396279999999</v>
      </c>
      <c r="E52">
        <f t="shared" si="3"/>
        <v>28377.975000000002</v>
      </c>
      <c r="F52">
        <f t="shared" si="3"/>
        <v>1049.42741</v>
      </c>
      <c r="G52">
        <f t="shared" si="3"/>
        <v>7484.28</v>
      </c>
      <c r="H52">
        <f t="shared" si="3"/>
        <v>9288.0212749999973</v>
      </c>
      <c r="I52">
        <f t="shared" si="4"/>
        <v>-2999.7727199999999</v>
      </c>
      <c r="J52">
        <f t="shared" si="5"/>
        <v>122707.535745</v>
      </c>
    </row>
    <row r="53" spans="1:10" x14ac:dyDescent="0.2">
      <c r="A53" t="s">
        <v>95</v>
      </c>
      <c r="B53">
        <f t="shared" si="3"/>
        <v>15705.597500000002</v>
      </c>
      <c r="C53">
        <f t="shared" si="3"/>
        <v>42784.552580000003</v>
      </c>
      <c r="D53">
        <f t="shared" si="3"/>
        <v>16359.121604999998</v>
      </c>
      <c r="E53">
        <f t="shared" si="3"/>
        <v>26285.399999999998</v>
      </c>
      <c r="F53">
        <f t="shared" si="3"/>
        <v>892.02499999999998</v>
      </c>
      <c r="G53">
        <f t="shared" si="3"/>
        <v>4908.3285150000002</v>
      </c>
      <c r="H53">
        <f t="shared" si="3"/>
        <v>10269.21132</v>
      </c>
      <c r="I53">
        <f t="shared" si="4"/>
        <v>-2579.8259199999998</v>
      </c>
      <c r="J53">
        <f t="shared" si="5"/>
        <v>114624.41059999999</v>
      </c>
    </row>
    <row r="54" spans="1:10" x14ac:dyDescent="0.2">
      <c r="A54" t="s">
        <v>40</v>
      </c>
      <c r="B54">
        <f t="shared" si="3"/>
        <v>18429.379649999999</v>
      </c>
      <c r="C54">
        <f t="shared" si="3"/>
        <v>52968.479339999998</v>
      </c>
      <c r="D54">
        <f t="shared" si="3"/>
        <v>20594.71113</v>
      </c>
      <c r="E54">
        <f t="shared" si="3"/>
        <v>33812.907800000001</v>
      </c>
      <c r="F54">
        <f t="shared" si="3"/>
        <v>1227.3380000000002</v>
      </c>
      <c r="G54">
        <f t="shared" si="3"/>
        <v>5890.4455500000004</v>
      </c>
      <c r="H54">
        <f t="shared" si="3"/>
        <v>9134.56</v>
      </c>
      <c r="I54">
        <f t="shared" si="4"/>
        <v>-3060.0107999999996</v>
      </c>
      <c r="J54">
        <f t="shared" si="5"/>
        <v>138997.81067000001</v>
      </c>
    </row>
    <row r="55" spans="1:10" x14ac:dyDescent="0.2">
      <c r="A55" t="s">
        <v>41</v>
      </c>
      <c r="B55">
        <f t="shared" si="3"/>
        <v>16358.76</v>
      </c>
      <c r="C55">
        <f t="shared" si="3"/>
        <v>40827.415499999996</v>
      </c>
      <c r="D55">
        <f t="shared" si="3"/>
        <v>20298.032999999999</v>
      </c>
      <c r="E55">
        <f t="shared" si="3"/>
        <v>33340.547160000002</v>
      </c>
      <c r="F55">
        <f t="shared" si="3"/>
        <v>1209</v>
      </c>
      <c r="G55">
        <f t="shared" si="3"/>
        <v>5300.49</v>
      </c>
      <c r="H55">
        <f t="shared" si="3"/>
        <v>9363.4449999999997</v>
      </c>
      <c r="I55">
        <f t="shared" si="4"/>
        <v>-2820.4063999999998</v>
      </c>
      <c r="J55">
        <f t="shared" si="5"/>
        <v>123877.28425999999</v>
      </c>
    </row>
    <row r="56" spans="1:10" x14ac:dyDescent="0.2">
      <c r="A56" t="s">
        <v>42</v>
      </c>
      <c r="B56">
        <f t="shared" si="3"/>
        <v>15409.0458</v>
      </c>
      <c r="C56">
        <f t="shared" si="3"/>
        <v>50027.827499999999</v>
      </c>
      <c r="D56">
        <f t="shared" si="3"/>
        <v>21044.334000000003</v>
      </c>
      <c r="E56">
        <f t="shared" si="3"/>
        <v>28648.227999999999</v>
      </c>
      <c r="F56">
        <f t="shared" si="3"/>
        <v>1090.98</v>
      </c>
      <c r="G56">
        <f t="shared" si="3"/>
        <v>4847.0861999999997</v>
      </c>
      <c r="H56">
        <f t="shared" si="3"/>
        <v>8224.4284000000007</v>
      </c>
      <c r="I56">
        <f t="shared" si="4"/>
        <v>-2720.0095999999999</v>
      </c>
      <c r="J56">
        <f t="shared" si="5"/>
        <v>126571.92030000001</v>
      </c>
    </row>
    <row r="57" spans="1:10" x14ac:dyDescent="0.2">
      <c r="A57" t="s">
        <v>43</v>
      </c>
      <c r="B57">
        <f t="shared" si="3"/>
        <v>16653.211660000001</v>
      </c>
      <c r="C57">
        <f t="shared" si="3"/>
        <v>53455.631600000008</v>
      </c>
      <c r="D57">
        <f t="shared" si="3"/>
        <v>22717.379580000001</v>
      </c>
      <c r="E57">
        <f t="shared" si="3"/>
        <v>28682.63463</v>
      </c>
      <c r="F57">
        <f t="shared" si="3"/>
        <v>1159.5360000000001</v>
      </c>
      <c r="G57">
        <f t="shared" si="3"/>
        <v>5064.6399999999994</v>
      </c>
      <c r="H57">
        <f t="shared" si="3"/>
        <v>8747.6661999999997</v>
      </c>
      <c r="I57">
        <f t="shared" si="4"/>
        <v>-2890.9165600000001</v>
      </c>
      <c r="J57">
        <f t="shared" si="5"/>
        <v>133589.78310999999</v>
      </c>
    </row>
    <row r="58" spans="1:10" x14ac:dyDescent="0.2">
      <c r="A58" t="s">
        <v>88</v>
      </c>
      <c r="B58">
        <f>SUM(B46:B57)</f>
        <v>177180.66071</v>
      </c>
      <c r="C58">
        <f t="shared" ref="C58:H58" si="6">SUM(C46:C57)</f>
        <v>599751.98444499995</v>
      </c>
      <c r="D58">
        <f t="shared" si="6"/>
        <v>191117.83479999998</v>
      </c>
      <c r="E58">
        <f t="shared" si="6"/>
        <v>299634.21106499998</v>
      </c>
      <c r="F58">
        <f t="shared" si="6"/>
        <v>13355.948929999999</v>
      </c>
      <c r="G58">
        <f t="shared" si="6"/>
        <v>70847.88523</v>
      </c>
      <c r="H58">
        <f t="shared" si="6"/>
        <v>102849.71090000001</v>
      </c>
      <c r="I58">
        <f>SUM(I46:I57)</f>
        <v>-33649.842525</v>
      </c>
      <c r="J58">
        <f>SUM(J46:J57)</f>
        <v>1421088.393555</v>
      </c>
    </row>
    <row r="60" spans="1:10" x14ac:dyDescent="0.2">
      <c r="A60" t="s">
        <v>89</v>
      </c>
    </row>
    <row r="61" spans="1:10" x14ac:dyDescent="0.2">
      <c r="J61" t="s">
        <v>6</v>
      </c>
    </row>
    <row r="62" spans="1:10" x14ac:dyDescent="0.2">
      <c r="J62" t="s">
        <v>6</v>
      </c>
    </row>
  </sheetData>
  <phoneticPr fontId="0" type="noConversion"/>
  <pageMargins left="0.75" right="0.75" top="1" bottom="1" header="0.5" footer="0.5"/>
  <pageSetup scale="82" orientation="portrait" horizontalDpi="300" verticalDpi="300" r:id="rId1"/>
  <headerFooter alignWithMargins="0"/>
  <colBreaks count="1" manualBreakCount="1">
    <brk id="10" max="60"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23"/>
  <sheetViews>
    <sheetView zoomScaleNormal="100" workbookViewId="0">
      <selection activeCell="B29" sqref="B29"/>
    </sheetView>
  </sheetViews>
  <sheetFormatPr defaultRowHeight="15" x14ac:dyDescent="0.2"/>
  <cols>
    <col min="1" max="1" width="3.21875" customWidth="1"/>
    <col min="2" max="2" width="12.33203125" customWidth="1"/>
    <col min="3" max="3" width="5.5546875" customWidth="1"/>
    <col min="6" max="6" width="9" bestFit="1" customWidth="1"/>
    <col min="7" max="7" width="10.6640625" bestFit="1" customWidth="1"/>
    <col min="8" max="8" width="10" bestFit="1" customWidth="1"/>
    <col min="9" max="10" width="9" bestFit="1" customWidth="1"/>
  </cols>
  <sheetData>
    <row r="1" spans="2:6" x14ac:dyDescent="0.2">
      <c r="F1" t="s">
        <v>0</v>
      </c>
    </row>
    <row r="2" spans="2:6" x14ac:dyDescent="0.2">
      <c r="F2" t="s">
        <v>1</v>
      </c>
    </row>
    <row r="3" spans="2:6" x14ac:dyDescent="0.2">
      <c r="F3" t="s">
        <v>2</v>
      </c>
    </row>
    <row r="6" spans="2:6" x14ac:dyDescent="0.2">
      <c r="B6" t="s">
        <v>481</v>
      </c>
    </row>
    <row r="8" spans="2:6" x14ac:dyDescent="0.2">
      <c r="B8" t="s">
        <v>4</v>
      </c>
    </row>
    <row r="9" spans="2:6" x14ac:dyDescent="0.2">
      <c r="B9" t="s">
        <v>370</v>
      </c>
    </row>
    <row r="10" spans="2:6" x14ac:dyDescent="0.2">
      <c r="B10" t="s">
        <v>6</v>
      </c>
    </row>
    <row r="11" spans="2:6" x14ac:dyDescent="0.2">
      <c r="F11" t="s">
        <v>7</v>
      </c>
    </row>
    <row r="12" spans="2:6" x14ac:dyDescent="0.2">
      <c r="D12" t="s">
        <v>30</v>
      </c>
      <c r="E12" t="s">
        <v>31</v>
      </c>
      <c r="F12" t="s">
        <v>8</v>
      </c>
    </row>
    <row r="13" spans="2:6" x14ac:dyDescent="0.2">
      <c r="B13" t="s">
        <v>92</v>
      </c>
      <c r="D13" t="s">
        <v>26</v>
      </c>
      <c r="E13" t="s">
        <v>32</v>
      </c>
      <c r="F13" t="s">
        <v>13</v>
      </c>
    </row>
    <row r="15" spans="2:6" x14ac:dyDescent="0.2">
      <c r="B15" t="s">
        <v>371</v>
      </c>
      <c r="D15">
        <f>33607+15893</f>
        <v>49500</v>
      </c>
      <c r="E15">
        <f>'8th year actual'!J46</f>
        <v>128932.14869500003</v>
      </c>
      <c r="F15">
        <f>SUM(E15)/SUM(D15)</f>
        <v>2.6046898726262633</v>
      </c>
    </row>
    <row r="16" spans="2:6" x14ac:dyDescent="0.2">
      <c r="B16" t="s">
        <v>116</v>
      </c>
      <c r="D16">
        <f>33744+15904</f>
        <v>49648</v>
      </c>
      <c r="E16">
        <f>'8th year actual'!J47</f>
        <v>135344.42542000001</v>
      </c>
      <c r="F16">
        <f>SUM(E15:E16)/SUM(D15:D16)</f>
        <v>2.665475593204099</v>
      </c>
    </row>
    <row r="17" spans="2:10" x14ac:dyDescent="0.2">
      <c r="B17" t="s">
        <v>34</v>
      </c>
      <c r="D17">
        <f>33676+15820</f>
        <v>49496</v>
      </c>
      <c r="E17">
        <f>'8th year actual'!J48</f>
        <v>146308.60495000004</v>
      </c>
      <c r="F17">
        <f t="shared" ref="F17:F25" si="0">SUM(E15:E17)/SUM(D15:D17)</f>
        <v>2.7622048590255917</v>
      </c>
    </row>
    <row r="18" spans="2:10" x14ac:dyDescent="0.2">
      <c r="B18" t="s">
        <v>35</v>
      </c>
      <c r="D18">
        <f>33609+15704</f>
        <v>49313</v>
      </c>
      <c r="E18">
        <f>'8th year actual'!J49</f>
        <v>157851.73620000004</v>
      </c>
      <c r="F18">
        <f t="shared" si="0"/>
        <v>2.9604853026128786</v>
      </c>
    </row>
    <row r="19" spans="2:10" x14ac:dyDescent="0.2">
      <c r="B19" t="s">
        <v>379</v>
      </c>
      <c r="D19">
        <f>33624+15690</f>
        <v>49314</v>
      </c>
      <c r="E19">
        <f>'8th year actual'!J50</f>
        <v>193121.10445499999</v>
      </c>
      <c r="F19">
        <f t="shared" si="0"/>
        <v>3.357219645868637</v>
      </c>
    </row>
    <row r="20" spans="2:10" x14ac:dyDescent="0.2">
      <c r="B20" t="s">
        <v>37</v>
      </c>
      <c r="D20">
        <f>33669+15633</f>
        <v>49302</v>
      </c>
      <c r="E20">
        <f>'8th year actual'!J51</f>
        <v>163280.64500000002</v>
      </c>
      <c r="F20">
        <f t="shared" si="0"/>
        <v>3.4763534239736638</v>
      </c>
    </row>
    <row r="21" spans="2:10" x14ac:dyDescent="0.2">
      <c r="B21" t="s">
        <v>38</v>
      </c>
      <c r="D21">
        <f>33702+15625</f>
        <v>49327</v>
      </c>
      <c r="E21">
        <f>'8th year actual'!J52</f>
        <v>177770.22709999999</v>
      </c>
      <c r="F21">
        <f t="shared" si="0"/>
        <v>3.6106607041563308</v>
      </c>
    </row>
    <row r="22" spans="2:10" x14ac:dyDescent="0.2">
      <c r="B22" t="s">
        <v>95</v>
      </c>
      <c r="D22">
        <f>34024+15867</f>
        <v>49891</v>
      </c>
      <c r="E22">
        <f>'8th year actual'!J53</f>
        <v>177138.22280000002</v>
      </c>
      <c r="F22">
        <f t="shared" si="0"/>
        <v>3.4890189530029629</v>
      </c>
    </row>
    <row r="23" spans="2:10" x14ac:dyDescent="0.2">
      <c r="B23" t="s">
        <v>40</v>
      </c>
      <c r="D23">
        <f>34112+16029</f>
        <v>50141</v>
      </c>
      <c r="E23">
        <f>'8th year actual'!J54</f>
        <v>170178.89729999995</v>
      </c>
      <c r="F23">
        <f t="shared" si="0"/>
        <v>3.5156056695612583</v>
      </c>
    </row>
    <row r="24" spans="2:10" x14ac:dyDescent="0.2">
      <c r="B24" t="s">
        <v>41</v>
      </c>
      <c r="D24">
        <f>34192+16030</f>
        <v>50222</v>
      </c>
      <c r="E24">
        <f>'8th year actual'!J55</f>
        <v>163140.13399999999</v>
      </c>
      <c r="F24">
        <f t="shared" si="0"/>
        <v>3.3972956067725311</v>
      </c>
    </row>
    <row r="25" spans="2:10" x14ac:dyDescent="0.2">
      <c r="B25" t="s">
        <v>42</v>
      </c>
      <c r="D25">
        <f>34201+16147</f>
        <v>50348</v>
      </c>
      <c r="E25">
        <f>'8th year actual'!J56</f>
        <v>185905.5344</v>
      </c>
      <c r="F25">
        <f t="shared" si="0"/>
        <v>3.4451670130249279</v>
      </c>
    </row>
    <row r="26" spans="2:10" x14ac:dyDescent="0.2">
      <c r="B26" t="s">
        <v>43</v>
      </c>
      <c r="D26">
        <f>34370+16150</f>
        <v>50520</v>
      </c>
      <c r="E26">
        <f>'8th year actual'!J57</f>
        <v>194093.94029999999</v>
      </c>
      <c r="F26">
        <f>SUM(E24:E26)/SUM(D24:D26)</f>
        <v>3.5948084499305049</v>
      </c>
    </row>
    <row r="27" spans="2:10" x14ac:dyDescent="0.2">
      <c r="B27" t="s">
        <v>96</v>
      </c>
      <c r="D27">
        <f>SUM(D14:D26)</f>
        <v>597022</v>
      </c>
      <c r="E27">
        <f>SUM(E14:E26)</f>
        <v>1993065.6206199999</v>
      </c>
    </row>
    <row r="29" spans="2:10" x14ac:dyDescent="0.2">
      <c r="B29" t="s">
        <v>375</v>
      </c>
    </row>
    <row r="31" spans="2:10" x14ac:dyDescent="0.2">
      <c r="B31" t="s">
        <v>376</v>
      </c>
      <c r="F31">
        <f>SUM(D14:D26)</f>
        <v>597022</v>
      </c>
      <c r="J31" t="s">
        <v>6</v>
      </c>
    </row>
    <row r="34" spans="2:9" x14ac:dyDescent="0.2">
      <c r="B34" t="s">
        <v>101</v>
      </c>
      <c r="E34" t="s">
        <v>386</v>
      </c>
      <c r="F34">
        <v>1.21</v>
      </c>
    </row>
    <row r="35" spans="2:9" x14ac:dyDescent="0.2">
      <c r="B35" t="s">
        <v>101</v>
      </c>
      <c r="E35" t="s">
        <v>387</v>
      </c>
      <c r="F35">
        <v>1.82</v>
      </c>
    </row>
    <row r="38" spans="2:9" x14ac:dyDescent="0.2">
      <c r="B38" t="s">
        <v>377</v>
      </c>
      <c r="H38">
        <f>(SUM(D15:D16)*F34)+SUM(D17:D26)*F35</f>
        <v>1026099.76</v>
      </c>
    </row>
    <row r="40" spans="2:9" x14ac:dyDescent="0.2">
      <c r="B40" t="s">
        <v>50</v>
      </c>
      <c r="G40">
        <f>SUM(E14:E26)</f>
        <v>1993065.6206199999</v>
      </c>
    </row>
    <row r="41" spans="2:9" x14ac:dyDescent="0.2">
      <c r="B41" t="s">
        <v>340</v>
      </c>
      <c r="G41">
        <f>G40*0.3</f>
        <v>597919.68618600001</v>
      </c>
    </row>
    <row r="42" spans="2:9" x14ac:dyDescent="0.2">
      <c r="B42" t="s">
        <v>350</v>
      </c>
      <c r="H42">
        <f>G40-G41</f>
        <v>1395145.9344339999</v>
      </c>
    </row>
    <row r="44" spans="2:9" x14ac:dyDescent="0.2">
      <c r="B44" t="s">
        <v>351</v>
      </c>
      <c r="H44">
        <f>H42-H38</f>
        <v>369046.17443399993</v>
      </c>
      <c r="I44" t="s">
        <v>352</v>
      </c>
    </row>
    <row r="46" spans="2:9" x14ac:dyDescent="0.2">
      <c r="B46" t="s">
        <v>106</v>
      </c>
    </row>
    <row r="48" spans="2:9" x14ac:dyDescent="0.2">
      <c r="B48" t="s">
        <v>107</v>
      </c>
      <c r="G48">
        <f>H44</f>
        <v>369046.17443399993</v>
      </c>
    </row>
    <row r="49" spans="2:10" x14ac:dyDescent="0.2">
      <c r="B49" t="s">
        <v>54</v>
      </c>
      <c r="G49">
        <f>SUM(D24:D26)/3</f>
        <v>50363.333333333336</v>
      </c>
    </row>
    <row r="50" spans="2:10" x14ac:dyDescent="0.2">
      <c r="B50" t="s">
        <v>108</v>
      </c>
      <c r="G50">
        <f>G48/G49</f>
        <v>7.3276757118406231</v>
      </c>
    </row>
    <row r="51" spans="2:10" x14ac:dyDescent="0.2">
      <c r="B51" t="s">
        <v>56</v>
      </c>
    </row>
    <row r="52" spans="2:10" x14ac:dyDescent="0.2">
      <c r="B52" t="s">
        <v>57</v>
      </c>
      <c r="G52">
        <f>G50/12</f>
        <v>0.61063964265338522</v>
      </c>
    </row>
    <row r="54" spans="2:10" x14ac:dyDescent="0.2">
      <c r="J54" t="s">
        <v>362</v>
      </c>
    </row>
    <row r="55" spans="2:10" x14ac:dyDescent="0.2">
      <c r="B55" t="s">
        <v>354</v>
      </c>
      <c r="F55" t="s">
        <v>382</v>
      </c>
      <c r="G55" t="s">
        <v>383</v>
      </c>
      <c r="H55" t="s">
        <v>384</v>
      </c>
      <c r="I55" t="s">
        <v>13</v>
      </c>
      <c r="J55" t="s">
        <v>363</v>
      </c>
    </row>
    <row r="56" spans="2:10" x14ac:dyDescent="0.2">
      <c r="B56" t="s">
        <v>353</v>
      </c>
      <c r="F56">
        <f>E24</f>
        <v>163140.13399999999</v>
      </c>
      <c r="G56">
        <f>E25</f>
        <v>185905.5344</v>
      </c>
      <c r="H56">
        <f>E26</f>
        <v>194093.94029999999</v>
      </c>
      <c r="I56">
        <f>AVERAGE(F56:H56)</f>
        <v>181046.53623333332</v>
      </c>
      <c r="J56">
        <f>I56*0.7</f>
        <v>126732.57536333331</v>
      </c>
    </row>
    <row r="57" spans="2:10" x14ac:dyDescent="0.2">
      <c r="B57" t="s">
        <v>355</v>
      </c>
      <c r="F57">
        <f>D24</f>
        <v>50222</v>
      </c>
      <c r="G57">
        <f>D25</f>
        <v>50348</v>
      </c>
      <c r="H57">
        <f>D26</f>
        <v>50520</v>
      </c>
      <c r="I57">
        <f>AVERAGE(F57:H57)</f>
        <v>50363.333333333336</v>
      </c>
      <c r="J57">
        <f>I57</f>
        <v>50363.333333333336</v>
      </c>
    </row>
    <row r="59" spans="2:10" x14ac:dyDescent="0.2">
      <c r="E59" t="s">
        <v>359</v>
      </c>
      <c r="I59">
        <f>I56/I57</f>
        <v>3.5948084499305044</v>
      </c>
      <c r="J59">
        <f>J56/J57</f>
        <v>2.5163659149513529</v>
      </c>
    </row>
    <row r="60" spans="2:10" ht="15.75" thickBot="1" x14ac:dyDescent="0.25">
      <c r="E60" t="s">
        <v>360</v>
      </c>
      <c r="I60">
        <f>G52</f>
        <v>0.61063964265338522</v>
      </c>
      <c r="J60">
        <f>I60</f>
        <v>0.61063964265338522</v>
      </c>
    </row>
    <row r="61" spans="2:10" ht="15.75" thickBot="1" x14ac:dyDescent="0.25">
      <c r="F61" t="s">
        <v>361</v>
      </c>
      <c r="I61">
        <f>I59+I60</f>
        <v>4.2054480925838895</v>
      </c>
      <c r="J61">
        <f>SUM(J59:J60)</f>
        <v>3.127005557604738</v>
      </c>
    </row>
    <row r="65" spans="2:6" x14ac:dyDescent="0.2">
      <c r="F65" t="s">
        <v>0</v>
      </c>
    </row>
    <row r="66" spans="2:6" x14ac:dyDescent="0.2">
      <c r="F66" t="s">
        <v>1</v>
      </c>
    </row>
    <row r="67" spans="2:6" x14ac:dyDescent="0.2">
      <c r="F67" t="s">
        <v>342</v>
      </c>
    </row>
    <row r="70" spans="2:6" x14ac:dyDescent="0.2">
      <c r="B70" t="str">
        <f>B6</f>
        <v>After Eighth Year Commodity Adjustment</v>
      </c>
    </row>
    <row r="72" spans="2:6" x14ac:dyDescent="0.2">
      <c r="B72" t="s">
        <v>4</v>
      </c>
    </row>
    <row r="73" spans="2:6" x14ac:dyDescent="0.2">
      <c r="B73" t="s">
        <v>341</v>
      </c>
    </row>
    <row r="74" spans="2:6" x14ac:dyDescent="0.2">
      <c r="B74" t="s">
        <v>6</v>
      </c>
    </row>
    <row r="75" spans="2:6" x14ac:dyDescent="0.2">
      <c r="F75" t="s">
        <v>345</v>
      </c>
    </row>
    <row r="76" spans="2:6" x14ac:dyDescent="0.2">
      <c r="B76" t="s">
        <v>344</v>
      </c>
      <c r="D76" t="s">
        <v>30</v>
      </c>
      <c r="E76" t="s">
        <v>31</v>
      </c>
      <c r="F76" t="s">
        <v>8</v>
      </c>
    </row>
    <row r="77" spans="2:6" x14ac:dyDescent="0.2">
      <c r="B77" t="s">
        <v>92</v>
      </c>
      <c r="D77" t="s">
        <v>145</v>
      </c>
      <c r="E77" t="s">
        <v>32</v>
      </c>
      <c r="F77" t="s">
        <v>13</v>
      </c>
    </row>
    <row r="79" spans="2:6" x14ac:dyDescent="0.2">
      <c r="B79" t="s">
        <v>371</v>
      </c>
      <c r="D79">
        <v>8223</v>
      </c>
      <c r="E79">
        <f>'8th year actual'!K107</f>
        <v>3695.4936749999997</v>
      </c>
      <c r="F79">
        <f>SUM(E79)/SUM(D79)</f>
        <v>0.44940942174388904</v>
      </c>
    </row>
    <row r="80" spans="2:6" x14ac:dyDescent="0.2">
      <c r="B80" t="s">
        <v>116</v>
      </c>
      <c r="D80">
        <v>8365</v>
      </c>
      <c r="E80">
        <f>'8th year actual'!K108</f>
        <v>3833.3052999999995</v>
      </c>
      <c r="F80">
        <f>SUM(E79:E80)/SUM(D79:D80)</f>
        <v>0.45387020587171445</v>
      </c>
    </row>
    <row r="81" spans="2:6" x14ac:dyDescent="0.2">
      <c r="B81" t="s">
        <v>34</v>
      </c>
      <c r="D81">
        <v>8376</v>
      </c>
      <c r="E81">
        <f>'8th year actual'!K109</f>
        <v>3890.4654999999998</v>
      </c>
      <c r="F81">
        <f t="shared" ref="F81:F89" si="1">SUM(E79:E81)/SUM(D79:D81)</f>
        <v>0.45742927715910914</v>
      </c>
    </row>
    <row r="82" spans="2:6" x14ac:dyDescent="0.2">
      <c r="B82" t="s">
        <v>35</v>
      </c>
      <c r="D82">
        <v>8282</v>
      </c>
      <c r="E82">
        <f>'8th year actual'!K110</f>
        <v>4191.0449400000007</v>
      </c>
      <c r="F82">
        <f t="shared" si="1"/>
        <v>0.47615456739799383</v>
      </c>
    </row>
    <row r="83" spans="2:6" x14ac:dyDescent="0.2">
      <c r="B83" t="s">
        <v>379</v>
      </c>
      <c r="D83">
        <v>8325</v>
      </c>
      <c r="E83">
        <f>'8th year actual'!K111</f>
        <v>5295.00198</v>
      </c>
      <c r="F83">
        <f t="shared" si="1"/>
        <v>0.53542458551815231</v>
      </c>
    </row>
    <row r="84" spans="2:6" x14ac:dyDescent="0.2">
      <c r="B84" t="s">
        <v>37</v>
      </c>
      <c r="D84">
        <v>8238</v>
      </c>
      <c r="E84">
        <f>'8th year actual'!K112</f>
        <v>5632.7014199999994</v>
      </c>
      <c r="F84">
        <f t="shared" si="1"/>
        <v>0.60852277480378347</v>
      </c>
    </row>
    <row r="85" spans="2:6" x14ac:dyDescent="0.2">
      <c r="B85" t="s">
        <v>38</v>
      </c>
      <c r="D85">
        <v>8165</v>
      </c>
      <c r="E85">
        <f>'8th year actual'!K113</f>
        <v>6249.2127500000006</v>
      </c>
      <c r="F85">
        <f t="shared" si="1"/>
        <v>0.69463426682303453</v>
      </c>
    </row>
    <row r="86" spans="2:6" x14ac:dyDescent="0.2">
      <c r="B86" t="s">
        <v>95</v>
      </c>
      <c r="D86">
        <v>8264</v>
      </c>
      <c r="E86">
        <f>'8th year actual'!K114</f>
        <v>5825.8908250000004</v>
      </c>
      <c r="F86">
        <f t="shared" si="1"/>
        <v>0.71787428527992858</v>
      </c>
    </row>
    <row r="87" spans="2:6" x14ac:dyDescent="0.2">
      <c r="B87" t="s">
        <v>40</v>
      </c>
      <c r="D87">
        <v>8153</v>
      </c>
      <c r="E87">
        <f>'8th year actual'!K115</f>
        <v>5803.2414249999993</v>
      </c>
      <c r="F87">
        <f t="shared" si="1"/>
        <v>0.72729415832723132</v>
      </c>
    </row>
    <row r="88" spans="2:6" x14ac:dyDescent="0.2">
      <c r="B88" t="s">
        <v>41</v>
      </c>
      <c r="D88">
        <v>8252</v>
      </c>
      <c r="E88">
        <f>'8th year actual'!K116</f>
        <v>5652.7021249999998</v>
      </c>
      <c r="F88">
        <f t="shared" si="1"/>
        <v>0.70054863898009645</v>
      </c>
    </row>
    <row r="89" spans="2:6" x14ac:dyDescent="0.2">
      <c r="B89" t="s">
        <v>42</v>
      </c>
      <c r="D89">
        <v>8227</v>
      </c>
      <c r="E89">
        <f>'8th year actual'!K117</f>
        <v>6629.0624149999985</v>
      </c>
      <c r="F89">
        <f t="shared" si="1"/>
        <v>0.73420777707859686</v>
      </c>
    </row>
    <row r="90" spans="2:6" x14ac:dyDescent="0.2">
      <c r="B90" t="s">
        <v>43</v>
      </c>
      <c r="D90">
        <v>8220</v>
      </c>
      <c r="E90">
        <f>'8th year actual'!K118</f>
        <v>7152.1212250000008</v>
      </c>
      <c r="F90">
        <f>SUM(E88:E90)/SUM(D88:D90)</f>
        <v>0.78682884995343938</v>
      </c>
    </row>
    <row r="91" spans="2:6" x14ac:dyDescent="0.2">
      <c r="B91" t="s">
        <v>96</v>
      </c>
      <c r="D91">
        <f>SUM(D78:D90)</f>
        <v>99090</v>
      </c>
      <c r="E91">
        <f>SUM(E78:E90)</f>
        <v>63850.243580000009</v>
      </c>
    </row>
    <row r="93" spans="2:6" x14ac:dyDescent="0.2">
      <c r="B93" t="s">
        <v>375</v>
      </c>
    </row>
    <row r="95" spans="2:6" x14ac:dyDescent="0.2">
      <c r="B95" t="s">
        <v>380</v>
      </c>
      <c r="F95">
        <f>SUM(D78:D90)</f>
        <v>99090</v>
      </c>
    </row>
    <row r="97" spans="2:8" x14ac:dyDescent="0.2">
      <c r="B97" t="s">
        <v>343</v>
      </c>
      <c r="E97" t="s">
        <v>386</v>
      </c>
      <c r="F97">
        <v>0.15</v>
      </c>
    </row>
    <row r="98" spans="2:8" x14ac:dyDescent="0.2">
      <c r="B98" t="s">
        <v>343</v>
      </c>
      <c r="E98" t="s">
        <v>387</v>
      </c>
      <c r="F98">
        <v>0.46</v>
      </c>
    </row>
    <row r="101" spans="2:8" x14ac:dyDescent="0.2">
      <c r="B101" t="s">
        <v>381</v>
      </c>
      <c r="H101">
        <f>(SUM(D79:D80)*F97)+SUM(D81:D90)*F98</f>
        <v>40439.119999999995</v>
      </c>
    </row>
    <row r="103" spans="2:8" x14ac:dyDescent="0.2">
      <c r="B103" t="s">
        <v>50</v>
      </c>
      <c r="G103">
        <f>SUM(E78:E90)</f>
        <v>63850.243580000009</v>
      </c>
    </row>
    <row r="104" spans="2:8" x14ac:dyDescent="0.2">
      <c r="B104" t="s">
        <v>340</v>
      </c>
      <c r="G104">
        <f>G103*0.3</f>
        <v>19155.073074000004</v>
      </c>
    </row>
    <row r="105" spans="2:8" x14ac:dyDescent="0.2">
      <c r="B105" t="s">
        <v>364</v>
      </c>
      <c r="H105">
        <f>G103-G104</f>
        <v>44695.170506000009</v>
      </c>
    </row>
    <row r="107" spans="2:8" x14ac:dyDescent="0.2">
      <c r="B107" t="s">
        <v>190</v>
      </c>
      <c r="H107">
        <f>H105-H101</f>
        <v>4256.0505060000141</v>
      </c>
    </row>
    <row r="109" spans="2:8" x14ac:dyDescent="0.2">
      <c r="B109" t="s">
        <v>365</v>
      </c>
    </row>
    <row r="111" spans="2:8" x14ac:dyDescent="0.2">
      <c r="B111" t="s">
        <v>107</v>
      </c>
      <c r="G111">
        <f>H107</f>
        <v>4256.0505060000141</v>
      </c>
    </row>
    <row r="112" spans="2:8" x14ac:dyDescent="0.2">
      <c r="B112" t="s">
        <v>348</v>
      </c>
      <c r="G112">
        <f>SUM(D88:D90)/3</f>
        <v>8233</v>
      </c>
    </row>
    <row r="113" spans="2:10" x14ac:dyDescent="0.2">
      <c r="B113" t="s">
        <v>349</v>
      </c>
      <c r="G113">
        <f>G111/G112</f>
        <v>0.51695014041054466</v>
      </c>
    </row>
    <row r="114" spans="2:10" x14ac:dyDescent="0.2">
      <c r="B114" t="s">
        <v>56</v>
      </c>
    </row>
    <row r="115" spans="2:10" x14ac:dyDescent="0.2">
      <c r="B115" t="s">
        <v>367</v>
      </c>
      <c r="G115">
        <f>G113/12</f>
        <v>4.3079178367545386E-2</v>
      </c>
    </row>
    <row r="116" spans="2:10" x14ac:dyDescent="0.2">
      <c r="J116" t="s">
        <v>362</v>
      </c>
    </row>
    <row r="117" spans="2:10" x14ac:dyDescent="0.2">
      <c r="B117" t="s">
        <v>354</v>
      </c>
      <c r="F117" t="s">
        <v>382</v>
      </c>
      <c r="G117" t="s">
        <v>383</v>
      </c>
      <c r="H117" t="s">
        <v>384</v>
      </c>
      <c r="I117" t="s">
        <v>13</v>
      </c>
      <c r="J117" t="s">
        <v>363</v>
      </c>
    </row>
    <row r="118" spans="2:10" x14ac:dyDescent="0.2">
      <c r="B118" t="s">
        <v>353</v>
      </c>
      <c r="F118">
        <f>E88</f>
        <v>5652.7021249999998</v>
      </c>
      <c r="G118">
        <f>E89</f>
        <v>6629.0624149999985</v>
      </c>
      <c r="H118">
        <f>E90</f>
        <v>7152.1212250000008</v>
      </c>
      <c r="I118">
        <f>AVERAGE(F118:H118)</f>
        <v>6477.9619216666661</v>
      </c>
      <c r="J118">
        <f>I118*0.7</f>
        <v>4534.5733451666656</v>
      </c>
    </row>
    <row r="119" spans="2:10" x14ac:dyDescent="0.2">
      <c r="B119" t="s">
        <v>366</v>
      </c>
      <c r="F119">
        <f>D88</f>
        <v>8252</v>
      </c>
      <c r="G119">
        <f>D89</f>
        <v>8227</v>
      </c>
      <c r="H119">
        <f>D90</f>
        <v>8220</v>
      </c>
      <c r="I119">
        <f>AVERAGE(F119:H119)</f>
        <v>8233</v>
      </c>
      <c r="J119">
        <f>I119</f>
        <v>8233</v>
      </c>
    </row>
    <row r="121" spans="2:10" x14ac:dyDescent="0.2">
      <c r="E121" t="s">
        <v>359</v>
      </c>
      <c r="I121">
        <f>I118/I119</f>
        <v>0.78682884995343938</v>
      </c>
      <c r="J121">
        <f>J118/J119</f>
        <v>0.55078019496740749</v>
      </c>
    </row>
    <row r="122" spans="2:10" ht="15.75" thickBot="1" x14ac:dyDescent="0.25">
      <c r="E122" t="s">
        <v>368</v>
      </c>
      <c r="I122">
        <f>G115</f>
        <v>4.3079178367545386E-2</v>
      </c>
      <c r="J122">
        <f>I122</f>
        <v>4.3079178367545386E-2</v>
      </c>
    </row>
    <row r="123" spans="2:10" ht="15.75" thickBot="1" x14ac:dyDescent="0.25">
      <c r="F123" t="s">
        <v>369</v>
      </c>
      <c r="I123">
        <f>I121+I122</f>
        <v>0.82990802832098476</v>
      </c>
      <c r="J123">
        <f>SUM(J121:J122)</f>
        <v>0.59385937333495287</v>
      </c>
    </row>
  </sheetData>
  <phoneticPr fontId="0" type="noConversion"/>
  <pageMargins left="0.75" right="0.75" top="1" bottom="1" header="0.5" footer="0.5"/>
  <pageSetup scale="84" orientation="portrait" horizontalDpi="300" verticalDpi="300" r:id="rId1"/>
  <headerFooter alignWithMargins="0"/>
  <rowBreaks count="1" manualBreakCount="1">
    <brk id="63" max="9" man="1"/>
  </rowBreaks>
  <colBreaks count="1" manualBreakCount="1">
    <brk id="10" max="1048575" man="1"/>
  </col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119"/>
  <sheetViews>
    <sheetView topLeftCell="A47" zoomScaleNormal="100" workbookViewId="0">
      <selection activeCell="F66" sqref="F66"/>
    </sheetView>
  </sheetViews>
  <sheetFormatPr defaultRowHeight="15" x14ac:dyDescent="0.2"/>
  <cols>
    <col min="1" max="1" width="11.88671875" customWidth="1"/>
    <col min="2" max="2" width="9.33203125" bestFit="1" customWidth="1"/>
    <col min="3" max="4" width="10.109375" bestFit="1" customWidth="1"/>
    <col min="5" max="5" width="9.21875" bestFit="1" customWidth="1"/>
    <col min="6" max="8" width="9" bestFit="1" customWidth="1"/>
    <col min="9" max="9" width="9.33203125" customWidth="1"/>
    <col min="10" max="10" width="9.5546875" customWidth="1"/>
    <col min="11" max="11" width="10.109375" bestFit="1" customWidth="1"/>
  </cols>
  <sheetData>
    <row r="2" spans="1:10" x14ac:dyDescent="0.2">
      <c r="E2" t="s">
        <v>0</v>
      </c>
    </row>
    <row r="3" spans="1:10" x14ac:dyDescent="0.2">
      <c r="E3" t="s">
        <v>1</v>
      </c>
    </row>
    <row r="4" spans="1:10" x14ac:dyDescent="0.2">
      <c r="E4" t="s">
        <v>2</v>
      </c>
    </row>
    <row r="5" spans="1:10" x14ac:dyDescent="0.2">
      <c r="E5" t="s">
        <v>482</v>
      </c>
    </row>
    <row r="7" spans="1:10" x14ac:dyDescent="0.2">
      <c r="B7" t="s">
        <v>81</v>
      </c>
    </row>
    <row r="8" spans="1:10" x14ac:dyDescent="0.2">
      <c r="G8" t="s">
        <v>6</v>
      </c>
      <c r="H8" t="s">
        <v>330</v>
      </c>
      <c r="I8" t="s">
        <v>6</v>
      </c>
    </row>
    <row r="9" spans="1:10" x14ac:dyDescent="0.2">
      <c r="B9" t="s">
        <v>14</v>
      </c>
      <c r="C9" t="s">
        <v>15</v>
      </c>
      <c r="D9" t="s">
        <v>16</v>
      </c>
      <c r="E9" t="s">
        <v>18</v>
      </c>
      <c r="F9" t="s">
        <v>19</v>
      </c>
      <c r="G9" t="s">
        <v>20</v>
      </c>
      <c r="H9" t="s">
        <v>331</v>
      </c>
      <c r="I9" t="s">
        <v>333</v>
      </c>
      <c r="J9" t="s">
        <v>84</v>
      </c>
    </row>
    <row r="10" spans="1:10" x14ac:dyDescent="0.2">
      <c r="A10" t="s">
        <v>9</v>
      </c>
    </row>
    <row r="11" spans="1:10" x14ac:dyDescent="0.2">
      <c r="A11" t="s">
        <v>373</v>
      </c>
      <c r="B11">
        <f>399040/2000</f>
        <v>199.52</v>
      </c>
      <c r="C11">
        <f>1203113/2000</f>
        <v>601.55650000000003</v>
      </c>
      <c r="D11">
        <f>336101/2000</f>
        <v>168.0505</v>
      </c>
      <c r="E11">
        <f>33396/2000</f>
        <v>16.698</v>
      </c>
      <c r="F11">
        <f>38534/2000</f>
        <v>19.266999999999999</v>
      </c>
      <c r="G11">
        <f>25690/2000</f>
        <v>12.845000000000001</v>
      </c>
      <c r="H11">
        <f>44956/2000</f>
        <v>22.478000000000002</v>
      </c>
      <c r="I11">
        <f>59939/2000</f>
        <v>29.9695</v>
      </c>
      <c r="J11">
        <f t="shared" ref="J11:J16" si="0">SUM(B11:I11)</f>
        <v>1070.3844999999999</v>
      </c>
    </row>
    <row r="12" spans="1:10" x14ac:dyDescent="0.2">
      <c r="A12" t="s">
        <v>72</v>
      </c>
      <c r="B12">
        <f>128.1855+82.797</f>
        <v>210.98249999999999</v>
      </c>
      <c r="C12">
        <f>386.4825+249.635</f>
        <v>636.11750000000006</v>
      </c>
      <c r="D12">
        <f>107.9675+69.738</f>
        <v>177.7055</v>
      </c>
      <c r="E12">
        <f>10.728+6.9295</f>
        <v>17.657499999999999</v>
      </c>
      <c r="F12">
        <f>12.3785+7.9955</f>
        <v>20.374000000000002</v>
      </c>
      <c r="G12">
        <f>8.2525+5.3305</f>
        <v>13.582999999999998</v>
      </c>
      <c r="H12">
        <f>14.4415+9.328</f>
        <v>23.769500000000001</v>
      </c>
      <c r="I12">
        <f>19.2555+12.4375</f>
        <v>31.693000000000001</v>
      </c>
      <c r="J12">
        <f t="shared" si="0"/>
        <v>1131.8825000000002</v>
      </c>
    </row>
    <row r="13" spans="1:10" x14ac:dyDescent="0.2">
      <c r="A13" t="s">
        <v>34</v>
      </c>
      <c r="B13">
        <f>148.108+71.947</f>
        <v>220.05500000000001</v>
      </c>
      <c r="C13">
        <f>446.549+216.921</f>
        <v>663.47</v>
      </c>
      <c r="D13">
        <f>124.748+60.599</f>
        <v>185.34700000000001</v>
      </c>
      <c r="E13">
        <f>12.395+6.021</f>
        <v>18.416</v>
      </c>
      <c r="F13">
        <f>14.302+6.948</f>
        <v>21.25</v>
      </c>
      <c r="G13">
        <f>9.535+4.632</f>
        <v>14.167</v>
      </c>
      <c r="H13">
        <f>16.686+8.106</f>
        <v>24.792000000000002</v>
      </c>
      <c r="I13">
        <f>22.248+10.807</f>
        <v>33.055</v>
      </c>
      <c r="J13">
        <f t="shared" si="0"/>
        <v>1180.5519999999999</v>
      </c>
    </row>
    <row r="14" spans="1:10" x14ac:dyDescent="0.2">
      <c r="A14" t="s">
        <v>35</v>
      </c>
      <c r="B14">
        <f>149.04+74.31</f>
        <v>223.35</v>
      </c>
      <c r="C14">
        <f>449.35+224.05</f>
        <v>673.40000000000009</v>
      </c>
      <c r="D14">
        <f>125.53+62.59</f>
        <v>188.12</v>
      </c>
      <c r="E14">
        <f>12.47+6.22</f>
        <v>18.690000000000001</v>
      </c>
      <c r="F14">
        <f>14.39+7.17</f>
        <v>21.560000000000002</v>
      </c>
      <c r="G14">
        <f>9.59+4.78</f>
        <v>14.370000000000001</v>
      </c>
      <c r="H14">
        <f>16.79+8.37</f>
        <v>25.159999999999997</v>
      </c>
      <c r="I14">
        <f>22.39+11.16</f>
        <v>33.549999999999997</v>
      </c>
      <c r="J14">
        <f t="shared" si="0"/>
        <v>1198.2</v>
      </c>
    </row>
    <row r="15" spans="1:10" x14ac:dyDescent="0.2">
      <c r="A15" t="s">
        <v>374</v>
      </c>
      <c r="B15">
        <f>153.49+95.1515</f>
        <v>248.64150000000001</v>
      </c>
      <c r="C15">
        <f>462.77+286.884</f>
        <v>749.654</v>
      </c>
      <c r="D15">
        <f>129.28+80.144</f>
        <v>209.42400000000001</v>
      </c>
      <c r="E15">
        <f>12.85+7.9635</f>
        <v>20.813499999999998</v>
      </c>
      <c r="F15">
        <f>14.82+9.1885</f>
        <v>24.008499999999998</v>
      </c>
      <c r="G15">
        <f>9.88+6.1255</f>
        <v>16.005500000000001</v>
      </c>
      <c r="H15">
        <f>17.29+10.72</f>
        <v>28.009999999999998</v>
      </c>
      <c r="I15">
        <f>23.06+14.293</f>
        <v>37.352999999999994</v>
      </c>
      <c r="J15">
        <f t="shared" si="0"/>
        <v>1333.9099999999999</v>
      </c>
    </row>
    <row r="16" spans="1:10" x14ac:dyDescent="0.2">
      <c r="A16" t="s">
        <v>37</v>
      </c>
      <c r="B16">
        <f>126.36+70.02</f>
        <v>196.38</v>
      </c>
      <c r="C16">
        <f>380.97+211.11</f>
        <v>592.08000000000004</v>
      </c>
      <c r="D16">
        <f>106.43+58.98</f>
        <v>165.41</v>
      </c>
      <c r="E16">
        <f>10.58+5.86</f>
        <v>16.440000000000001</v>
      </c>
      <c r="F16">
        <f>12.2+6.76</f>
        <v>18.96</v>
      </c>
      <c r="G16">
        <f>8.13+4.51</f>
        <v>12.64</v>
      </c>
      <c r="H16">
        <f>14.24+7.89</f>
        <v>22.13</v>
      </c>
      <c r="I16">
        <f>18.98+10.52</f>
        <v>29.5</v>
      </c>
      <c r="J16">
        <f t="shared" si="0"/>
        <v>1053.5400000000002</v>
      </c>
    </row>
    <row r="17" spans="1:10" x14ac:dyDescent="0.2">
      <c r="A17" t="s">
        <v>329</v>
      </c>
      <c r="B17">
        <f>138.02+75.04</f>
        <v>213.06</v>
      </c>
      <c r="C17">
        <f>416.12+226.26</f>
        <v>642.38</v>
      </c>
      <c r="D17">
        <f>116.25+63.21</f>
        <v>179.46</v>
      </c>
      <c r="E17">
        <f>11.55+6.28</f>
        <v>17.830000000000002</v>
      </c>
      <c r="F17">
        <f>13.33+7.25</f>
        <v>20.58</v>
      </c>
      <c r="G17">
        <f>8.89+4.83</f>
        <v>13.72</v>
      </c>
      <c r="H17">
        <f>15.55+8.45</f>
        <v>24</v>
      </c>
      <c r="I17">
        <f>20.73+11.27</f>
        <v>32</v>
      </c>
      <c r="J17">
        <f t="shared" ref="J17:J22" si="1">SUM(B17:I17)</f>
        <v>1143.03</v>
      </c>
    </row>
    <row r="18" spans="1:10" x14ac:dyDescent="0.2">
      <c r="A18" t="s">
        <v>95</v>
      </c>
      <c r="B18">
        <v>215.41</v>
      </c>
      <c r="C18">
        <v>649.46</v>
      </c>
      <c r="D18">
        <v>181.43</v>
      </c>
      <c r="E18">
        <v>18.03</v>
      </c>
      <c r="F18">
        <v>20.8</v>
      </c>
      <c r="G18">
        <v>13.87</v>
      </c>
      <c r="H18">
        <v>24.27</v>
      </c>
      <c r="I18">
        <v>32.36</v>
      </c>
      <c r="J18">
        <f t="shared" si="1"/>
        <v>1155.6299999999997</v>
      </c>
    </row>
    <row r="19" spans="1:10" x14ac:dyDescent="0.2">
      <c r="A19" t="s">
        <v>40</v>
      </c>
      <c r="B19">
        <v>222.07</v>
      </c>
      <c r="C19">
        <v>669.54</v>
      </c>
      <c r="D19">
        <v>187.04</v>
      </c>
      <c r="E19">
        <v>18.59</v>
      </c>
      <c r="F19">
        <v>21.44</v>
      </c>
      <c r="G19">
        <v>14.3</v>
      </c>
      <c r="H19">
        <v>25.02</v>
      </c>
      <c r="I19">
        <v>33.36</v>
      </c>
      <c r="J19">
        <f t="shared" si="1"/>
        <v>1191.3599999999997</v>
      </c>
    </row>
    <row r="20" spans="1:10" x14ac:dyDescent="0.2">
      <c r="A20" t="s">
        <v>41</v>
      </c>
      <c r="B20">
        <v>205.72</v>
      </c>
      <c r="C20">
        <v>620.26</v>
      </c>
      <c r="D20">
        <v>173.28</v>
      </c>
      <c r="E20">
        <v>17.22</v>
      </c>
      <c r="F20">
        <v>19.87</v>
      </c>
      <c r="G20">
        <v>13.24</v>
      </c>
      <c r="H20">
        <v>23.18</v>
      </c>
      <c r="I20">
        <v>30.9</v>
      </c>
      <c r="J20">
        <f t="shared" si="1"/>
        <v>1103.67</v>
      </c>
    </row>
    <row r="21" spans="1:10" x14ac:dyDescent="0.2">
      <c r="A21" t="s">
        <v>42</v>
      </c>
      <c r="B21">
        <f>84.92</f>
        <v>84.92</v>
      </c>
      <c r="C21">
        <f>874.39</f>
        <v>874.39</v>
      </c>
      <c r="D21">
        <v>85.39</v>
      </c>
      <c r="E21">
        <v>18</v>
      </c>
      <c r="F21">
        <v>20.77</v>
      </c>
      <c r="G21">
        <v>13.85</v>
      </c>
      <c r="H21">
        <v>24.23</v>
      </c>
      <c r="I21">
        <v>32.31</v>
      </c>
      <c r="J21">
        <f t="shared" si="1"/>
        <v>1153.8599999999999</v>
      </c>
    </row>
    <row r="22" spans="1:10" x14ac:dyDescent="0.2">
      <c r="A22" t="s">
        <v>43</v>
      </c>
      <c r="B22">
        <v>86.33</v>
      </c>
      <c r="C22">
        <v>888.84</v>
      </c>
      <c r="D22">
        <v>86.8</v>
      </c>
      <c r="E22">
        <v>18.3</v>
      </c>
      <c r="F22">
        <v>21.11</v>
      </c>
      <c r="G22">
        <v>14.08</v>
      </c>
      <c r="H22">
        <v>24.63</v>
      </c>
      <c r="I22">
        <v>32.840000000000003</v>
      </c>
      <c r="J22">
        <f t="shared" si="1"/>
        <v>1172.9299999999998</v>
      </c>
    </row>
    <row r="23" spans="1:10" x14ac:dyDescent="0.2">
      <c r="A23" t="s">
        <v>22</v>
      </c>
      <c r="B23">
        <f t="shared" ref="B23:J23" si="2">SUM(B11:B22)</f>
        <v>2326.4389999999999</v>
      </c>
      <c r="C23">
        <f t="shared" si="2"/>
        <v>8261.1479999999992</v>
      </c>
      <c r="D23">
        <f t="shared" si="2"/>
        <v>1987.4570000000001</v>
      </c>
      <c r="E23">
        <f t="shared" si="2"/>
        <v>216.685</v>
      </c>
      <c r="F23">
        <f t="shared" si="2"/>
        <v>249.98950000000002</v>
      </c>
      <c r="G23">
        <f t="shared" si="2"/>
        <v>166.6705</v>
      </c>
      <c r="H23">
        <f t="shared" si="2"/>
        <v>291.66950000000003</v>
      </c>
      <c r="I23">
        <f t="shared" si="2"/>
        <v>388.89049999999997</v>
      </c>
      <c r="J23">
        <f t="shared" si="2"/>
        <v>13888.948999999999</v>
      </c>
    </row>
    <row r="25" spans="1:10" x14ac:dyDescent="0.2">
      <c r="A25" t="s">
        <v>117</v>
      </c>
      <c r="B25">
        <f>B23/$J$23</f>
        <v>0.16750288304752217</v>
      </c>
      <c r="C25">
        <f t="shared" ref="C25:I25" si="3">C23/$J$23</f>
        <v>0.59480008170524634</v>
      </c>
      <c r="D25">
        <f t="shared" si="3"/>
        <v>0.14309628467927993</v>
      </c>
      <c r="E25">
        <f t="shared" si="3"/>
        <v>1.5601252477779277E-2</v>
      </c>
      <c r="F25">
        <f t="shared" si="3"/>
        <v>1.7999166099609124E-2</v>
      </c>
      <c r="G25">
        <f t="shared" si="3"/>
        <v>1.2000224063030257E-2</v>
      </c>
      <c r="H25">
        <f t="shared" si="3"/>
        <v>2.1000113111510458E-2</v>
      </c>
      <c r="I25">
        <f t="shared" si="3"/>
        <v>2.7999994816022437E-2</v>
      </c>
    </row>
    <row r="27" spans="1:10" x14ac:dyDescent="0.2">
      <c r="A27" t="s">
        <v>86</v>
      </c>
      <c r="B27" t="s">
        <v>6</v>
      </c>
    </row>
    <row r="28" spans="1:10" x14ac:dyDescent="0.2">
      <c r="B28" t="s">
        <v>222</v>
      </c>
    </row>
    <row r="29" spans="1:10" x14ac:dyDescent="0.2">
      <c r="B29" t="s">
        <v>223</v>
      </c>
    </row>
    <row r="30" spans="1:10" x14ac:dyDescent="0.2">
      <c r="A30" t="s">
        <v>373</v>
      </c>
      <c r="B30">
        <f>108.49-25</f>
        <v>83.49</v>
      </c>
      <c r="C30">
        <v>88.38</v>
      </c>
      <c r="D30">
        <v>119.29</v>
      </c>
      <c r="E30">
        <v>1620</v>
      </c>
      <c r="F30">
        <v>53</v>
      </c>
      <c r="G30">
        <v>390</v>
      </c>
      <c r="H30">
        <v>390</v>
      </c>
      <c r="I30">
        <v>92.96</v>
      </c>
    </row>
    <row r="31" spans="1:10" x14ac:dyDescent="0.2">
      <c r="A31" t="s">
        <v>72</v>
      </c>
      <c r="B31">
        <f>117.5-25</f>
        <v>92.5</v>
      </c>
      <c r="C31">
        <v>89.6</v>
      </c>
      <c r="D31">
        <v>116.9</v>
      </c>
      <c r="E31">
        <v>1438</v>
      </c>
      <c r="F31">
        <v>53</v>
      </c>
      <c r="G31">
        <v>387.5</v>
      </c>
      <c r="H31">
        <v>390</v>
      </c>
      <c r="I31">
        <v>92.96</v>
      </c>
    </row>
    <row r="32" spans="1:10" x14ac:dyDescent="0.2">
      <c r="A32" t="s">
        <v>34</v>
      </c>
      <c r="B32">
        <f>123.93-25</f>
        <v>98.93</v>
      </c>
      <c r="C32">
        <f>92.04</f>
        <v>92.04</v>
      </c>
      <c r="D32">
        <f>116.06</f>
        <v>116.06</v>
      </c>
      <c r="E32">
        <f>1560</f>
        <v>1560</v>
      </c>
      <c r="F32">
        <f>49</f>
        <v>49</v>
      </c>
      <c r="G32">
        <f>394.94</f>
        <v>394.94</v>
      </c>
      <c r="H32">
        <f>390</f>
        <v>390</v>
      </c>
      <c r="I32">
        <v>92.96</v>
      </c>
    </row>
    <row r="33" spans="1:10" x14ac:dyDescent="0.2">
      <c r="A33" t="s">
        <v>35</v>
      </c>
      <c r="B33">
        <f>128.07-25</f>
        <v>103.07</v>
      </c>
      <c r="C33">
        <v>96.86</v>
      </c>
      <c r="D33">
        <v>119.87</v>
      </c>
      <c r="E33">
        <v>1680</v>
      </c>
      <c r="F33">
        <v>61.96</v>
      </c>
      <c r="G33">
        <v>442.37</v>
      </c>
      <c r="H33">
        <v>440.48</v>
      </c>
      <c r="I33">
        <v>92.96</v>
      </c>
    </row>
    <row r="34" spans="1:10" x14ac:dyDescent="0.2">
      <c r="A34" t="s">
        <v>328</v>
      </c>
      <c r="B34">
        <f>140.25-25</f>
        <v>115.25</v>
      </c>
      <c r="C34">
        <v>110.28</v>
      </c>
      <c r="D34">
        <v>132.4</v>
      </c>
      <c r="E34">
        <v>1722.59</v>
      </c>
      <c r="F34">
        <v>62.95</v>
      </c>
      <c r="G34">
        <v>460</v>
      </c>
      <c r="H34">
        <v>457.37</v>
      </c>
      <c r="I34">
        <v>92.96</v>
      </c>
    </row>
    <row r="35" spans="1:10" x14ac:dyDescent="0.2">
      <c r="A35" t="s">
        <v>37</v>
      </c>
      <c r="B35">
        <f>146.24-25</f>
        <v>121.24000000000001</v>
      </c>
      <c r="C35">
        <v>117.97</v>
      </c>
      <c r="D35">
        <v>151.58000000000001</v>
      </c>
      <c r="E35">
        <v>1790</v>
      </c>
      <c r="F35">
        <v>88.18</v>
      </c>
      <c r="G35">
        <v>467.04</v>
      </c>
      <c r="H35">
        <v>465</v>
      </c>
      <c r="I35">
        <v>92.96</v>
      </c>
    </row>
    <row r="36" spans="1:10" x14ac:dyDescent="0.2">
      <c r="A36" t="s">
        <v>329</v>
      </c>
      <c r="B36">
        <f>148.89-25</f>
        <v>123.88999999999999</v>
      </c>
      <c r="C36">
        <v>119.04</v>
      </c>
      <c r="D36">
        <v>157.82</v>
      </c>
      <c r="E36">
        <v>1758.41</v>
      </c>
      <c r="F36">
        <v>85.05</v>
      </c>
      <c r="G36">
        <v>410.6</v>
      </c>
      <c r="H36">
        <v>458.8</v>
      </c>
      <c r="I36">
        <v>98.89</v>
      </c>
    </row>
    <row r="37" spans="1:10" x14ac:dyDescent="0.2">
      <c r="A37" t="s">
        <v>95</v>
      </c>
      <c r="B37">
        <f>147.08-25</f>
        <v>122.08000000000001</v>
      </c>
      <c r="C37">
        <v>115.18</v>
      </c>
      <c r="D37">
        <v>152.55000000000001</v>
      </c>
      <c r="E37">
        <v>1780.95</v>
      </c>
      <c r="F37">
        <v>100.03</v>
      </c>
      <c r="G37">
        <v>429.78</v>
      </c>
      <c r="H37">
        <v>470</v>
      </c>
      <c r="I37">
        <v>98.89</v>
      </c>
    </row>
    <row r="38" spans="1:10" x14ac:dyDescent="0.2">
      <c r="A38" t="s">
        <v>40</v>
      </c>
      <c r="B38">
        <f>130-25</f>
        <v>105</v>
      </c>
      <c r="C38">
        <v>106.71</v>
      </c>
      <c r="D38">
        <v>138.71</v>
      </c>
      <c r="E38">
        <v>1799.95</v>
      </c>
      <c r="F38">
        <v>107</v>
      </c>
      <c r="G38">
        <v>430</v>
      </c>
      <c r="H38">
        <v>434.27</v>
      </c>
      <c r="I38">
        <v>98.89</v>
      </c>
    </row>
    <row r="39" spans="1:10" x14ac:dyDescent="0.2">
      <c r="A39" t="s">
        <v>41</v>
      </c>
      <c r="B39">
        <f>142-25</f>
        <v>117</v>
      </c>
      <c r="C39">
        <v>110.55</v>
      </c>
      <c r="D39">
        <v>154.4</v>
      </c>
      <c r="E39">
        <v>1640</v>
      </c>
      <c r="F39">
        <v>106</v>
      </c>
      <c r="G39">
        <v>420</v>
      </c>
      <c r="H39">
        <v>470</v>
      </c>
      <c r="I39">
        <v>98.89</v>
      </c>
    </row>
    <row r="40" spans="1:10" x14ac:dyDescent="0.2">
      <c r="A40" t="s">
        <v>42</v>
      </c>
      <c r="B40">
        <f>142.89-25</f>
        <v>117.88999999999999</v>
      </c>
      <c r="C40">
        <v>130.94</v>
      </c>
      <c r="D40">
        <v>169.18</v>
      </c>
      <c r="E40">
        <v>1659.78</v>
      </c>
      <c r="F40">
        <v>116.11</v>
      </c>
      <c r="G40">
        <v>450</v>
      </c>
      <c r="H40">
        <v>480</v>
      </c>
      <c r="I40">
        <v>98.89</v>
      </c>
    </row>
    <row r="41" spans="1:10" x14ac:dyDescent="0.2">
      <c r="A41" t="s">
        <v>43</v>
      </c>
      <c r="B41">
        <f>142.51-25</f>
        <v>117.50999999999999</v>
      </c>
      <c r="C41">
        <v>137.54</v>
      </c>
      <c r="D41">
        <v>165.88</v>
      </c>
      <c r="E41">
        <v>1638.7</v>
      </c>
      <c r="F41">
        <v>120.9</v>
      </c>
      <c r="G41">
        <v>445.09</v>
      </c>
      <c r="H41">
        <v>476.66</v>
      </c>
      <c r="I41">
        <v>98.89</v>
      </c>
    </row>
    <row r="43" spans="1:10" x14ac:dyDescent="0.2">
      <c r="A43" t="s">
        <v>24</v>
      </c>
      <c r="C43" t="s">
        <v>6</v>
      </c>
      <c r="G43" t="s">
        <v>6</v>
      </c>
      <c r="H43" t="s">
        <v>330</v>
      </c>
      <c r="I43" t="s">
        <v>6</v>
      </c>
    </row>
    <row r="44" spans="1:10" x14ac:dyDescent="0.2">
      <c r="B44" t="s">
        <v>14</v>
      </c>
      <c r="C44" t="s">
        <v>15</v>
      </c>
      <c r="D44" t="s">
        <v>16</v>
      </c>
      <c r="E44" t="s">
        <v>18</v>
      </c>
      <c r="F44" t="s">
        <v>19</v>
      </c>
      <c r="G44" t="s">
        <v>20</v>
      </c>
      <c r="H44" t="s">
        <v>331</v>
      </c>
      <c r="I44" t="s">
        <v>333</v>
      </c>
      <c r="J44" t="s">
        <v>84</v>
      </c>
    </row>
    <row r="46" spans="1:10" x14ac:dyDescent="0.2">
      <c r="A46" t="s">
        <v>332</v>
      </c>
      <c r="B46">
        <f t="shared" ref="B46:H57" si="4">+B11*B30</f>
        <v>16657.924800000001</v>
      </c>
      <c r="C46">
        <f t="shared" si="4"/>
        <v>53165.563470000001</v>
      </c>
      <c r="D46">
        <f t="shared" si="4"/>
        <v>20046.744145000001</v>
      </c>
      <c r="E46">
        <f t="shared" si="4"/>
        <v>27050.760000000002</v>
      </c>
      <c r="F46">
        <f t="shared" si="4"/>
        <v>1021.151</v>
      </c>
      <c r="G46">
        <f t="shared" si="4"/>
        <v>5009.55</v>
      </c>
      <c r="H46">
        <f t="shared" si="4"/>
        <v>8766.42</v>
      </c>
      <c r="I46">
        <f t="shared" ref="I46:I57" si="5">+I11*-I30</f>
        <v>-2785.9647199999999</v>
      </c>
      <c r="J46">
        <f>SUM(B46:I46)</f>
        <v>128932.14869500003</v>
      </c>
    </row>
    <row r="47" spans="1:10" x14ac:dyDescent="0.2">
      <c r="A47" t="s">
        <v>72</v>
      </c>
      <c r="B47">
        <f t="shared" si="4"/>
        <v>19515.881249999999</v>
      </c>
      <c r="C47">
        <f t="shared" si="4"/>
        <v>56996.128000000004</v>
      </c>
      <c r="D47">
        <f t="shared" si="4"/>
        <v>20773.772950000002</v>
      </c>
      <c r="E47">
        <f t="shared" si="4"/>
        <v>25391.484999999997</v>
      </c>
      <c r="F47">
        <f t="shared" si="4"/>
        <v>1079.8220000000001</v>
      </c>
      <c r="G47">
        <f t="shared" si="4"/>
        <v>5263.4124999999995</v>
      </c>
      <c r="H47">
        <f t="shared" si="4"/>
        <v>9270.1049999999996</v>
      </c>
      <c r="I47">
        <f t="shared" si="5"/>
        <v>-2946.1812799999998</v>
      </c>
      <c r="J47">
        <f t="shared" ref="J47:J57" si="6">SUM(B47:I47)</f>
        <v>135344.42542000001</v>
      </c>
    </row>
    <row r="48" spans="1:10" x14ac:dyDescent="0.2">
      <c r="A48" t="s">
        <v>34</v>
      </c>
      <c r="B48">
        <f t="shared" si="4"/>
        <v>21770.041150000001</v>
      </c>
      <c r="C48">
        <f t="shared" si="4"/>
        <v>61065.778800000007</v>
      </c>
      <c r="D48">
        <f t="shared" si="4"/>
        <v>21511.372820000001</v>
      </c>
      <c r="E48">
        <f t="shared" si="4"/>
        <v>28728.959999999999</v>
      </c>
      <c r="F48">
        <f t="shared" si="4"/>
        <v>1041.25</v>
      </c>
      <c r="G48">
        <f t="shared" si="4"/>
        <v>5595.1149800000003</v>
      </c>
      <c r="H48">
        <f t="shared" si="4"/>
        <v>9668.880000000001</v>
      </c>
      <c r="I48">
        <f t="shared" si="5"/>
        <v>-3072.7927999999997</v>
      </c>
      <c r="J48">
        <f t="shared" si="6"/>
        <v>146308.60495000004</v>
      </c>
    </row>
    <row r="49" spans="1:10" x14ac:dyDescent="0.2">
      <c r="A49" t="s">
        <v>35</v>
      </c>
      <c r="B49">
        <f t="shared" si="4"/>
        <v>23020.684499999999</v>
      </c>
      <c r="C49">
        <f t="shared" si="4"/>
        <v>65225.524000000005</v>
      </c>
      <c r="D49">
        <f t="shared" si="4"/>
        <v>22549.9444</v>
      </c>
      <c r="E49">
        <f t="shared" si="4"/>
        <v>31399.200000000001</v>
      </c>
      <c r="F49">
        <f t="shared" si="4"/>
        <v>1335.8576</v>
      </c>
      <c r="G49">
        <f t="shared" si="4"/>
        <v>6356.8569000000007</v>
      </c>
      <c r="H49">
        <f t="shared" si="4"/>
        <v>11082.476799999999</v>
      </c>
      <c r="I49">
        <f t="shared" si="5"/>
        <v>-3118.8079999999995</v>
      </c>
      <c r="J49">
        <f t="shared" si="6"/>
        <v>157851.73620000004</v>
      </c>
    </row>
    <row r="50" spans="1:10" x14ac:dyDescent="0.2">
      <c r="A50" t="s">
        <v>328</v>
      </c>
      <c r="B50">
        <f t="shared" si="4"/>
        <v>28655.932875000002</v>
      </c>
      <c r="C50">
        <f t="shared" si="4"/>
        <v>82671.843120000005</v>
      </c>
      <c r="D50">
        <f t="shared" si="4"/>
        <v>27727.7376</v>
      </c>
      <c r="E50">
        <f t="shared" si="4"/>
        <v>35853.126964999996</v>
      </c>
      <c r="F50">
        <f t="shared" si="4"/>
        <v>1511.335075</v>
      </c>
      <c r="G50">
        <f t="shared" si="4"/>
        <v>7362.5300000000007</v>
      </c>
      <c r="H50">
        <f t="shared" si="4"/>
        <v>12810.9337</v>
      </c>
      <c r="I50">
        <f t="shared" si="5"/>
        <v>-3472.3348799999994</v>
      </c>
      <c r="J50">
        <f t="shared" si="6"/>
        <v>193121.10445499999</v>
      </c>
    </row>
    <row r="51" spans="1:10" x14ac:dyDescent="0.2">
      <c r="A51" t="s">
        <v>37</v>
      </c>
      <c r="B51">
        <f t="shared" si="4"/>
        <v>23809.111200000003</v>
      </c>
      <c r="C51">
        <f t="shared" si="4"/>
        <v>69847.67760000001</v>
      </c>
      <c r="D51">
        <f t="shared" si="4"/>
        <v>25072.847800000003</v>
      </c>
      <c r="E51">
        <f t="shared" si="4"/>
        <v>29427.600000000002</v>
      </c>
      <c r="F51">
        <f t="shared" si="4"/>
        <v>1671.8928000000003</v>
      </c>
      <c r="G51">
        <f t="shared" si="4"/>
        <v>5903.3856000000005</v>
      </c>
      <c r="H51">
        <f t="shared" si="4"/>
        <v>10290.449999999999</v>
      </c>
      <c r="I51">
        <f t="shared" si="5"/>
        <v>-2742.3199999999997</v>
      </c>
      <c r="J51">
        <f t="shared" si="6"/>
        <v>163280.64500000002</v>
      </c>
    </row>
    <row r="52" spans="1:10" x14ac:dyDescent="0.2">
      <c r="A52" t="s">
        <v>329</v>
      </c>
      <c r="B52">
        <f t="shared" si="4"/>
        <v>26396.003399999998</v>
      </c>
      <c r="C52">
        <f t="shared" si="4"/>
        <v>76468.915200000003</v>
      </c>
      <c r="D52">
        <f t="shared" si="4"/>
        <v>28322.377199999999</v>
      </c>
      <c r="E52">
        <f t="shared" si="4"/>
        <v>31352.450300000004</v>
      </c>
      <c r="F52">
        <f t="shared" si="4"/>
        <v>1750.3289999999997</v>
      </c>
      <c r="G52">
        <f t="shared" si="4"/>
        <v>5633.4320000000007</v>
      </c>
      <c r="H52">
        <f t="shared" si="4"/>
        <v>11011.2</v>
      </c>
      <c r="I52">
        <f t="shared" si="5"/>
        <v>-3164.48</v>
      </c>
      <c r="J52">
        <f t="shared" si="6"/>
        <v>177770.22709999999</v>
      </c>
    </row>
    <row r="53" spans="1:10" x14ac:dyDescent="0.2">
      <c r="A53" t="s">
        <v>95</v>
      </c>
      <c r="B53">
        <f t="shared" si="4"/>
        <v>26297.252800000002</v>
      </c>
      <c r="C53">
        <f t="shared" si="4"/>
        <v>74804.802800000005</v>
      </c>
      <c r="D53">
        <f t="shared" si="4"/>
        <v>27677.146500000003</v>
      </c>
      <c r="E53">
        <f t="shared" si="4"/>
        <v>32110.528500000004</v>
      </c>
      <c r="F53">
        <f t="shared" si="4"/>
        <v>2080.6240000000003</v>
      </c>
      <c r="G53">
        <f t="shared" si="4"/>
        <v>5961.0485999999992</v>
      </c>
      <c r="H53">
        <f t="shared" si="4"/>
        <v>11406.9</v>
      </c>
      <c r="I53">
        <f t="shared" si="5"/>
        <v>-3200.0803999999998</v>
      </c>
      <c r="J53">
        <f t="shared" si="6"/>
        <v>177138.22280000002</v>
      </c>
    </row>
    <row r="54" spans="1:10" x14ac:dyDescent="0.2">
      <c r="A54" t="s">
        <v>40</v>
      </c>
      <c r="B54">
        <f t="shared" si="4"/>
        <v>23317.35</v>
      </c>
      <c r="C54">
        <f t="shared" si="4"/>
        <v>71446.613399999987</v>
      </c>
      <c r="D54">
        <f t="shared" si="4"/>
        <v>25944.3184</v>
      </c>
      <c r="E54">
        <f t="shared" si="4"/>
        <v>33461.070500000002</v>
      </c>
      <c r="F54">
        <f t="shared" si="4"/>
        <v>2294.08</v>
      </c>
      <c r="G54">
        <f t="shared" si="4"/>
        <v>6149</v>
      </c>
      <c r="H54">
        <f t="shared" si="4"/>
        <v>10865.435399999998</v>
      </c>
      <c r="I54">
        <f t="shared" si="5"/>
        <v>-3298.9704000000002</v>
      </c>
      <c r="J54">
        <f t="shared" si="6"/>
        <v>170178.89729999995</v>
      </c>
    </row>
    <row r="55" spans="1:10" x14ac:dyDescent="0.2">
      <c r="A55" t="s">
        <v>41</v>
      </c>
      <c r="B55">
        <f t="shared" si="4"/>
        <v>24069.24</v>
      </c>
      <c r="C55">
        <f t="shared" si="4"/>
        <v>68569.743000000002</v>
      </c>
      <c r="D55">
        <f t="shared" si="4"/>
        <v>26754.432000000001</v>
      </c>
      <c r="E55">
        <f t="shared" si="4"/>
        <v>28240.799999999999</v>
      </c>
      <c r="F55">
        <f t="shared" si="4"/>
        <v>2106.2200000000003</v>
      </c>
      <c r="G55">
        <f t="shared" si="4"/>
        <v>5560.8</v>
      </c>
      <c r="H55">
        <f t="shared" si="4"/>
        <v>10894.6</v>
      </c>
      <c r="I55">
        <f t="shared" si="5"/>
        <v>-3055.701</v>
      </c>
      <c r="J55">
        <f t="shared" si="6"/>
        <v>163140.13399999999</v>
      </c>
    </row>
    <row r="56" spans="1:10" x14ac:dyDescent="0.2">
      <c r="A56" t="s">
        <v>42</v>
      </c>
      <c r="B56">
        <f t="shared" si="4"/>
        <v>10011.218799999999</v>
      </c>
      <c r="C56">
        <f t="shared" si="4"/>
        <v>114492.6266</v>
      </c>
      <c r="D56">
        <f t="shared" si="4"/>
        <v>14446.280200000001</v>
      </c>
      <c r="E56">
        <f t="shared" si="4"/>
        <v>29876.04</v>
      </c>
      <c r="F56">
        <f t="shared" si="4"/>
        <v>2411.6046999999999</v>
      </c>
      <c r="G56">
        <f t="shared" si="4"/>
        <v>6232.5</v>
      </c>
      <c r="H56">
        <f t="shared" si="4"/>
        <v>11630.4</v>
      </c>
      <c r="I56">
        <f t="shared" si="5"/>
        <v>-3195.1359000000002</v>
      </c>
      <c r="J56">
        <f t="shared" si="6"/>
        <v>185905.5344</v>
      </c>
    </row>
    <row r="57" spans="1:10" x14ac:dyDescent="0.2">
      <c r="A57" t="s">
        <v>43</v>
      </c>
      <c r="B57">
        <f t="shared" si="4"/>
        <v>10144.638299999999</v>
      </c>
      <c r="C57">
        <f t="shared" si="4"/>
        <v>122251.0536</v>
      </c>
      <c r="D57">
        <f t="shared" si="4"/>
        <v>14398.384</v>
      </c>
      <c r="E57">
        <f t="shared" si="4"/>
        <v>29988.210000000003</v>
      </c>
      <c r="F57">
        <f t="shared" si="4"/>
        <v>2552.1990000000001</v>
      </c>
      <c r="G57">
        <f t="shared" si="4"/>
        <v>6266.8671999999997</v>
      </c>
      <c r="H57">
        <f t="shared" si="4"/>
        <v>11740.1358</v>
      </c>
      <c r="I57">
        <f t="shared" si="5"/>
        <v>-3247.5476000000003</v>
      </c>
      <c r="J57">
        <f t="shared" si="6"/>
        <v>194093.94029999999</v>
      </c>
    </row>
    <row r="58" spans="1:10" x14ac:dyDescent="0.2">
      <c r="A58" t="s">
        <v>88</v>
      </c>
      <c r="B58">
        <f>SUM(B46:B57)</f>
        <v>253665.27907499997</v>
      </c>
      <c r="C58">
        <f t="shared" ref="C58:H58" si="7">SUM(C46:C57)</f>
        <v>917006.26958999992</v>
      </c>
      <c r="D58">
        <f t="shared" si="7"/>
        <v>275225.35801500001</v>
      </c>
      <c r="E58">
        <f t="shared" si="7"/>
        <v>362880.23126500001</v>
      </c>
      <c r="F58">
        <f t="shared" si="7"/>
        <v>20856.365174999999</v>
      </c>
      <c r="G58">
        <f t="shared" si="7"/>
        <v>71294.497780000005</v>
      </c>
      <c r="H58">
        <f t="shared" si="7"/>
        <v>129437.93670000001</v>
      </c>
      <c r="I58">
        <f>SUM(I46:I57)</f>
        <v>-37300.316979999996</v>
      </c>
      <c r="J58">
        <f>SUM(J46:J57)</f>
        <v>1993065.6206199999</v>
      </c>
    </row>
    <row r="60" spans="1:10" x14ac:dyDescent="0.2">
      <c r="A60" t="s">
        <v>89</v>
      </c>
    </row>
    <row r="61" spans="1:10" x14ac:dyDescent="0.2">
      <c r="J61" t="s">
        <v>6</v>
      </c>
    </row>
    <row r="62" spans="1:10" x14ac:dyDescent="0.2">
      <c r="J62" t="s">
        <v>6</v>
      </c>
    </row>
    <row r="63" spans="1:10" x14ac:dyDescent="0.2">
      <c r="F63" t="s">
        <v>0</v>
      </c>
    </row>
    <row r="64" spans="1:10" x14ac:dyDescent="0.2">
      <c r="F64" t="s">
        <v>1</v>
      </c>
    </row>
    <row r="65" spans="1:11" x14ac:dyDescent="0.2">
      <c r="F65" t="s">
        <v>378</v>
      </c>
    </row>
    <row r="66" spans="1:11" x14ac:dyDescent="0.2">
      <c r="F66" t="str">
        <f>E5</f>
        <v>After Eighth Year</v>
      </c>
    </row>
    <row r="68" spans="1:11" x14ac:dyDescent="0.2">
      <c r="B68" t="s">
        <v>81</v>
      </c>
    </row>
    <row r="69" spans="1:11" x14ac:dyDescent="0.2">
      <c r="G69" t="s">
        <v>6</v>
      </c>
      <c r="H69" t="s">
        <v>330</v>
      </c>
      <c r="I69" t="s">
        <v>6</v>
      </c>
    </row>
    <row r="70" spans="1:11" x14ac:dyDescent="0.2">
      <c r="A70" t="s">
        <v>9</v>
      </c>
      <c r="B70" t="s">
        <v>14</v>
      </c>
      <c r="C70" t="s">
        <v>15</v>
      </c>
      <c r="D70" t="s">
        <v>16</v>
      </c>
      <c r="E70" t="s">
        <v>18</v>
      </c>
      <c r="F70" t="s">
        <v>19</v>
      </c>
      <c r="G70" t="s">
        <v>20</v>
      </c>
      <c r="H70" t="s">
        <v>331</v>
      </c>
      <c r="I70" t="s">
        <v>17</v>
      </c>
      <c r="J70" t="s">
        <v>333</v>
      </c>
      <c r="K70" t="s">
        <v>84</v>
      </c>
    </row>
    <row r="72" spans="1:11" x14ac:dyDescent="0.2">
      <c r="A72" t="s">
        <v>373</v>
      </c>
      <c r="B72">
        <f>2.76+1.27</f>
        <v>4.0299999999999994</v>
      </c>
      <c r="C72">
        <f>10.96+25.05</f>
        <v>36.010000000000005</v>
      </c>
      <c r="D72">
        <f>10.68+4.4</f>
        <v>15.08</v>
      </c>
      <c r="E72">
        <f>0.51+0.71-F72</f>
        <v>0.48799999999999999</v>
      </c>
      <c r="F72">
        <f>1.22*0.6</f>
        <v>0.73199999999999998</v>
      </c>
      <c r="G72">
        <f>0.53+0.06-H72</f>
        <v>0.29000000000000009</v>
      </c>
      <c r="H72">
        <v>0.3</v>
      </c>
      <c r="I72">
        <f>7.67+15.3</f>
        <v>22.97</v>
      </c>
      <c r="J72">
        <f>3.4+3.11</f>
        <v>6.51</v>
      </c>
      <c r="K72">
        <f>SUM(B72:J72)</f>
        <v>86.410000000000011</v>
      </c>
    </row>
    <row r="73" spans="1:11" x14ac:dyDescent="0.2">
      <c r="A73" t="s">
        <v>72</v>
      </c>
      <c r="B73">
        <f>2.89+1.34</f>
        <v>4.2300000000000004</v>
      </c>
      <c r="C73">
        <f>26.2+11.48</f>
        <v>37.68</v>
      </c>
      <c r="D73">
        <f>11.18+4.6</f>
        <v>15.78</v>
      </c>
      <c r="E73">
        <f>0.54+0.74-F73</f>
        <v>0.51200000000000001</v>
      </c>
      <c r="F73">
        <f>1.28*0.6</f>
        <v>0.76800000000000002</v>
      </c>
      <c r="G73">
        <v>0.31</v>
      </c>
      <c r="H73">
        <v>0.31</v>
      </c>
      <c r="I73">
        <f>16.03+8.03</f>
        <v>24.060000000000002</v>
      </c>
      <c r="J73">
        <f>3.4+3.42</f>
        <v>6.82</v>
      </c>
      <c r="K73">
        <f t="shared" ref="K73:K83" si="8">SUM(B73:J73)</f>
        <v>90.47</v>
      </c>
    </row>
    <row r="74" spans="1:11" x14ac:dyDescent="0.2">
      <c r="A74" t="s">
        <v>34</v>
      </c>
      <c r="B74">
        <f>2.9+1.14</f>
        <v>4.04</v>
      </c>
      <c r="C74">
        <f>11.5+26.2</f>
        <v>37.700000000000003</v>
      </c>
      <c r="D74">
        <f>11.1+4.66</f>
        <v>15.76</v>
      </c>
      <c r="E74">
        <f>0.5+0.7-F74</f>
        <v>0.48</v>
      </c>
      <c r="F74">
        <f>1.2*0.6</f>
        <v>0.72</v>
      </c>
      <c r="G74">
        <f>0.5+0.06-H74</f>
        <v>0.28000000000000003</v>
      </c>
      <c r="H74">
        <v>0.28000000000000003</v>
      </c>
      <c r="I74">
        <f>8+15.13</f>
        <v>23.130000000000003</v>
      </c>
      <c r="J74">
        <f>3.4+3.6</f>
        <v>7</v>
      </c>
      <c r="K74">
        <f t="shared" si="8"/>
        <v>89.39</v>
      </c>
    </row>
    <row r="75" spans="1:11" x14ac:dyDescent="0.2">
      <c r="A75" t="s">
        <v>35</v>
      </c>
      <c r="B75">
        <f>2.76+1.34</f>
        <v>4.0999999999999996</v>
      </c>
      <c r="C75">
        <f>10.96+27.34</f>
        <v>38.299999999999997</v>
      </c>
      <c r="D75">
        <f>10.67+5.13</f>
        <v>15.8</v>
      </c>
      <c r="E75">
        <f>0.51+0.71-F75</f>
        <v>0.48799999999999999</v>
      </c>
      <c r="F75">
        <f>1.22*0.6</f>
        <v>0.73199999999999998</v>
      </c>
      <c r="G75">
        <f>0.53+0.06-H75</f>
        <v>0.3000000000000001</v>
      </c>
      <c r="H75">
        <v>0.28999999999999998</v>
      </c>
      <c r="I75">
        <f>7.67+16.31</f>
        <v>23.979999999999997</v>
      </c>
      <c r="J75">
        <f>3.6+3.6</f>
        <v>7.2</v>
      </c>
      <c r="K75">
        <f t="shared" si="8"/>
        <v>91.19</v>
      </c>
    </row>
    <row r="76" spans="1:11" x14ac:dyDescent="0.2">
      <c r="A76" t="s">
        <v>374</v>
      </c>
      <c r="B76">
        <f>3.02+1.47</f>
        <v>4.49</v>
      </c>
      <c r="C76">
        <f>12+29.95</f>
        <v>41.95</v>
      </c>
      <c r="D76">
        <f>11.7+5.6</f>
        <v>17.299999999999997</v>
      </c>
      <c r="E76">
        <f>0.56+0.78-F76</f>
        <v>0.53600000000000003</v>
      </c>
      <c r="F76">
        <f>1.34*0.6</f>
        <v>0.80400000000000005</v>
      </c>
      <c r="G76">
        <f>0.57+0.08-H76</f>
        <v>0.3199999999999999</v>
      </c>
      <c r="H76">
        <v>0.33</v>
      </c>
      <c r="I76">
        <f>8.4+17.86</f>
        <v>26.259999999999998</v>
      </c>
      <c r="J76">
        <f>3.7+3.65</f>
        <v>7.35</v>
      </c>
      <c r="K76">
        <f t="shared" si="8"/>
        <v>99.339999999999975</v>
      </c>
    </row>
    <row r="77" spans="1:11" x14ac:dyDescent="0.2">
      <c r="A77" t="s">
        <v>37</v>
      </c>
      <c r="B77">
        <v>4.29</v>
      </c>
      <c r="C77">
        <v>40</v>
      </c>
      <c r="D77">
        <v>16.47</v>
      </c>
      <c r="E77">
        <f>1.27-F77</f>
        <v>0.50800000000000001</v>
      </c>
      <c r="F77">
        <f>1.27*0.6</f>
        <v>0.76200000000000001</v>
      </c>
      <c r="G77">
        <f>0.62-H77</f>
        <v>0.31</v>
      </c>
      <c r="H77">
        <v>0.31</v>
      </c>
      <c r="I77">
        <v>24.95</v>
      </c>
      <c r="J77">
        <v>6.39</v>
      </c>
      <c r="K77">
        <f t="shared" si="8"/>
        <v>93.990000000000009</v>
      </c>
    </row>
    <row r="78" spans="1:11" x14ac:dyDescent="0.2">
      <c r="A78" t="s">
        <v>329</v>
      </c>
      <c r="B78">
        <v>4.7</v>
      </c>
      <c r="C78">
        <v>43.95</v>
      </c>
      <c r="D78">
        <v>18.12</v>
      </c>
      <c r="E78">
        <f>1.4-F78</f>
        <v>0.55999999999999994</v>
      </c>
      <c r="F78">
        <f>1.4*0.6</f>
        <v>0.84</v>
      </c>
      <c r="G78">
        <f>0.68-H78</f>
        <v>0.34</v>
      </c>
      <c r="H78">
        <v>0.34</v>
      </c>
      <c r="I78">
        <v>27.51</v>
      </c>
      <c r="J78">
        <v>7</v>
      </c>
      <c r="K78">
        <f t="shared" si="8"/>
        <v>103.36000000000003</v>
      </c>
    </row>
    <row r="79" spans="1:11" x14ac:dyDescent="0.2">
      <c r="A79" t="s">
        <v>95</v>
      </c>
      <c r="B79">
        <v>4.49</v>
      </c>
      <c r="C79">
        <v>42</v>
      </c>
      <c r="D79">
        <v>17.3</v>
      </c>
      <c r="E79">
        <f>1.35-F79</f>
        <v>0.54</v>
      </c>
      <c r="F79">
        <f>1.35*0.6</f>
        <v>0.81</v>
      </c>
      <c r="G79">
        <f>0.65-H79</f>
        <v>0.32</v>
      </c>
      <c r="H79">
        <v>0.33</v>
      </c>
      <c r="I79">
        <v>26.26</v>
      </c>
      <c r="J79">
        <v>6.5</v>
      </c>
      <c r="K79">
        <f t="shared" si="8"/>
        <v>98.550000000000011</v>
      </c>
    </row>
    <row r="80" spans="1:11" x14ac:dyDescent="0.2">
      <c r="A80" t="s">
        <v>40</v>
      </c>
      <c r="B80">
        <v>4.92</v>
      </c>
      <c r="C80">
        <v>45.94</v>
      </c>
      <c r="D80">
        <v>18.95</v>
      </c>
      <c r="E80">
        <f>1.46-F80</f>
        <v>0.58399999999999996</v>
      </c>
      <c r="F80">
        <f>1.46*0.6</f>
        <v>0.876</v>
      </c>
      <c r="G80">
        <f>0.71-H80</f>
        <v>0.35</v>
      </c>
      <c r="H80">
        <v>0.36</v>
      </c>
      <c r="I80">
        <v>28.77</v>
      </c>
      <c r="J80">
        <v>7.25</v>
      </c>
      <c r="K80">
        <f t="shared" si="8"/>
        <v>108</v>
      </c>
    </row>
    <row r="81" spans="1:11" x14ac:dyDescent="0.2">
      <c r="A81" t="s">
        <v>41</v>
      </c>
      <c r="B81">
        <v>4.5199999999999996</v>
      </c>
      <c r="C81">
        <v>42.65</v>
      </c>
      <c r="D81">
        <v>17.7</v>
      </c>
      <c r="E81">
        <f>1.37-F81</f>
        <v>0.54800000000000004</v>
      </c>
      <c r="F81">
        <f>1.37*0.6</f>
        <v>0.82200000000000006</v>
      </c>
      <c r="G81">
        <f>0.65-H81</f>
        <v>0.32</v>
      </c>
      <c r="H81">
        <v>0.33</v>
      </c>
      <c r="I81">
        <v>28.29</v>
      </c>
      <c r="J81">
        <v>7</v>
      </c>
      <c r="K81">
        <f t="shared" si="8"/>
        <v>102.18</v>
      </c>
    </row>
    <row r="82" spans="1:11" x14ac:dyDescent="0.2">
      <c r="A82" t="s">
        <v>42</v>
      </c>
      <c r="B82">
        <v>3.23</v>
      </c>
      <c r="C82">
        <v>53.18</v>
      </c>
      <c r="D82">
        <v>11.55</v>
      </c>
      <c r="E82">
        <f>1.44-F82</f>
        <v>0.57599999999999996</v>
      </c>
      <c r="F82">
        <f>1.44*0.6</f>
        <v>0.86399999999999999</v>
      </c>
      <c r="G82">
        <f>0.68-H82</f>
        <v>0.34</v>
      </c>
      <c r="H82">
        <v>0.34</v>
      </c>
      <c r="I82">
        <v>29.64</v>
      </c>
      <c r="J82">
        <v>7.6</v>
      </c>
      <c r="K82">
        <f t="shared" si="8"/>
        <v>107.32</v>
      </c>
    </row>
    <row r="83" spans="1:11" x14ac:dyDescent="0.2">
      <c r="A83" t="s">
        <v>43</v>
      </c>
      <c r="B83">
        <v>3.38</v>
      </c>
      <c r="C83">
        <v>55.6</v>
      </c>
      <c r="D83">
        <v>12.07</v>
      </c>
      <c r="E83">
        <f>1.49-F83</f>
        <v>0.59599999999999997</v>
      </c>
      <c r="F83">
        <f>1.49*0.6</f>
        <v>0.89400000000000002</v>
      </c>
      <c r="G83">
        <f>0.71-H83</f>
        <v>0.35</v>
      </c>
      <c r="H83">
        <v>0.36</v>
      </c>
      <c r="I83">
        <v>30.99</v>
      </c>
      <c r="J83">
        <v>8</v>
      </c>
      <c r="K83">
        <f t="shared" si="8"/>
        <v>112.24000000000001</v>
      </c>
    </row>
    <row r="84" spans="1:11" x14ac:dyDescent="0.2">
      <c r="A84" t="s">
        <v>22</v>
      </c>
      <c r="B84">
        <f>SUM(B72:B83)</f>
        <v>50.42</v>
      </c>
      <c r="C84">
        <f t="shared" ref="C84:K84" si="9">SUM(C72:C83)</f>
        <v>514.95999999999992</v>
      </c>
      <c r="D84">
        <f t="shared" si="9"/>
        <v>191.88</v>
      </c>
      <c r="E84">
        <f t="shared" si="9"/>
        <v>6.4159999999999995</v>
      </c>
      <c r="F84">
        <f t="shared" si="9"/>
        <v>9.6240000000000023</v>
      </c>
      <c r="G84">
        <f t="shared" si="9"/>
        <v>3.8299999999999996</v>
      </c>
      <c r="H84">
        <f t="shared" si="9"/>
        <v>3.88</v>
      </c>
      <c r="I84">
        <f t="shared" si="9"/>
        <v>316.80999999999995</v>
      </c>
      <c r="J84">
        <f t="shared" si="9"/>
        <v>84.61999999999999</v>
      </c>
      <c r="K84">
        <f t="shared" si="9"/>
        <v>1182.44</v>
      </c>
    </row>
    <row r="86" spans="1:11" x14ac:dyDescent="0.2">
      <c r="A86" t="s">
        <v>117</v>
      </c>
      <c r="B86">
        <f>B84/$K$84</f>
        <v>4.2640641385609419E-2</v>
      </c>
      <c r="C86">
        <f t="shared" ref="C86:J86" si="10">C84/$K$84</f>
        <v>0.43550624133148397</v>
      </c>
      <c r="D86">
        <f t="shared" si="10"/>
        <v>0.16227461858529818</v>
      </c>
      <c r="E86">
        <f t="shared" si="10"/>
        <v>5.4260681303068227E-3</v>
      </c>
      <c r="F86">
        <f t="shared" si="10"/>
        <v>8.139102195460237E-3</v>
      </c>
      <c r="G86">
        <f t="shared" si="10"/>
        <v>3.2390649842698144E-3</v>
      </c>
      <c r="H86">
        <f t="shared" si="10"/>
        <v>3.2813504279286896E-3</v>
      </c>
      <c r="I86">
        <f t="shared" si="10"/>
        <v>0.26792902811136288</v>
      </c>
      <c r="J86">
        <f t="shared" si="10"/>
        <v>7.1563884848279816E-2</v>
      </c>
      <c r="K86">
        <f>SUM(B86:J86)</f>
        <v>0.99999999999999967</v>
      </c>
    </row>
    <row r="89" spans="1:11" x14ac:dyDescent="0.2">
      <c r="A89" t="s">
        <v>385</v>
      </c>
      <c r="B89">
        <v>0.75</v>
      </c>
      <c r="C89">
        <v>0.75</v>
      </c>
      <c r="D89">
        <v>0.75</v>
      </c>
      <c r="E89">
        <v>0.75</v>
      </c>
      <c r="F89">
        <v>0.75</v>
      </c>
      <c r="G89">
        <v>0.75</v>
      </c>
      <c r="H89">
        <v>0.75</v>
      </c>
      <c r="I89">
        <v>1</v>
      </c>
      <c r="J89">
        <v>1</v>
      </c>
    </row>
    <row r="91" spans="1:11" x14ac:dyDescent="0.2">
      <c r="A91" t="s">
        <v>373</v>
      </c>
      <c r="B91">
        <f t="shared" ref="B91:B100" si="11">B30*$B$89</f>
        <v>62.617499999999993</v>
      </c>
      <c r="C91">
        <f t="shared" ref="C91:H91" si="12">C30*$B$89</f>
        <v>66.284999999999997</v>
      </c>
      <c r="D91">
        <f t="shared" si="12"/>
        <v>89.467500000000001</v>
      </c>
      <c r="E91">
        <f t="shared" si="12"/>
        <v>1215</v>
      </c>
      <c r="F91">
        <f t="shared" si="12"/>
        <v>39.75</v>
      </c>
      <c r="G91">
        <f t="shared" si="12"/>
        <v>292.5</v>
      </c>
      <c r="H91">
        <f t="shared" si="12"/>
        <v>292.5</v>
      </c>
      <c r="I91">
        <v>-21</v>
      </c>
      <c r="J91">
        <v>92.96</v>
      </c>
    </row>
    <row r="92" spans="1:11" x14ac:dyDescent="0.2">
      <c r="A92" t="s">
        <v>72</v>
      </c>
      <c r="B92">
        <f t="shared" si="11"/>
        <v>69.375</v>
      </c>
      <c r="C92">
        <f t="shared" ref="C92:H100" si="13">C31*$B$89</f>
        <v>67.199999999999989</v>
      </c>
      <c r="D92">
        <f t="shared" si="13"/>
        <v>87.675000000000011</v>
      </c>
      <c r="E92">
        <f t="shared" si="13"/>
        <v>1078.5</v>
      </c>
      <c r="F92">
        <f t="shared" si="13"/>
        <v>39.75</v>
      </c>
      <c r="G92">
        <f t="shared" si="13"/>
        <v>290.625</v>
      </c>
      <c r="H92">
        <f t="shared" si="13"/>
        <v>292.5</v>
      </c>
      <c r="I92">
        <v>-21</v>
      </c>
      <c r="J92">
        <v>92.96</v>
      </c>
    </row>
    <row r="93" spans="1:11" x14ac:dyDescent="0.2">
      <c r="A93" t="s">
        <v>34</v>
      </c>
      <c r="B93">
        <f t="shared" si="11"/>
        <v>74.197500000000005</v>
      </c>
      <c r="C93">
        <f t="shared" si="13"/>
        <v>69.03</v>
      </c>
      <c r="D93">
        <f t="shared" si="13"/>
        <v>87.045000000000002</v>
      </c>
      <c r="E93">
        <f t="shared" si="13"/>
        <v>1170</v>
      </c>
      <c r="F93">
        <f t="shared" si="13"/>
        <v>36.75</v>
      </c>
      <c r="G93">
        <f t="shared" si="13"/>
        <v>296.20499999999998</v>
      </c>
      <c r="H93">
        <f t="shared" si="13"/>
        <v>292.5</v>
      </c>
      <c r="I93">
        <v>-21</v>
      </c>
      <c r="J93">
        <v>92.96</v>
      </c>
    </row>
    <row r="94" spans="1:11" x14ac:dyDescent="0.2">
      <c r="A94" t="s">
        <v>35</v>
      </c>
      <c r="B94">
        <f t="shared" si="11"/>
        <v>77.302499999999995</v>
      </c>
      <c r="C94">
        <f t="shared" si="13"/>
        <v>72.644999999999996</v>
      </c>
      <c r="D94">
        <f t="shared" si="13"/>
        <v>89.902500000000003</v>
      </c>
      <c r="E94">
        <f t="shared" si="13"/>
        <v>1260</v>
      </c>
      <c r="F94">
        <f t="shared" si="13"/>
        <v>46.47</v>
      </c>
      <c r="G94">
        <f t="shared" si="13"/>
        <v>331.77750000000003</v>
      </c>
      <c r="H94">
        <f t="shared" si="13"/>
        <v>330.36</v>
      </c>
      <c r="I94">
        <v>-21</v>
      </c>
      <c r="J94">
        <v>92.96</v>
      </c>
    </row>
    <row r="95" spans="1:11" x14ac:dyDescent="0.2">
      <c r="A95" t="s">
        <v>374</v>
      </c>
      <c r="B95">
        <f t="shared" si="11"/>
        <v>86.4375</v>
      </c>
      <c r="C95">
        <f t="shared" si="13"/>
        <v>82.710000000000008</v>
      </c>
      <c r="D95">
        <f t="shared" si="13"/>
        <v>99.300000000000011</v>
      </c>
      <c r="E95">
        <f t="shared" si="13"/>
        <v>1291.9424999999999</v>
      </c>
      <c r="F95">
        <f t="shared" si="13"/>
        <v>47.212500000000006</v>
      </c>
      <c r="G95">
        <f t="shared" si="13"/>
        <v>345</v>
      </c>
      <c r="H95">
        <f t="shared" si="13"/>
        <v>343.02750000000003</v>
      </c>
      <c r="I95">
        <v>-21</v>
      </c>
      <c r="J95">
        <v>92.96</v>
      </c>
    </row>
    <row r="96" spans="1:11" x14ac:dyDescent="0.2">
      <c r="A96" t="s">
        <v>37</v>
      </c>
      <c r="B96">
        <f t="shared" si="11"/>
        <v>90.93</v>
      </c>
      <c r="C96">
        <f t="shared" si="13"/>
        <v>88.477499999999992</v>
      </c>
      <c r="D96">
        <f t="shared" si="13"/>
        <v>113.685</v>
      </c>
      <c r="E96">
        <f t="shared" si="13"/>
        <v>1342.5</v>
      </c>
      <c r="F96">
        <f t="shared" si="13"/>
        <v>66.135000000000005</v>
      </c>
      <c r="G96">
        <f t="shared" si="13"/>
        <v>350.28000000000003</v>
      </c>
      <c r="H96">
        <f t="shared" si="13"/>
        <v>348.75</v>
      </c>
      <c r="I96">
        <v>-21</v>
      </c>
      <c r="J96">
        <v>92.96</v>
      </c>
    </row>
    <row r="97" spans="1:11" x14ac:dyDescent="0.2">
      <c r="A97" t="s">
        <v>329</v>
      </c>
      <c r="B97">
        <f t="shared" si="11"/>
        <v>92.91749999999999</v>
      </c>
      <c r="C97">
        <f t="shared" si="13"/>
        <v>89.28</v>
      </c>
      <c r="D97">
        <f t="shared" si="13"/>
        <v>118.36499999999999</v>
      </c>
      <c r="E97">
        <f t="shared" si="13"/>
        <v>1318.8075000000001</v>
      </c>
      <c r="F97">
        <f t="shared" si="13"/>
        <v>63.787499999999994</v>
      </c>
      <c r="G97">
        <f t="shared" si="13"/>
        <v>307.95000000000005</v>
      </c>
      <c r="H97">
        <f t="shared" si="13"/>
        <v>344.1</v>
      </c>
      <c r="I97">
        <v>-21</v>
      </c>
      <c r="J97">
        <v>98.89</v>
      </c>
    </row>
    <row r="98" spans="1:11" x14ac:dyDescent="0.2">
      <c r="A98" t="s">
        <v>95</v>
      </c>
      <c r="B98">
        <f t="shared" si="11"/>
        <v>91.56</v>
      </c>
      <c r="C98">
        <f t="shared" si="13"/>
        <v>86.385000000000005</v>
      </c>
      <c r="D98">
        <f t="shared" si="13"/>
        <v>114.41250000000001</v>
      </c>
      <c r="E98">
        <f t="shared" si="13"/>
        <v>1335.7125000000001</v>
      </c>
      <c r="F98">
        <f t="shared" si="13"/>
        <v>75.022500000000008</v>
      </c>
      <c r="G98">
        <f t="shared" si="13"/>
        <v>322.33499999999998</v>
      </c>
      <c r="H98">
        <f t="shared" si="13"/>
        <v>352.5</v>
      </c>
      <c r="I98">
        <v>-21</v>
      </c>
      <c r="J98">
        <v>98.89</v>
      </c>
    </row>
    <row r="99" spans="1:11" x14ac:dyDescent="0.2">
      <c r="A99" t="s">
        <v>40</v>
      </c>
      <c r="B99">
        <f t="shared" si="11"/>
        <v>78.75</v>
      </c>
      <c r="C99">
        <f t="shared" si="13"/>
        <v>80.032499999999999</v>
      </c>
      <c r="D99">
        <f t="shared" si="13"/>
        <v>104.0325</v>
      </c>
      <c r="E99">
        <f t="shared" si="13"/>
        <v>1349.9625000000001</v>
      </c>
      <c r="F99">
        <f t="shared" si="13"/>
        <v>80.25</v>
      </c>
      <c r="G99">
        <f t="shared" si="13"/>
        <v>322.5</v>
      </c>
      <c r="H99">
        <f t="shared" si="13"/>
        <v>325.70249999999999</v>
      </c>
      <c r="I99">
        <v>-21</v>
      </c>
      <c r="J99">
        <v>98.89</v>
      </c>
    </row>
    <row r="100" spans="1:11" x14ac:dyDescent="0.2">
      <c r="A100" t="s">
        <v>41</v>
      </c>
      <c r="B100">
        <f t="shared" si="11"/>
        <v>87.75</v>
      </c>
      <c r="C100">
        <f t="shared" si="13"/>
        <v>82.912499999999994</v>
      </c>
      <c r="D100">
        <f t="shared" si="13"/>
        <v>115.80000000000001</v>
      </c>
      <c r="E100">
        <f t="shared" si="13"/>
        <v>1230</v>
      </c>
      <c r="F100">
        <f t="shared" si="13"/>
        <v>79.5</v>
      </c>
      <c r="G100">
        <f t="shared" si="13"/>
        <v>315</v>
      </c>
      <c r="H100">
        <f t="shared" si="13"/>
        <v>352.5</v>
      </c>
      <c r="I100">
        <v>-21</v>
      </c>
      <c r="J100">
        <v>98.89</v>
      </c>
    </row>
    <row r="101" spans="1:11" x14ac:dyDescent="0.2">
      <c r="A101" t="s">
        <v>42</v>
      </c>
      <c r="B101">
        <f t="shared" ref="B101:H101" si="14">B40*$B$89</f>
        <v>88.41749999999999</v>
      </c>
      <c r="C101">
        <f t="shared" si="14"/>
        <v>98.204999999999998</v>
      </c>
      <c r="D101">
        <f t="shared" si="14"/>
        <v>126.88500000000001</v>
      </c>
      <c r="E101">
        <f t="shared" si="14"/>
        <v>1244.835</v>
      </c>
      <c r="F101">
        <f t="shared" si="14"/>
        <v>87.082499999999996</v>
      </c>
      <c r="G101">
        <f t="shared" si="14"/>
        <v>337.5</v>
      </c>
      <c r="H101">
        <f t="shared" si="14"/>
        <v>360</v>
      </c>
      <c r="I101">
        <v>-21</v>
      </c>
      <c r="J101">
        <v>98.89</v>
      </c>
    </row>
    <row r="102" spans="1:11" x14ac:dyDescent="0.2">
      <c r="A102" t="s">
        <v>43</v>
      </c>
      <c r="B102">
        <f t="shared" ref="B102:H102" si="15">B41*$B$89</f>
        <v>88.132499999999993</v>
      </c>
      <c r="C102">
        <f t="shared" si="15"/>
        <v>103.155</v>
      </c>
      <c r="D102">
        <f t="shared" si="15"/>
        <v>124.41</v>
      </c>
      <c r="E102">
        <f t="shared" si="15"/>
        <v>1229.0250000000001</v>
      </c>
      <c r="F102">
        <f t="shared" si="15"/>
        <v>90.675000000000011</v>
      </c>
      <c r="G102">
        <f t="shared" si="15"/>
        <v>333.8175</v>
      </c>
      <c r="H102">
        <f t="shared" si="15"/>
        <v>357.495</v>
      </c>
      <c r="I102">
        <v>-21</v>
      </c>
      <c r="J102">
        <v>98.89</v>
      </c>
    </row>
    <row r="104" spans="1:11" x14ac:dyDescent="0.2">
      <c r="C104" t="s">
        <v>6</v>
      </c>
      <c r="G104" t="s">
        <v>6</v>
      </c>
      <c r="H104" t="s">
        <v>330</v>
      </c>
      <c r="I104" t="s">
        <v>6</v>
      </c>
    </row>
    <row r="105" spans="1:11" x14ac:dyDescent="0.2">
      <c r="A105" t="s">
        <v>24</v>
      </c>
      <c r="B105" t="s">
        <v>14</v>
      </c>
      <c r="C105" t="s">
        <v>15</v>
      </c>
      <c r="D105" t="s">
        <v>16</v>
      </c>
      <c r="E105" t="s">
        <v>18</v>
      </c>
      <c r="F105" t="s">
        <v>19</v>
      </c>
      <c r="G105" t="s">
        <v>20</v>
      </c>
      <c r="H105" t="s">
        <v>331</v>
      </c>
      <c r="I105" t="s">
        <v>17</v>
      </c>
      <c r="J105" t="s">
        <v>333</v>
      </c>
      <c r="K105" t="s">
        <v>84</v>
      </c>
    </row>
    <row r="107" spans="1:11" x14ac:dyDescent="0.2">
      <c r="A107" t="s">
        <v>373</v>
      </c>
      <c r="B107">
        <f t="shared" ref="B107:I118" si="16">+B72*B91</f>
        <v>252.34852499999994</v>
      </c>
      <c r="C107">
        <f t="shared" si="16"/>
        <v>2386.9228500000004</v>
      </c>
      <c r="D107">
        <f t="shared" si="16"/>
        <v>1349.1699000000001</v>
      </c>
      <c r="E107">
        <f t="shared" si="16"/>
        <v>592.91999999999996</v>
      </c>
      <c r="F107">
        <f t="shared" si="16"/>
        <v>29.096999999999998</v>
      </c>
      <c r="G107">
        <f t="shared" si="16"/>
        <v>84.825000000000031</v>
      </c>
      <c r="H107">
        <f t="shared" si="16"/>
        <v>87.75</v>
      </c>
      <c r="I107">
        <f t="shared" si="16"/>
        <v>-482.37</v>
      </c>
      <c r="J107">
        <f t="shared" ref="J107:J118" si="17">+J72*-J91</f>
        <v>-605.16959999999995</v>
      </c>
      <c r="K107">
        <f>SUM(B107:J107)</f>
        <v>3695.4936749999997</v>
      </c>
    </row>
    <row r="108" spans="1:11" x14ac:dyDescent="0.2">
      <c r="A108" t="s">
        <v>72</v>
      </c>
      <c r="B108">
        <f t="shared" si="16"/>
        <v>293.45625000000001</v>
      </c>
      <c r="C108">
        <f t="shared" si="16"/>
        <v>2532.0959999999995</v>
      </c>
      <c r="D108">
        <f t="shared" si="16"/>
        <v>1383.5115000000001</v>
      </c>
      <c r="E108">
        <f t="shared" si="16"/>
        <v>552.19200000000001</v>
      </c>
      <c r="F108">
        <f t="shared" si="16"/>
        <v>30.528000000000002</v>
      </c>
      <c r="G108">
        <f t="shared" si="16"/>
        <v>90.09375</v>
      </c>
      <c r="H108">
        <f t="shared" si="16"/>
        <v>90.674999999999997</v>
      </c>
      <c r="I108">
        <f t="shared" si="16"/>
        <v>-505.26000000000005</v>
      </c>
      <c r="J108">
        <f t="shared" si="17"/>
        <v>-633.98720000000003</v>
      </c>
      <c r="K108">
        <f t="shared" ref="K108:K118" si="18">SUM(B108:J108)</f>
        <v>3833.3052999999995</v>
      </c>
    </row>
    <row r="109" spans="1:11" x14ac:dyDescent="0.2">
      <c r="A109" t="s">
        <v>34</v>
      </c>
      <c r="B109">
        <f t="shared" si="16"/>
        <v>299.75790000000001</v>
      </c>
      <c r="C109">
        <f t="shared" si="16"/>
        <v>2602.431</v>
      </c>
      <c r="D109">
        <f t="shared" si="16"/>
        <v>1371.8291999999999</v>
      </c>
      <c r="E109">
        <f t="shared" si="16"/>
        <v>561.6</v>
      </c>
      <c r="F109">
        <f t="shared" si="16"/>
        <v>26.459999999999997</v>
      </c>
      <c r="G109">
        <f t="shared" si="16"/>
        <v>82.937399999999997</v>
      </c>
      <c r="H109">
        <f t="shared" si="16"/>
        <v>81.900000000000006</v>
      </c>
      <c r="I109">
        <f t="shared" si="16"/>
        <v>-485.73000000000008</v>
      </c>
      <c r="J109">
        <f t="shared" si="17"/>
        <v>-650.71999999999991</v>
      </c>
      <c r="K109">
        <f t="shared" si="18"/>
        <v>3890.4654999999998</v>
      </c>
    </row>
    <row r="110" spans="1:11" x14ac:dyDescent="0.2">
      <c r="A110" t="s">
        <v>35</v>
      </c>
      <c r="B110">
        <f t="shared" si="16"/>
        <v>316.94024999999993</v>
      </c>
      <c r="C110">
        <f t="shared" si="16"/>
        <v>2782.3034999999995</v>
      </c>
      <c r="D110">
        <f t="shared" si="16"/>
        <v>1420.4595000000002</v>
      </c>
      <c r="E110">
        <f t="shared" si="16"/>
        <v>614.88</v>
      </c>
      <c r="F110">
        <f t="shared" si="16"/>
        <v>34.016039999999997</v>
      </c>
      <c r="G110">
        <f t="shared" si="16"/>
        <v>99.533250000000038</v>
      </c>
      <c r="H110">
        <f t="shared" si="16"/>
        <v>95.804400000000001</v>
      </c>
      <c r="I110">
        <f t="shared" si="16"/>
        <v>-503.57999999999993</v>
      </c>
      <c r="J110">
        <f t="shared" si="17"/>
        <v>-669.31200000000001</v>
      </c>
      <c r="K110">
        <f t="shared" si="18"/>
        <v>4191.0449400000007</v>
      </c>
    </row>
    <row r="111" spans="1:11" x14ac:dyDescent="0.2">
      <c r="A111" t="s">
        <v>374</v>
      </c>
      <c r="B111">
        <f t="shared" si="16"/>
        <v>388.104375</v>
      </c>
      <c r="C111">
        <f t="shared" si="16"/>
        <v>3469.6845000000008</v>
      </c>
      <c r="D111">
        <f t="shared" si="16"/>
        <v>1717.8899999999999</v>
      </c>
      <c r="E111">
        <f t="shared" si="16"/>
        <v>692.48117999999999</v>
      </c>
      <c r="F111">
        <f t="shared" si="16"/>
        <v>37.958850000000005</v>
      </c>
      <c r="G111">
        <f t="shared" si="16"/>
        <v>110.39999999999996</v>
      </c>
      <c r="H111">
        <f t="shared" si="16"/>
        <v>113.19907500000002</v>
      </c>
      <c r="I111">
        <f t="shared" si="16"/>
        <v>-551.45999999999992</v>
      </c>
      <c r="J111">
        <f t="shared" si="17"/>
        <v>-683.25599999999997</v>
      </c>
      <c r="K111">
        <f t="shared" si="18"/>
        <v>5295.00198</v>
      </c>
    </row>
    <row r="112" spans="1:11" x14ac:dyDescent="0.2">
      <c r="A112" t="s">
        <v>37</v>
      </c>
      <c r="B112">
        <f t="shared" si="16"/>
        <v>390.08970000000005</v>
      </c>
      <c r="C112">
        <f t="shared" si="16"/>
        <v>3539.0999999999995</v>
      </c>
      <c r="D112">
        <f t="shared" si="16"/>
        <v>1872.39195</v>
      </c>
      <c r="E112">
        <f t="shared" si="16"/>
        <v>681.99</v>
      </c>
      <c r="F112">
        <f t="shared" si="16"/>
        <v>50.394870000000004</v>
      </c>
      <c r="G112">
        <f t="shared" si="16"/>
        <v>108.58680000000001</v>
      </c>
      <c r="H112">
        <f t="shared" si="16"/>
        <v>108.1125</v>
      </c>
      <c r="I112">
        <f t="shared" si="16"/>
        <v>-523.94999999999993</v>
      </c>
      <c r="J112">
        <f t="shared" si="17"/>
        <v>-594.01439999999991</v>
      </c>
      <c r="K112">
        <f>SUM(B112:J112)</f>
        <v>5632.7014199999994</v>
      </c>
    </row>
    <row r="113" spans="1:11" x14ac:dyDescent="0.2">
      <c r="A113" t="s">
        <v>329</v>
      </c>
      <c r="B113">
        <f t="shared" si="16"/>
        <v>436.71224999999998</v>
      </c>
      <c r="C113">
        <f t="shared" si="16"/>
        <v>3923.8560000000002</v>
      </c>
      <c r="D113">
        <f t="shared" si="16"/>
        <v>2144.7737999999999</v>
      </c>
      <c r="E113">
        <f t="shared" si="16"/>
        <v>738.53219999999999</v>
      </c>
      <c r="F113">
        <f t="shared" si="16"/>
        <v>53.581499999999991</v>
      </c>
      <c r="G113">
        <f t="shared" si="16"/>
        <v>104.70300000000002</v>
      </c>
      <c r="H113">
        <f t="shared" si="16"/>
        <v>116.99400000000001</v>
      </c>
      <c r="I113">
        <f t="shared" si="16"/>
        <v>-577.71</v>
      </c>
      <c r="J113">
        <f t="shared" si="17"/>
        <v>-692.23</v>
      </c>
      <c r="K113">
        <f t="shared" si="18"/>
        <v>6249.2127500000006</v>
      </c>
    </row>
    <row r="114" spans="1:11" x14ac:dyDescent="0.2">
      <c r="A114" t="s">
        <v>95</v>
      </c>
      <c r="B114">
        <f t="shared" si="16"/>
        <v>411.10440000000006</v>
      </c>
      <c r="C114">
        <f t="shared" si="16"/>
        <v>3628.17</v>
      </c>
      <c r="D114">
        <f t="shared" si="16"/>
        <v>1979.3362500000003</v>
      </c>
      <c r="E114">
        <f t="shared" si="16"/>
        <v>721.28475000000014</v>
      </c>
      <c r="F114">
        <f t="shared" si="16"/>
        <v>60.768225000000008</v>
      </c>
      <c r="G114">
        <f t="shared" si="16"/>
        <v>103.1472</v>
      </c>
      <c r="H114">
        <f t="shared" si="16"/>
        <v>116.325</v>
      </c>
      <c r="I114">
        <f t="shared" si="16"/>
        <v>-551.46</v>
      </c>
      <c r="J114">
        <f t="shared" si="17"/>
        <v>-642.78499999999997</v>
      </c>
      <c r="K114">
        <f t="shared" si="18"/>
        <v>5825.8908250000004</v>
      </c>
    </row>
    <row r="115" spans="1:11" x14ac:dyDescent="0.2">
      <c r="A115" t="s">
        <v>40</v>
      </c>
      <c r="B115">
        <f t="shared" si="16"/>
        <v>387.45</v>
      </c>
      <c r="C115">
        <f t="shared" si="16"/>
        <v>3676.6930499999999</v>
      </c>
      <c r="D115">
        <f t="shared" si="16"/>
        <v>1971.4158749999999</v>
      </c>
      <c r="E115">
        <f t="shared" si="16"/>
        <v>788.37810000000002</v>
      </c>
      <c r="F115">
        <f t="shared" si="16"/>
        <v>70.299000000000007</v>
      </c>
      <c r="G115">
        <f t="shared" si="16"/>
        <v>112.87499999999999</v>
      </c>
      <c r="H115">
        <f t="shared" si="16"/>
        <v>117.2529</v>
      </c>
      <c r="I115">
        <f t="shared" si="16"/>
        <v>-604.16999999999996</v>
      </c>
      <c r="J115">
        <f t="shared" si="17"/>
        <v>-716.95249999999999</v>
      </c>
      <c r="K115">
        <f t="shared" si="18"/>
        <v>5803.2414249999993</v>
      </c>
    </row>
    <row r="116" spans="1:11" x14ac:dyDescent="0.2">
      <c r="A116" t="s">
        <v>41</v>
      </c>
      <c r="B116">
        <f t="shared" si="16"/>
        <v>396.62999999999994</v>
      </c>
      <c r="C116">
        <f t="shared" si="16"/>
        <v>3536.2181249999994</v>
      </c>
      <c r="D116">
        <f t="shared" si="16"/>
        <v>2049.6600000000003</v>
      </c>
      <c r="E116">
        <f t="shared" si="16"/>
        <v>674.04000000000008</v>
      </c>
      <c r="F116">
        <f t="shared" si="16"/>
        <v>65.349000000000004</v>
      </c>
      <c r="G116">
        <f t="shared" si="16"/>
        <v>100.8</v>
      </c>
      <c r="H116">
        <f t="shared" si="16"/>
        <v>116.325</v>
      </c>
      <c r="I116">
        <f t="shared" si="16"/>
        <v>-594.09</v>
      </c>
      <c r="J116">
        <f t="shared" si="17"/>
        <v>-692.23</v>
      </c>
      <c r="K116">
        <f t="shared" si="18"/>
        <v>5652.7021249999998</v>
      </c>
    </row>
    <row r="117" spans="1:11" x14ac:dyDescent="0.2">
      <c r="A117" t="s">
        <v>42</v>
      </c>
      <c r="B117">
        <f t="shared" si="16"/>
        <v>285.58852499999995</v>
      </c>
      <c r="C117">
        <f t="shared" si="16"/>
        <v>5222.5419000000002</v>
      </c>
      <c r="D117">
        <f t="shared" si="16"/>
        <v>1465.5217500000001</v>
      </c>
      <c r="E117">
        <f t="shared" si="16"/>
        <v>717.02495999999996</v>
      </c>
      <c r="F117">
        <f t="shared" si="16"/>
        <v>75.239279999999994</v>
      </c>
      <c r="G117">
        <f t="shared" si="16"/>
        <v>114.75000000000001</v>
      </c>
      <c r="H117">
        <f t="shared" si="16"/>
        <v>122.4</v>
      </c>
      <c r="I117">
        <f t="shared" si="16"/>
        <v>-622.44000000000005</v>
      </c>
      <c r="J117">
        <f t="shared" si="17"/>
        <v>-751.56399999999996</v>
      </c>
      <c r="K117">
        <f t="shared" si="18"/>
        <v>6629.0624149999985</v>
      </c>
    </row>
    <row r="118" spans="1:11" x14ac:dyDescent="0.2">
      <c r="A118" t="s">
        <v>43</v>
      </c>
      <c r="B118">
        <f t="shared" si="16"/>
        <v>297.88784999999996</v>
      </c>
      <c r="C118">
        <f t="shared" si="16"/>
        <v>5735.4180000000006</v>
      </c>
      <c r="D118">
        <f t="shared" si="16"/>
        <v>1501.6287</v>
      </c>
      <c r="E118">
        <f t="shared" si="16"/>
        <v>732.49890000000005</v>
      </c>
      <c r="F118">
        <f t="shared" si="16"/>
        <v>81.063450000000017</v>
      </c>
      <c r="G118">
        <f t="shared" si="16"/>
        <v>116.836125</v>
      </c>
      <c r="H118">
        <f t="shared" si="16"/>
        <v>128.69819999999999</v>
      </c>
      <c r="I118">
        <f t="shared" si="16"/>
        <v>-650.79</v>
      </c>
      <c r="J118">
        <f t="shared" si="17"/>
        <v>-791.12</v>
      </c>
      <c r="K118">
        <f t="shared" si="18"/>
        <v>7152.1212250000008</v>
      </c>
    </row>
    <row r="119" spans="1:11" x14ac:dyDescent="0.2">
      <c r="A119" t="s">
        <v>88</v>
      </c>
      <c r="B119">
        <f>SUM(B107:B118)</f>
        <v>4156.070025</v>
      </c>
      <c r="C119">
        <f t="shared" ref="C119:H119" si="19">SUM(C107:C118)</f>
        <v>43035.434925000001</v>
      </c>
      <c r="D119">
        <f t="shared" si="19"/>
        <v>20227.588425000002</v>
      </c>
      <c r="E119">
        <f t="shared" si="19"/>
        <v>8067.8220899999997</v>
      </c>
      <c r="F119">
        <f t="shared" si="19"/>
        <v>614.75521499999991</v>
      </c>
      <c r="G119">
        <f t="shared" si="19"/>
        <v>1229.4875250000002</v>
      </c>
      <c r="H119">
        <f t="shared" si="19"/>
        <v>1295.4360750000001</v>
      </c>
      <c r="I119">
        <f>SUM(I107:I118)</f>
        <v>-6653.0100000000011</v>
      </c>
      <c r="J119">
        <f>SUM(J107:J118)</f>
        <v>-8123.3406999999997</v>
      </c>
      <c r="K119">
        <f>SUM(K107:K118)</f>
        <v>63850.243580000009</v>
      </c>
    </row>
  </sheetData>
  <phoneticPr fontId="0" type="noConversion"/>
  <pageMargins left="0.75" right="0.75" top="1" bottom="1" header="0.5" footer="0.5"/>
  <pageSetup scale="70" orientation="portrait" horizontalDpi="300" verticalDpi="300" r:id="rId1"/>
  <headerFooter alignWithMargins="0"/>
  <rowBreaks count="1" manualBreakCount="1">
    <brk id="61" max="16383" man="1"/>
  </rowBreaks>
  <colBreaks count="1" manualBreakCount="1">
    <brk id="1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182"/>
  <sheetViews>
    <sheetView showOutlineSymbols="0" zoomScale="87" workbookViewId="0">
      <selection activeCell="F4" sqref="F4"/>
    </sheetView>
  </sheetViews>
  <sheetFormatPr defaultColWidth="11.44140625" defaultRowHeight="15" x14ac:dyDescent="0.2"/>
  <sheetData>
    <row r="1" spans="2:6" x14ac:dyDescent="0.2">
      <c r="F1" t="s">
        <v>0</v>
      </c>
    </row>
    <row r="2" spans="2:6" x14ac:dyDescent="0.2">
      <c r="F2" t="s">
        <v>1</v>
      </c>
    </row>
    <row r="3" spans="2:6" x14ac:dyDescent="0.2">
      <c r="F3" t="s">
        <v>2</v>
      </c>
    </row>
    <row r="5" spans="2:6" x14ac:dyDescent="0.2">
      <c r="B5" t="s">
        <v>28</v>
      </c>
    </row>
    <row r="7" spans="2:6" x14ac:dyDescent="0.2">
      <c r="B7" t="s">
        <v>4</v>
      </c>
    </row>
    <row r="8" spans="2:6" x14ac:dyDescent="0.2">
      <c r="B8" t="s">
        <v>29</v>
      </c>
    </row>
    <row r="9" spans="2:6" x14ac:dyDescent="0.2">
      <c r="B9" t="s">
        <v>6</v>
      </c>
    </row>
    <row r="11" spans="2:6" x14ac:dyDescent="0.2">
      <c r="F11" t="s">
        <v>7</v>
      </c>
    </row>
    <row r="12" spans="2:6" x14ac:dyDescent="0.2">
      <c r="D12" t="s">
        <v>30</v>
      </c>
      <c r="E12" t="s">
        <v>31</v>
      </c>
      <c r="F12" t="s">
        <v>8</v>
      </c>
    </row>
    <row r="13" spans="2:6" x14ac:dyDescent="0.2">
      <c r="D13" t="s">
        <v>26</v>
      </c>
      <c r="E13" t="s">
        <v>32</v>
      </c>
      <c r="F13" t="s">
        <v>13</v>
      </c>
    </row>
    <row r="15" spans="2:6" x14ac:dyDescent="0.2">
      <c r="B15" t="s">
        <v>33</v>
      </c>
      <c r="D15">
        <v>30323</v>
      </c>
      <c r="E15">
        <f>'1st yr actual'!$K$40</f>
        <v>14773.42</v>
      </c>
    </row>
    <row r="16" spans="2:6" x14ac:dyDescent="0.2">
      <c r="B16" t="s">
        <v>34</v>
      </c>
      <c r="D16">
        <v>30489</v>
      </c>
      <c r="E16">
        <f>'1st yr actual'!$K$41</f>
        <v>13252.595000000001</v>
      </c>
    </row>
    <row r="17" spans="2:7" x14ac:dyDescent="0.2">
      <c r="B17" t="s">
        <v>35</v>
      </c>
      <c r="D17">
        <v>30696</v>
      </c>
      <c r="E17">
        <f>'1st yr actual'!$K$42</f>
        <v>13412.290000000003</v>
      </c>
      <c r="F17">
        <f t="shared" ref="F17:F24" si="0">SUM(E15:E17)/SUM(D15:D17)</f>
        <v>0.45283805787472131</v>
      </c>
    </row>
    <row r="18" spans="2:7" x14ac:dyDescent="0.2">
      <c r="B18" t="s">
        <v>36</v>
      </c>
      <c r="D18">
        <v>30902</v>
      </c>
      <c r="E18">
        <f>'1st yr actual'!$K$43</f>
        <v>11322.27</v>
      </c>
      <c r="F18">
        <f t="shared" si="0"/>
        <v>0.41251376415780727</v>
      </c>
    </row>
    <row r="19" spans="2:7" x14ac:dyDescent="0.2">
      <c r="B19" t="s">
        <v>37</v>
      </c>
      <c r="D19">
        <v>30989</v>
      </c>
      <c r="E19">
        <f>'1st yr actual'!$K$44</f>
        <v>9398.4950000000008</v>
      </c>
      <c r="F19">
        <f t="shared" si="0"/>
        <v>0.36865926101936564</v>
      </c>
    </row>
    <row r="20" spans="2:7" x14ac:dyDescent="0.2">
      <c r="B20" t="s">
        <v>38</v>
      </c>
      <c r="D20">
        <v>31302</v>
      </c>
      <c r="E20">
        <f>'1st yr actual'!$K$45</f>
        <v>10476.35</v>
      </c>
      <c r="F20">
        <f t="shared" si="0"/>
        <v>0.33475813634071228</v>
      </c>
    </row>
    <row r="21" spans="2:7" x14ac:dyDescent="0.2">
      <c r="B21" t="s">
        <v>39</v>
      </c>
      <c r="D21">
        <v>31701</v>
      </c>
      <c r="E21">
        <f>'1st yr actual'!$K$46</f>
        <v>11181.56</v>
      </c>
      <c r="F21">
        <f t="shared" si="0"/>
        <v>0.33041540769427186</v>
      </c>
    </row>
    <row r="22" spans="2:7" x14ac:dyDescent="0.2">
      <c r="B22" t="s">
        <v>40</v>
      </c>
      <c r="D22">
        <v>31969</v>
      </c>
      <c r="E22">
        <f>'1st yr actual'!$K$47</f>
        <v>10338.179999999998</v>
      </c>
      <c r="F22">
        <f t="shared" si="0"/>
        <v>0.33690024428252535</v>
      </c>
    </row>
    <row r="23" spans="2:7" x14ac:dyDescent="0.2">
      <c r="B23" t="s">
        <v>41</v>
      </c>
      <c r="D23">
        <v>32339</v>
      </c>
      <c r="E23">
        <f>'1st yr actual'!$K$48</f>
        <v>10453.24</v>
      </c>
      <c r="F23">
        <f t="shared" si="0"/>
        <v>0.33302065431365807</v>
      </c>
    </row>
    <row r="24" spans="2:7" x14ac:dyDescent="0.2">
      <c r="B24" t="s">
        <v>42</v>
      </c>
      <c r="D24">
        <v>32659</v>
      </c>
      <c r="E24">
        <f>'1st yr actual'!$K$49</f>
        <v>13190.77</v>
      </c>
      <c r="F24">
        <f t="shared" si="0"/>
        <v>0.35045108129569857</v>
      </c>
    </row>
    <row r="25" spans="2:7" x14ac:dyDescent="0.2">
      <c r="B25" t="s">
        <v>43</v>
      </c>
      <c r="D25">
        <v>33109</v>
      </c>
      <c r="E25">
        <f>'1st yr actual'!$K$50</f>
        <v>13770.370000000003</v>
      </c>
      <c r="F25">
        <f>SUM(E22:E25)/SUM(D22:D25)</f>
        <v>0.36711276484516747</v>
      </c>
    </row>
    <row r="26" spans="2:7" x14ac:dyDescent="0.2">
      <c r="B26" t="s">
        <v>44</v>
      </c>
      <c r="D26">
        <v>33407</v>
      </c>
      <c r="E26">
        <f>'1st yr actual'!$K$51</f>
        <v>14605.020000000002</v>
      </c>
      <c r="F26">
        <f>SUM(E23:E26)/SUM(D23:D26)</f>
        <v>0.39554267986678232</v>
      </c>
    </row>
    <row r="27" spans="2:7" x14ac:dyDescent="0.2">
      <c r="B27" t="s">
        <v>45</v>
      </c>
      <c r="D27">
        <f>SUM(D15:D26)</f>
        <v>379885</v>
      </c>
      <c r="E27">
        <f>SUM(E15:E26)</f>
        <v>146174.56</v>
      </c>
    </row>
    <row r="30" spans="2:7" x14ac:dyDescent="0.2">
      <c r="B30" t="s">
        <v>46</v>
      </c>
    </row>
    <row r="32" spans="2:7" x14ac:dyDescent="0.2">
      <c r="B32" t="s">
        <v>47</v>
      </c>
      <c r="G32">
        <f>D27</f>
        <v>379885</v>
      </c>
    </row>
    <row r="34" spans="2:7" x14ac:dyDescent="0.2">
      <c r="B34" t="s">
        <v>48</v>
      </c>
      <c r="G34">
        <f>'Initial credit'!$G$54</f>
        <v>0.46080774720154749</v>
      </c>
    </row>
    <row r="36" spans="2:7" x14ac:dyDescent="0.2">
      <c r="B36" t="s">
        <v>49</v>
      </c>
      <c r="G36">
        <f>G32*G34</f>
        <v>175053.95104565987</v>
      </c>
    </row>
    <row r="38" spans="2:7" x14ac:dyDescent="0.2">
      <c r="B38" t="s">
        <v>50</v>
      </c>
      <c r="G38">
        <f>E27</f>
        <v>146174.56</v>
      </c>
    </row>
    <row r="40" spans="2:7" x14ac:dyDescent="0.2">
      <c r="B40" t="s">
        <v>51</v>
      </c>
      <c r="G40">
        <f>E27-G36</f>
        <v>-28879.391045659868</v>
      </c>
    </row>
    <row r="42" spans="2:7" x14ac:dyDescent="0.2">
      <c r="B42" t="s">
        <v>52</v>
      </c>
    </row>
    <row r="44" spans="2:7" x14ac:dyDescent="0.2">
      <c r="B44" t="s">
        <v>53</v>
      </c>
      <c r="G44">
        <f>G40</f>
        <v>-28879.391045659868</v>
      </c>
    </row>
    <row r="45" spans="2:7" x14ac:dyDescent="0.2">
      <c r="B45" t="s">
        <v>54</v>
      </c>
      <c r="G45">
        <f>SUM(D24:D26)/3</f>
        <v>33058.333333333336</v>
      </c>
    </row>
    <row r="46" spans="2:7" x14ac:dyDescent="0.2">
      <c r="B46" t="s">
        <v>55</v>
      </c>
      <c r="G46">
        <f>G44/G45</f>
        <v>-0.87358883929397124</v>
      </c>
    </row>
    <row r="47" spans="2:7" x14ac:dyDescent="0.2">
      <c r="B47" t="s">
        <v>56</v>
      </c>
    </row>
    <row r="48" spans="2:7" x14ac:dyDescent="0.2">
      <c r="B48" t="s">
        <v>57</v>
      </c>
      <c r="G48">
        <f>G46/12</f>
        <v>-7.2799069941164266E-2</v>
      </c>
    </row>
    <row r="51" spans="2:11" x14ac:dyDescent="0.2">
      <c r="B51" t="s">
        <v>58</v>
      </c>
      <c r="G51" t="s">
        <v>59</v>
      </c>
      <c r="H51" t="s">
        <v>59</v>
      </c>
      <c r="I51" t="s">
        <v>59</v>
      </c>
      <c r="J51" t="s">
        <v>8</v>
      </c>
    </row>
    <row r="52" spans="2:11" x14ac:dyDescent="0.2">
      <c r="G52" t="s">
        <v>42</v>
      </c>
      <c r="H52" t="s">
        <v>43</v>
      </c>
      <c r="I52" t="s">
        <v>44</v>
      </c>
      <c r="J52" t="s">
        <v>13</v>
      </c>
    </row>
    <row r="53" spans="2:11" x14ac:dyDescent="0.2">
      <c r="B53" t="s">
        <v>60</v>
      </c>
      <c r="G53">
        <f>E24</f>
        <v>13190.77</v>
      </c>
      <c r="H53">
        <f>E25</f>
        <v>13770.370000000003</v>
      </c>
      <c r="I53">
        <f>E26</f>
        <v>14605.020000000002</v>
      </c>
      <c r="J53">
        <f>AVERAGE(G53:I53)</f>
        <v>13855.386666666667</v>
      </c>
      <c r="K53" t="s">
        <v>61</v>
      </c>
    </row>
    <row r="54" spans="2:11" x14ac:dyDescent="0.2">
      <c r="B54" t="s">
        <v>62</v>
      </c>
      <c r="G54">
        <f>D24</f>
        <v>32659</v>
      </c>
      <c r="H54">
        <f>D25</f>
        <v>33109</v>
      </c>
      <c r="I54">
        <f>D26</f>
        <v>33407</v>
      </c>
      <c r="J54">
        <f>AVERAGE(G54:I54)</f>
        <v>33058.333333333336</v>
      </c>
      <c r="K54" t="s">
        <v>63</v>
      </c>
    </row>
    <row r="56" spans="2:11" x14ac:dyDescent="0.2">
      <c r="B56" t="s">
        <v>64</v>
      </c>
      <c r="G56" t="s">
        <v>65</v>
      </c>
      <c r="J56">
        <f>J53/J54</f>
        <v>0.41911933450970507</v>
      </c>
    </row>
    <row r="57" spans="2:11" x14ac:dyDescent="0.2">
      <c r="B57" t="s">
        <v>66</v>
      </c>
      <c r="J57">
        <f>G48</f>
        <v>-7.2799069941164266E-2</v>
      </c>
    </row>
    <row r="59" spans="2:11" x14ac:dyDescent="0.2">
      <c r="B59" t="s">
        <v>67</v>
      </c>
      <c r="E59" t="s">
        <v>68</v>
      </c>
      <c r="J59">
        <f>SUM(J56:J58)</f>
        <v>0.34632026456854081</v>
      </c>
    </row>
    <row r="125" spans="8:8" x14ac:dyDescent="0.2">
      <c r="H125" t="s">
        <v>0</v>
      </c>
    </row>
    <row r="126" spans="8:8" x14ac:dyDescent="0.2">
      <c r="H126" t="s">
        <v>1</v>
      </c>
    </row>
    <row r="127" spans="8:8" x14ac:dyDescent="0.2">
      <c r="H127" t="s">
        <v>2</v>
      </c>
    </row>
    <row r="129" spans="4:8" x14ac:dyDescent="0.2">
      <c r="D129" t="s">
        <v>28</v>
      </c>
    </row>
    <row r="131" spans="4:8" x14ac:dyDescent="0.2">
      <c r="D131" t="s">
        <v>4</v>
      </c>
    </row>
    <row r="132" spans="4:8" x14ac:dyDescent="0.2">
      <c r="D132" t="s">
        <v>69</v>
      </c>
    </row>
    <row r="133" spans="4:8" x14ac:dyDescent="0.2">
      <c r="D133" t="s">
        <v>70</v>
      </c>
    </row>
    <row r="135" spans="4:8" x14ac:dyDescent="0.2">
      <c r="H135" t="s">
        <v>7</v>
      </c>
    </row>
    <row r="136" spans="4:8" x14ac:dyDescent="0.2">
      <c r="F136" t="s">
        <v>30</v>
      </c>
      <c r="G136" t="s">
        <v>31</v>
      </c>
      <c r="H136" t="s">
        <v>8</v>
      </c>
    </row>
    <row r="137" spans="4:8" x14ac:dyDescent="0.2">
      <c r="F137" t="s">
        <v>26</v>
      </c>
      <c r="G137" t="s">
        <v>32</v>
      </c>
      <c r="H137" t="s">
        <v>13</v>
      </c>
    </row>
    <row r="139" spans="4:8" x14ac:dyDescent="0.2">
      <c r="D139" t="s">
        <v>71</v>
      </c>
      <c r="F139">
        <v>11493</v>
      </c>
      <c r="G139">
        <f>'1st yr actual'!$K$40</f>
        <v>14773.42</v>
      </c>
    </row>
    <row r="140" spans="4:8" x14ac:dyDescent="0.2">
      <c r="D140" t="s">
        <v>43</v>
      </c>
      <c r="F140">
        <v>11520</v>
      </c>
      <c r="G140">
        <f>'1st yr actual'!$K$41</f>
        <v>13252.595000000001</v>
      </c>
    </row>
    <row r="141" spans="4:8" x14ac:dyDescent="0.2">
      <c r="D141" t="s">
        <v>44</v>
      </c>
      <c r="F141">
        <v>11526</v>
      </c>
      <c r="G141">
        <f>'1st yr actual'!$K$42</f>
        <v>13412.290000000003</v>
      </c>
      <c r="H141">
        <f t="shared" ref="H141:H148" si="1">SUM(G139:G141)/SUM(F139:F141)</f>
        <v>1.1997540461507281</v>
      </c>
    </row>
    <row r="142" spans="4:8" x14ac:dyDescent="0.2">
      <c r="D142" t="s">
        <v>72</v>
      </c>
      <c r="F142">
        <v>11514</v>
      </c>
      <c r="G142">
        <f>'1st yr actual'!$K$43</f>
        <v>11322.27</v>
      </c>
      <c r="H142">
        <f t="shared" si="1"/>
        <v>1.0991653645833332</v>
      </c>
    </row>
    <row r="143" spans="4:8" x14ac:dyDescent="0.2">
      <c r="D143" t="s">
        <v>34</v>
      </c>
      <c r="F143">
        <v>11530</v>
      </c>
      <c r="G143">
        <f>'1st yr actual'!$K$44</f>
        <v>9398.4950000000008</v>
      </c>
      <c r="H143">
        <f t="shared" si="1"/>
        <v>0.98736057275094036</v>
      </c>
    </row>
    <row r="144" spans="4:8" x14ac:dyDescent="0.2">
      <c r="D144" t="s">
        <v>35</v>
      </c>
      <c r="F144">
        <v>11537</v>
      </c>
      <c r="G144">
        <f>'1st yr actual'!$K$45</f>
        <v>10476.35</v>
      </c>
      <c r="H144">
        <f t="shared" si="1"/>
        <v>0.90214612070211964</v>
      </c>
    </row>
    <row r="145" spans="4:9" x14ac:dyDescent="0.2">
      <c r="D145" t="s">
        <v>73</v>
      </c>
      <c r="F145">
        <v>11546</v>
      </c>
      <c r="G145">
        <f>'1st yr actual'!$K$46</f>
        <v>11181.56</v>
      </c>
      <c r="H145">
        <f t="shared" si="1"/>
        <v>0.89724684367145291</v>
      </c>
    </row>
    <row r="146" spans="4:9" x14ac:dyDescent="0.2">
      <c r="D146" t="s">
        <v>37</v>
      </c>
      <c r="F146">
        <v>11550</v>
      </c>
      <c r="G146">
        <f>'1st yr actual'!$K$47</f>
        <v>10338.179999999998</v>
      </c>
      <c r="H146">
        <f t="shared" si="1"/>
        <v>0.92386134611497694</v>
      </c>
    </row>
    <row r="147" spans="4:9" x14ac:dyDescent="0.2">
      <c r="D147" t="s">
        <v>38</v>
      </c>
      <c r="F147">
        <v>11575</v>
      </c>
      <c r="G147">
        <f>'1st yr actual'!$K$48</f>
        <v>10453.24</v>
      </c>
      <c r="H147">
        <f t="shared" si="1"/>
        <v>0.92218222722159715</v>
      </c>
    </row>
    <row r="148" spans="4:9" x14ac:dyDescent="0.2">
      <c r="D148" t="s">
        <v>74</v>
      </c>
      <c r="F148">
        <v>11590</v>
      </c>
      <c r="G148">
        <f>'1st yr actual'!$K$50</f>
        <v>13770.370000000003</v>
      </c>
      <c r="H148">
        <f t="shared" si="1"/>
        <v>0.99558663401987613</v>
      </c>
    </row>
    <row r="150" spans="4:9" x14ac:dyDescent="0.2">
      <c r="D150" t="s">
        <v>75</v>
      </c>
      <c r="F150">
        <f>SUM(F139:F149)</f>
        <v>115381</v>
      </c>
      <c r="G150">
        <f>SUM(G139:G149)</f>
        <v>118378.76999999999</v>
      </c>
    </row>
    <row r="153" spans="4:9" x14ac:dyDescent="0.2">
      <c r="D153" t="s">
        <v>76</v>
      </c>
    </row>
    <row r="155" spans="4:9" x14ac:dyDescent="0.2">
      <c r="D155" t="s">
        <v>77</v>
      </c>
      <c r="I155">
        <f>F150</f>
        <v>115381</v>
      </c>
    </row>
    <row r="157" spans="4:9" x14ac:dyDescent="0.2">
      <c r="D157" t="s">
        <v>48</v>
      </c>
      <c r="I157">
        <f>'Initial credit'!$G$54</f>
        <v>0.46080774720154749</v>
      </c>
    </row>
    <row r="159" spans="4:9" x14ac:dyDescent="0.2">
      <c r="D159" t="s">
        <v>49</v>
      </c>
      <c r="I159">
        <f>I155*I157</f>
        <v>53168.458679861753</v>
      </c>
    </row>
    <row r="161" spans="4:13" x14ac:dyDescent="0.2">
      <c r="D161" t="s">
        <v>50</v>
      </c>
      <c r="I161">
        <f>G150</f>
        <v>118378.76999999999</v>
      </c>
    </row>
    <row r="163" spans="4:13" x14ac:dyDescent="0.2">
      <c r="D163" t="s">
        <v>51</v>
      </c>
      <c r="I163">
        <f>G150-I159</f>
        <v>65210.311320138237</v>
      </c>
    </row>
    <row r="165" spans="4:13" x14ac:dyDescent="0.2">
      <c r="D165" t="s">
        <v>52</v>
      </c>
    </row>
    <row r="167" spans="4:13" x14ac:dyDescent="0.2">
      <c r="D167" t="s">
        <v>53</v>
      </c>
      <c r="I167">
        <f>I163</f>
        <v>65210.311320138237</v>
      </c>
    </row>
    <row r="168" spans="4:13" x14ac:dyDescent="0.2">
      <c r="D168" t="s">
        <v>54</v>
      </c>
      <c r="I168">
        <f>SUM(F146:F148)/3</f>
        <v>11571.666666666666</v>
      </c>
    </row>
    <row r="169" spans="4:13" x14ac:dyDescent="0.2">
      <c r="D169" t="s">
        <v>55</v>
      </c>
      <c r="I169">
        <f>I167/I168</f>
        <v>5.6353430494142218</v>
      </c>
    </row>
    <row r="170" spans="4:13" x14ac:dyDescent="0.2">
      <c r="D170" t="s">
        <v>56</v>
      </c>
    </row>
    <row r="171" spans="4:13" x14ac:dyDescent="0.2">
      <c r="D171" t="s">
        <v>57</v>
      </c>
      <c r="I171">
        <f>I169/12</f>
        <v>0.46961192078451847</v>
      </c>
    </row>
    <row r="174" spans="4:13" x14ac:dyDescent="0.2">
      <c r="D174" t="s">
        <v>58</v>
      </c>
      <c r="I174" t="s">
        <v>78</v>
      </c>
      <c r="J174" t="s">
        <v>78</v>
      </c>
      <c r="K174" t="s">
        <v>78</v>
      </c>
      <c r="L174" t="s">
        <v>8</v>
      </c>
    </row>
    <row r="175" spans="4:13" x14ac:dyDescent="0.2">
      <c r="I175" t="s">
        <v>37</v>
      </c>
      <c r="J175" t="s">
        <v>38</v>
      </c>
      <c r="K175" t="s">
        <v>39</v>
      </c>
      <c r="L175" t="s">
        <v>13</v>
      </c>
    </row>
    <row r="176" spans="4:13" x14ac:dyDescent="0.2">
      <c r="D176" t="s">
        <v>60</v>
      </c>
      <c r="I176">
        <f>G146</f>
        <v>10338.179999999998</v>
      </c>
      <c r="J176">
        <f>G147</f>
        <v>10453.24</v>
      </c>
      <c r="K176">
        <f>G148</f>
        <v>13770.370000000003</v>
      </c>
      <c r="L176">
        <f>AVERAGE(I176:K176)</f>
        <v>11520.596666666666</v>
      </c>
      <c r="M176" t="s">
        <v>61</v>
      </c>
    </row>
    <row r="177" spans="4:13" x14ac:dyDescent="0.2">
      <c r="D177" t="s">
        <v>62</v>
      </c>
      <c r="I177">
        <f>F146</f>
        <v>11550</v>
      </c>
      <c r="J177">
        <f>F147</f>
        <v>11575</v>
      </c>
      <c r="K177">
        <f>F148</f>
        <v>11590</v>
      </c>
      <c r="L177">
        <f>AVERAGE(I177:K177)</f>
        <v>11571.666666666666</v>
      </c>
      <c r="M177" t="s">
        <v>63</v>
      </c>
    </row>
    <row r="179" spans="4:13" x14ac:dyDescent="0.2">
      <c r="D179" t="s">
        <v>79</v>
      </c>
      <c r="H179" t="s">
        <v>65</v>
      </c>
      <c r="L179">
        <f>L176/L177</f>
        <v>0.99558663401987613</v>
      </c>
    </row>
    <row r="180" spans="4:13" x14ac:dyDescent="0.2">
      <c r="D180" t="s">
        <v>66</v>
      </c>
      <c r="L180">
        <f>I171</f>
        <v>0.46961192078451847</v>
      </c>
    </row>
    <row r="182" spans="4:13" x14ac:dyDescent="0.2">
      <c r="D182" t="s">
        <v>67</v>
      </c>
      <c r="G182" t="s">
        <v>68</v>
      </c>
      <c r="L182">
        <f>SUM(L179:L181)</f>
        <v>1.4651985548043946</v>
      </c>
    </row>
  </sheetData>
  <phoneticPr fontId="0" type="noConversion"/>
  <pageMargins left="0.35" right="0.35" top="0.75" bottom="0.75" header="0.5" footer="0.5"/>
  <pageSetup orientation="portrait" horizontalDpi="4294967293" verticalDpi="0"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23"/>
  <sheetViews>
    <sheetView topLeftCell="A64" workbookViewId="0">
      <selection activeCell="B70" sqref="B70"/>
    </sheetView>
  </sheetViews>
  <sheetFormatPr defaultRowHeight="15" x14ac:dyDescent="0.2"/>
  <cols>
    <col min="1" max="1" width="2.44140625" customWidth="1"/>
    <col min="2" max="2" width="13.33203125" customWidth="1"/>
    <col min="3" max="3" width="2.109375" customWidth="1"/>
    <col min="4" max="4" width="11.44140625" customWidth="1"/>
    <col min="5" max="5" width="10.44140625" customWidth="1"/>
    <col min="6" max="6" width="9.88671875" customWidth="1"/>
    <col min="9" max="9" width="10.6640625" customWidth="1"/>
  </cols>
  <sheetData>
    <row r="1" spans="2:6" x14ac:dyDescent="0.2">
      <c r="F1" t="s">
        <v>0</v>
      </c>
    </row>
    <row r="2" spans="2:6" x14ac:dyDescent="0.2">
      <c r="F2" t="s">
        <v>1</v>
      </c>
    </row>
    <row r="3" spans="2:6" x14ac:dyDescent="0.2">
      <c r="F3" t="s">
        <v>2</v>
      </c>
    </row>
    <row r="6" spans="2:6" x14ac:dyDescent="0.2">
      <c r="B6" t="s">
        <v>483</v>
      </c>
    </row>
    <row r="8" spans="2:6" x14ac:dyDescent="0.2">
      <c r="B8" t="s">
        <v>4</v>
      </c>
    </row>
    <row r="9" spans="2:6" x14ac:dyDescent="0.2">
      <c r="B9" t="s">
        <v>394</v>
      </c>
    </row>
    <row r="10" spans="2:6" x14ac:dyDescent="0.2">
      <c r="B10" t="s">
        <v>6</v>
      </c>
    </row>
    <row r="11" spans="2:6" x14ac:dyDescent="0.2">
      <c r="F11" t="s">
        <v>7</v>
      </c>
    </row>
    <row r="12" spans="2:6" x14ac:dyDescent="0.2">
      <c r="D12" t="s">
        <v>30</v>
      </c>
      <c r="E12" t="s">
        <v>31</v>
      </c>
      <c r="F12" t="s">
        <v>8</v>
      </c>
    </row>
    <row r="13" spans="2:6" x14ac:dyDescent="0.2">
      <c r="B13" t="s">
        <v>92</v>
      </c>
      <c r="D13" t="s">
        <v>26</v>
      </c>
      <c r="E13" t="s">
        <v>32</v>
      </c>
      <c r="F13" t="s">
        <v>13</v>
      </c>
    </row>
    <row r="15" spans="2:6" x14ac:dyDescent="0.2">
      <c r="B15" t="s">
        <v>388</v>
      </c>
      <c r="D15">
        <f>34192+16125</f>
        <v>50317</v>
      </c>
      <c r="E15">
        <f>'9th year actual'!J46</f>
        <v>183402.49679999999</v>
      </c>
      <c r="F15">
        <f>SUM(E15)/SUM(D15)</f>
        <v>3.6449410099966211</v>
      </c>
    </row>
    <row r="16" spans="2:6" x14ac:dyDescent="0.2">
      <c r="B16" t="s">
        <v>116</v>
      </c>
      <c r="D16">
        <f>34208+16221</f>
        <v>50429</v>
      </c>
      <c r="E16">
        <f>'9th year actual'!J47</f>
        <v>227392.92679999999</v>
      </c>
      <c r="F16">
        <f>SUM(E15:E16)/SUM(D15:D16)</f>
        <v>4.0775358187918131</v>
      </c>
    </row>
    <row r="17" spans="2:14" x14ac:dyDescent="0.2">
      <c r="B17" t="s">
        <v>34</v>
      </c>
      <c r="D17">
        <f>34380+16195</f>
        <v>50575</v>
      </c>
      <c r="E17">
        <f>'9th year actual'!J48</f>
        <v>234978.66929999998</v>
      </c>
      <c r="F17">
        <f t="shared" ref="F17:F25" si="0">SUM(E15:E17)/SUM(D15:D17)</f>
        <v>4.2675774869317538</v>
      </c>
    </row>
    <row r="18" spans="2:14" x14ac:dyDescent="0.2">
      <c r="B18" t="s">
        <v>35</v>
      </c>
      <c r="D18">
        <f>34646+16128</f>
        <v>50774</v>
      </c>
      <c r="E18">
        <f>'9th year actual'!J49</f>
        <v>238580.11610000001</v>
      </c>
      <c r="F18">
        <f t="shared" si="0"/>
        <v>4.6182695265453484</v>
      </c>
    </row>
    <row r="19" spans="2:14" x14ac:dyDescent="0.2">
      <c r="B19" t="s">
        <v>391</v>
      </c>
      <c r="D19">
        <f>34247+16081</f>
        <v>50328</v>
      </c>
      <c r="E19">
        <f>'9th year actual'!J50</f>
        <v>241576.66539999994</v>
      </c>
      <c r="F19">
        <f t="shared" si="0"/>
        <v>4.7148575644296757</v>
      </c>
      <c r="M19">
        <f>16257+34100</f>
        <v>50357</v>
      </c>
      <c r="N19">
        <f>35245+16320</f>
        <v>51565</v>
      </c>
    </row>
    <row r="20" spans="2:14" x14ac:dyDescent="0.2">
      <c r="B20" t="s">
        <v>37</v>
      </c>
      <c r="D20">
        <f>34300+16096</f>
        <v>50396</v>
      </c>
      <c r="E20">
        <f>'9th year actual'!J51</f>
        <v>202100.45920000001</v>
      </c>
      <c r="F20">
        <f t="shared" si="0"/>
        <v>4.5034075743574169</v>
      </c>
    </row>
    <row r="21" spans="2:14" x14ac:dyDescent="0.2">
      <c r="B21" t="s">
        <v>38</v>
      </c>
      <c r="D21">
        <f>34318+16155</f>
        <v>50473</v>
      </c>
      <c r="E21">
        <f>'9th year actual'!J52</f>
        <v>216548.36120000001</v>
      </c>
      <c r="F21">
        <f t="shared" si="0"/>
        <v>4.3666573133064812</v>
      </c>
    </row>
    <row r="22" spans="2:14" x14ac:dyDescent="0.2">
      <c r="B22" t="s">
        <v>95</v>
      </c>
      <c r="D22">
        <f>34657+16288</f>
        <v>50945</v>
      </c>
      <c r="E22">
        <f>'9th year actual'!J53</f>
        <v>232617.14150000003</v>
      </c>
      <c r="F22">
        <f t="shared" si="0"/>
        <v>4.2898939616899625</v>
      </c>
    </row>
    <row r="23" spans="2:14" x14ac:dyDescent="0.2">
      <c r="B23" t="s">
        <v>40</v>
      </c>
      <c r="D23">
        <f>34813+16379</f>
        <v>51192</v>
      </c>
      <c r="E23">
        <f>'9th year actual'!J54</f>
        <v>213983.58430000002</v>
      </c>
      <c r="F23">
        <f t="shared" si="0"/>
        <v>4.3453842277701336</v>
      </c>
    </row>
    <row r="24" spans="2:14" x14ac:dyDescent="0.2">
      <c r="B24" t="s">
        <v>41</v>
      </c>
      <c r="D24">
        <f>34838+16475</f>
        <v>51313</v>
      </c>
      <c r="E24">
        <f>'9th year actual'!J55</f>
        <v>205933.15529999995</v>
      </c>
      <c r="F24">
        <f t="shared" si="0"/>
        <v>4.2524202091886609</v>
      </c>
    </row>
    <row r="25" spans="2:14" x14ac:dyDescent="0.2">
      <c r="B25" t="s">
        <v>42</v>
      </c>
      <c r="D25">
        <f>35075+16548</f>
        <v>51623</v>
      </c>
      <c r="E25">
        <f>'9th year actual'!J56</f>
        <v>212095.45729999998</v>
      </c>
      <c r="F25">
        <f t="shared" si="0"/>
        <v>4.100567041030831</v>
      </c>
    </row>
    <row r="26" spans="2:14" x14ac:dyDescent="0.2">
      <c r="B26" t="s">
        <v>43</v>
      </c>
      <c r="D26">
        <f>35174+16607</f>
        <v>51781</v>
      </c>
      <c r="E26">
        <f>'9th year actual'!J57</f>
        <v>203137.29089999996</v>
      </c>
      <c r="F26">
        <f>SUM(E24:E26)/SUM(D24:D26)</f>
        <v>4.0148523012984993</v>
      </c>
    </row>
    <row r="27" spans="2:14" x14ac:dyDescent="0.2">
      <c r="B27" t="s">
        <v>96</v>
      </c>
      <c r="D27">
        <f>SUM(D14:D26)</f>
        <v>610146</v>
      </c>
      <c r="E27">
        <f>SUM(E14:E26)</f>
        <v>2612346.3240999994</v>
      </c>
      <c r="G27" t="s">
        <v>6</v>
      </c>
    </row>
    <row r="28" spans="2:14" x14ac:dyDescent="0.2">
      <c r="G28" t="s">
        <v>6</v>
      </c>
    </row>
    <row r="29" spans="2:14" x14ac:dyDescent="0.2">
      <c r="B29" t="s">
        <v>399</v>
      </c>
    </row>
    <row r="31" spans="2:14" x14ac:dyDescent="0.2">
      <c r="B31" t="s">
        <v>398</v>
      </c>
      <c r="F31">
        <f>SUM(D14:D26)</f>
        <v>610146</v>
      </c>
      <c r="J31" t="s">
        <v>6</v>
      </c>
    </row>
    <row r="34" spans="2:9" x14ac:dyDescent="0.2">
      <c r="B34" t="s">
        <v>101</v>
      </c>
      <c r="E34" t="s">
        <v>396</v>
      </c>
      <c r="F34">
        <v>1.82</v>
      </c>
    </row>
    <row r="35" spans="2:9" x14ac:dyDescent="0.2">
      <c r="B35" t="s">
        <v>101</v>
      </c>
      <c r="E35" t="s">
        <v>397</v>
      </c>
      <c r="F35">
        <v>2.52</v>
      </c>
    </row>
    <row r="38" spans="2:9" x14ac:dyDescent="0.2">
      <c r="B38" t="s">
        <v>395</v>
      </c>
      <c r="H38">
        <f>(SUM(D15:D16)*F34)+SUM(D17:D26)*F35</f>
        <v>1467045.72</v>
      </c>
    </row>
    <row r="40" spans="2:9" x14ac:dyDescent="0.2">
      <c r="B40" t="s">
        <v>50</v>
      </c>
      <c r="G40">
        <f>SUM(E14:E26)</f>
        <v>2612346.3240999994</v>
      </c>
    </row>
    <row r="41" spans="2:9" x14ac:dyDescent="0.2">
      <c r="B41" t="s">
        <v>340</v>
      </c>
      <c r="G41">
        <f>G40*0.3</f>
        <v>783703.89722999977</v>
      </c>
    </row>
    <row r="42" spans="2:9" x14ac:dyDescent="0.2">
      <c r="B42" t="s">
        <v>350</v>
      </c>
      <c r="H42">
        <f>G40-G41</f>
        <v>1828642.4268699996</v>
      </c>
    </row>
    <row r="44" spans="2:9" x14ac:dyDescent="0.2">
      <c r="B44" t="s">
        <v>351</v>
      </c>
      <c r="H44">
        <f>H42-H38</f>
        <v>361596.70686999965</v>
      </c>
      <c r="I44" t="s">
        <v>352</v>
      </c>
    </row>
    <row r="46" spans="2:9" x14ac:dyDescent="0.2">
      <c r="B46" t="s">
        <v>106</v>
      </c>
    </row>
    <row r="48" spans="2:9" x14ac:dyDescent="0.2">
      <c r="B48" t="s">
        <v>107</v>
      </c>
      <c r="G48">
        <f>H44</f>
        <v>361596.70686999965</v>
      </c>
    </row>
    <row r="49" spans="2:10" x14ac:dyDescent="0.2">
      <c r="B49" t="s">
        <v>54</v>
      </c>
      <c r="G49">
        <f>SUM(D24:D26)/3</f>
        <v>51572.333333333336</v>
      </c>
    </row>
    <row r="50" spans="2:10" x14ac:dyDescent="0.2">
      <c r="B50" t="s">
        <v>108</v>
      </c>
      <c r="G50">
        <f>G48/G49</f>
        <v>7.0114474854734699</v>
      </c>
    </row>
    <row r="51" spans="2:10" x14ac:dyDescent="0.2">
      <c r="B51" t="s">
        <v>56</v>
      </c>
    </row>
    <row r="52" spans="2:10" x14ac:dyDescent="0.2">
      <c r="B52" t="s">
        <v>57</v>
      </c>
      <c r="G52">
        <f>G50/12</f>
        <v>0.58428729045612249</v>
      </c>
    </row>
    <row r="54" spans="2:10" x14ac:dyDescent="0.2">
      <c r="J54" t="s">
        <v>362</v>
      </c>
    </row>
    <row r="55" spans="2:10" x14ac:dyDescent="0.2">
      <c r="B55" t="s">
        <v>354</v>
      </c>
      <c r="F55" t="s">
        <v>400</v>
      </c>
      <c r="G55" t="s">
        <v>401</v>
      </c>
      <c r="H55" t="s">
        <v>402</v>
      </c>
      <c r="I55" t="s">
        <v>13</v>
      </c>
      <c r="J55" t="s">
        <v>363</v>
      </c>
    </row>
    <row r="56" spans="2:10" x14ac:dyDescent="0.2">
      <c r="B56" t="s">
        <v>353</v>
      </c>
      <c r="F56">
        <f>E24</f>
        <v>205933.15529999995</v>
      </c>
      <c r="G56">
        <f>E25</f>
        <v>212095.45729999998</v>
      </c>
      <c r="H56">
        <f>E26</f>
        <v>203137.29089999996</v>
      </c>
      <c r="I56">
        <f>AVERAGE(F56:H56)</f>
        <v>207055.30116666664</v>
      </c>
      <c r="J56">
        <f>I56*0.7</f>
        <v>144938.71081666663</v>
      </c>
    </row>
    <row r="57" spans="2:10" x14ac:dyDescent="0.2">
      <c r="B57" t="s">
        <v>355</v>
      </c>
      <c r="F57">
        <f>D24</f>
        <v>51313</v>
      </c>
      <c r="G57">
        <f>D25</f>
        <v>51623</v>
      </c>
      <c r="H57">
        <f>D26</f>
        <v>51781</v>
      </c>
      <c r="I57">
        <f>AVERAGE(F57:H57)</f>
        <v>51572.333333333336</v>
      </c>
      <c r="J57">
        <f>I57</f>
        <v>51572.333333333336</v>
      </c>
    </row>
    <row r="59" spans="2:10" x14ac:dyDescent="0.2">
      <c r="E59" t="s">
        <v>359</v>
      </c>
      <c r="I59">
        <f>I56/I57</f>
        <v>4.0148523012984993</v>
      </c>
      <c r="J59">
        <f>J56/J57</f>
        <v>2.8103966109089491</v>
      </c>
    </row>
    <row r="60" spans="2:10" x14ac:dyDescent="0.2">
      <c r="E60" t="s">
        <v>360</v>
      </c>
      <c r="I60">
        <f>G52</f>
        <v>0.58428729045612249</v>
      </c>
      <c r="J60">
        <f>I60</f>
        <v>0.58428729045612249</v>
      </c>
    </row>
    <row r="61" spans="2:10" x14ac:dyDescent="0.2">
      <c r="F61" t="s">
        <v>361</v>
      </c>
      <c r="I61">
        <f>I59+I60</f>
        <v>4.5991395917546214</v>
      </c>
      <c r="J61">
        <f>SUM(J59:J60)</f>
        <v>3.3946839013650716</v>
      </c>
    </row>
    <row r="65" spans="2:6" x14ac:dyDescent="0.2">
      <c r="F65" t="s">
        <v>0</v>
      </c>
    </row>
    <row r="66" spans="2:6" x14ac:dyDescent="0.2">
      <c r="F66" t="s">
        <v>1</v>
      </c>
    </row>
    <row r="67" spans="2:6" x14ac:dyDescent="0.2">
      <c r="F67" t="s">
        <v>342</v>
      </c>
    </row>
    <row r="70" spans="2:6" x14ac:dyDescent="0.2">
      <c r="B70" t="str">
        <f>B6</f>
        <v>After Nineth Year Commodity Adjustment</v>
      </c>
    </row>
    <row r="72" spans="2:6" x14ac:dyDescent="0.2">
      <c r="B72" t="s">
        <v>4</v>
      </c>
    </row>
    <row r="73" spans="2:6" x14ac:dyDescent="0.2">
      <c r="B73" t="s">
        <v>394</v>
      </c>
    </row>
    <row r="74" spans="2:6" x14ac:dyDescent="0.2">
      <c r="B74" t="s">
        <v>6</v>
      </c>
    </row>
    <row r="75" spans="2:6" x14ac:dyDescent="0.2">
      <c r="F75" t="s">
        <v>345</v>
      </c>
    </row>
    <row r="76" spans="2:6" x14ac:dyDescent="0.2">
      <c r="B76" t="s">
        <v>344</v>
      </c>
      <c r="D76" t="s">
        <v>30</v>
      </c>
      <c r="E76" t="s">
        <v>31</v>
      </c>
      <c r="F76" t="s">
        <v>8</v>
      </c>
    </row>
    <row r="77" spans="2:6" x14ac:dyDescent="0.2">
      <c r="B77" t="s">
        <v>92</v>
      </c>
      <c r="D77" t="s">
        <v>145</v>
      </c>
      <c r="E77" t="s">
        <v>32</v>
      </c>
      <c r="F77" t="s">
        <v>13</v>
      </c>
    </row>
    <row r="79" spans="2:6" x14ac:dyDescent="0.2">
      <c r="B79" t="s">
        <v>388</v>
      </c>
      <c r="D79">
        <v>7891</v>
      </c>
      <c r="E79">
        <f>'9th year actual'!K107</f>
        <v>6312.0018750000008</v>
      </c>
      <c r="F79">
        <f>SUM(E79)/SUM(D79)</f>
        <v>0.79989885629197832</v>
      </c>
    </row>
    <row r="80" spans="2:6" x14ac:dyDescent="0.2">
      <c r="B80" t="s">
        <v>116</v>
      </c>
      <c r="D80">
        <v>7947</v>
      </c>
      <c r="E80">
        <f>'9th year actual'!K108</f>
        <v>7881.0060750000002</v>
      </c>
      <c r="F80">
        <f>SUM(E79:E80)/SUM(D79:D80)</f>
        <v>0.89613637769920451</v>
      </c>
    </row>
    <row r="81" spans="2:6" x14ac:dyDescent="0.2">
      <c r="B81" t="s">
        <v>34</v>
      </c>
      <c r="D81">
        <v>7945</v>
      </c>
      <c r="E81">
        <f>'9th year actual'!K109</f>
        <v>7843.7969199999989</v>
      </c>
      <c r="F81">
        <f t="shared" ref="F81:F89" si="1">SUM(E79:E81)/SUM(D79:D81)</f>
        <v>0.92657801244586468</v>
      </c>
    </row>
    <row r="82" spans="2:6" x14ac:dyDescent="0.2">
      <c r="B82" t="s">
        <v>35</v>
      </c>
      <c r="D82">
        <v>7864</v>
      </c>
      <c r="E82">
        <f>'9th year actual'!K110</f>
        <v>7369.9822249999988</v>
      </c>
      <c r="F82">
        <f t="shared" si="1"/>
        <v>0.97216640932816967</v>
      </c>
    </row>
    <row r="83" spans="2:6" x14ac:dyDescent="0.2">
      <c r="B83" t="s">
        <v>391</v>
      </c>
      <c r="D83">
        <f>7874</f>
        <v>7874</v>
      </c>
      <c r="E83">
        <f>'9th year actual'!K111</f>
        <v>8121.7642500000002</v>
      </c>
      <c r="F83">
        <f t="shared" si="1"/>
        <v>0.98532886015285215</v>
      </c>
    </row>
    <row r="84" spans="2:6" x14ac:dyDescent="0.2">
      <c r="B84" t="s">
        <v>37</v>
      </c>
      <c r="D84">
        <v>7798</v>
      </c>
      <c r="E84">
        <f>'9th year actual'!K112</f>
        <v>7680.0596125000002</v>
      </c>
      <c r="F84">
        <f t="shared" si="1"/>
        <v>0.98452609141315439</v>
      </c>
    </row>
    <row r="85" spans="2:6" x14ac:dyDescent="0.2">
      <c r="B85" t="s">
        <v>38</v>
      </c>
      <c r="D85">
        <v>7848</v>
      </c>
      <c r="E85">
        <f>'9th year actual'!K113</f>
        <v>7593.5713249999981</v>
      </c>
      <c r="F85">
        <f t="shared" si="1"/>
        <v>0.99470217633928559</v>
      </c>
    </row>
    <row r="86" spans="2:6" x14ac:dyDescent="0.2">
      <c r="B86" t="s">
        <v>95</v>
      </c>
      <c r="D86">
        <v>7872</v>
      </c>
      <c r="E86">
        <f>'9th year actual'!K114</f>
        <v>7185.8299249999991</v>
      </c>
      <c r="F86">
        <f t="shared" si="1"/>
        <v>0.95499025693086137</v>
      </c>
    </row>
    <row r="87" spans="2:6" x14ac:dyDescent="0.2">
      <c r="B87" t="s">
        <v>40</v>
      </c>
      <c r="D87">
        <v>7901</v>
      </c>
      <c r="E87">
        <f>'9th year actual'!K115</f>
        <v>6838.6358750000009</v>
      </c>
      <c r="F87">
        <f t="shared" si="1"/>
        <v>0.91520414567545827</v>
      </c>
    </row>
    <row r="88" spans="2:6" x14ac:dyDescent="0.2">
      <c r="B88" t="s">
        <v>41</v>
      </c>
      <c r="D88">
        <v>7905</v>
      </c>
      <c r="E88">
        <f>'9th year actual'!K116</f>
        <v>6612.2436449999996</v>
      </c>
      <c r="F88">
        <f t="shared" si="1"/>
        <v>0.87155627354506293</v>
      </c>
    </row>
    <row r="89" spans="2:6" x14ac:dyDescent="0.2">
      <c r="B89" t="s">
        <v>42</v>
      </c>
      <c r="D89">
        <v>7982</v>
      </c>
      <c r="E89">
        <f>'9th year actual'!K117</f>
        <v>7217.8910249999981</v>
      </c>
      <c r="F89">
        <f t="shared" si="1"/>
        <v>0.86887382482764419</v>
      </c>
    </row>
    <row r="90" spans="2:6" x14ac:dyDescent="0.2">
      <c r="B90" t="s">
        <v>43</v>
      </c>
      <c r="D90">
        <v>7692</v>
      </c>
      <c r="E90">
        <f>'9th year actual'!K118</f>
        <v>6697.7436349999998</v>
      </c>
      <c r="F90">
        <f>SUM(E88:E90)/SUM(D88:D90)</f>
        <v>0.87060003838161071</v>
      </c>
    </row>
    <row r="91" spans="2:6" x14ac:dyDescent="0.2">
      <c r="B91" t="s">
        <v>96</v>
      </c>
      <c r="D91">
        <f>SUM(D78:D90)</f>
        <v>94519</v>
      </c>
      <c r="E91">
        <f>SUM(E78:E90)</f>
        <v>87354.526387500009</v>
      </c>
    </row>
    <row r="93" spans="2:6" x14ac:dyDescent="0.2">
      <c r="B93" t="s">
        <v>399</v>
      </c>
    </row>
    <row r="95" spans="2:6" x14ac:dyDescent="0.2">
      <c r="B95" t="s">
        <v>392</v>
      </c>
      <c r="F95">
        <f>SUM(D78:D90)</f>
        <v>94519</v>
      </c>
    </row>
    <row r="97" spans="2:9" x14ac:dyDescent="0.2">
      <c r="B97" t="s">
        <v>343</v>
      </c>
      <c r="E97" t="s">
        <v>396</v>
      </c>
      <c r="F97">
        <v>0.46</v>
      </c>
    </row>
    <row r="98" spans="2:9" x14ac:dyDescent="0.2">
      <c r="B98" t="s">
        <v>343</v>
      </c>
      <c r="E98" t="s">
        <v>397</v>
      </c>
      <c r="F98">
        <v>0.55000000000000004</v>
      </c>
    </row>
    <row r="101" spans="2:9" x14ac:dyDescent="0.2">
      <c r="B101" t="s">
        <v>393</v>
      </c>
      <c r="H101">
        <f>(SUM(D79:D80)*F97)+SUM(D81:D90)*F98</f>
        <v>50560.030000000006</v>
      </c>
      <c r="I101" t="s">
        <v>6</v>
      </c>
    </row>
    <row r="102" spans="2:9" x14ac:dyDescent="0.2">
      <c r="I102" t="s">
        <v>6</v>
      </c>
    </row>
    <row r="103" spans="2:9" x14ac:dyDescent="0.2">
      <c r="B103" t="s">
        <v>50</v>
      </c>
      <c r="G103">
        <f>SUM(E78:E90)</f>
        <v>87354.526387500009</v>
      </c>
      <c r="I103" t="s">
        <v>6</v>
      </c>
    </row>
    <row r="104" spans="2:9" x14ac:dyDescent="0.2">
      <c r="B104" t="s">
        <v>340</v>
      </c>
      <c r="G104">
        <f>G103*0.3</f>
        <v>26206.357916250003</v>
      </c>
    </row>
    <row r="105" spans="2:9" x14ac:dyDescent="0.2">
      <c r="B105" t="s">
        <v>364</v>
      </c>
      <c r="H105">
        <f>G103-G104</f>
        <v>61148.168471250006</v>
      </c>
    </row>
    <row r="107" spans="2:9" x14ac:dyDescent="0.2">
      <c r="B107" t="s">
        <v>190</v>
      </c>
      <c r="H107">
        <f>H105-H101</f>
        <v>10588.13847125</v>
      </c>
    </row>
    <row r="109" spans="2:9" x14ac:dyDescent="0.2">
      <c r="B109" t="s">
        <v>365</v>
      </c>
    </row>
    <row r="111" spans="2:9" x14ac:dyDescent="0.2">
      <c r="B111" t="s">
        <v>107</v>
      </c>
      <c r="G111">
        <f>H107</f>
        <v>10588.13847125</v>
      </c>
    </row>
    <row r="112" spans="2:9" x14ac:dyDescent="0.2">
      <c r="B112" t="s">
        <v>348</v>
      </c>
      <c r="G112">
        <f>SUM(D88:D90)/3</f>
        <v>7859.666666666667</v>
      </c>
    </row>
    <row r="113" spans="2:10" x14ac:dyDescent="0.2">
      <c r="B113" t="s">
        <v>349</v>
      </c>
      <c r="G113">
        <f>G111/G112</f>
        <v>1.3471485395373002</v>
      </c>
    </row>
    <row r="114" spans="2:10" x14ac:dyDescent="0.2">
      <c r="B114" t="s">
        <v>56</v>
      </c>
    </row>
    <row r="115" spans="2:10" x14ac:dyDescent="0.2">
      <c r="B115" t="s">
        <v>367</v>
      </c>
      <c r="G115">
        <f>G113/12</f>
        <v>0.11226237829477502</v>
      </c>
    </row>
    <row r="116" spans="2:10" x14ac:dyDescent="0.2">
      <c r="J116" t="s">
        <v>362</v>
      </c>
    </row>
    <row r="117" spans="2:10" x14ac:dyDescent="0.2">
      <c r="B117" t="s">
        <v>354</v>
      </c>
      <c r="F117" t="s">
        <v>400</v>
      </c>
      <c r="G117" t="s">
        <v>401</v>
      </c>
      <c r="H117" t="s">
        <v>402</v>
      </c>
      <c r="I117" t="s">
        <v>13</v>
      </c>
      <c r="J117" t="s">
        <v>363</v>
      </c>
    </row>
    <row r="118" spans="2:10" x14ac:dyDescent="0.2">
      <c r="B118" t="s">
        <v>353</v>
      </c>
      <c r="F118">
        <f>E88</f>
        <v>6612.2436449999996</v>
      </c>
      <c r="G118">
        <f>E89</f>
        <v>7217.8910249999981</v>
      </c>
      <c r="H118">
        <f>E90</f>
        <v>6697.7436349999998</v>
      </c>
      <c r="I118">
        <f>AVERAGE(F118:H118)</f>
        <v>6842.6261016666658</v>
      </c>
      <c r="J118">
        <f>I118*0.7</f>
        <v>4789.8382711666654</v>
      </c>
    </row>
    <row r="119" spans="2:10" x14ac:dyDescent="0.2">
      <c r="B119" t="s">
        <v>366</v>
      </c>
      <c r="F119">
        <f>D88</f>
        <v>7905</v>
      </c>
      <c r="G119">
        <f>D89</f>
        <v>7982</v>
      </c>
      <c r="H119">
        <f>D90</f>
        <v>7692</v>
      </c>
      <c r="I119">
        <f>AVERAGE(F119:H119)</f>
        <v>7859.666666666667</v>
      </c>
      <c r="J119">
        <f>I119</f>
        <v>7859.666666666667</v>
      </c>
    </row>
    <row r="121" spans="2:10" x14ac:dyDescent="0.2">
      <c r="E121" t="s">
        <v>359</v>
      </c>
      <c r="I121">
        <f>I118/I119</f>
        <v>0.8706000383816106</v>
      </c>
      <c r="J121">
        <f>J118/J119</f>
        <v>0.60942002686712737</v>
      </c>
    </row>
    <row r="122" spans="2:10" x14ac:dyDescent="0.2">
      <c r="E122" t="s">
        <v>368</v>
      </c>
      <c r="I122">
        <f>G115</f>
        <v>0.11226237829477502</v>
      </c>
      <c r="J122">
        <f>I122</f>
        <v>0.11226237829477502</v>
      </c>
    </row>
    <row r="123" spans="2:10" x14ac:dyDescent="0.2">
      <c r="F123" t="s">
        <v>369</v>
      </c>
      <c r="I123">
        <f>I121+I122</f>
        <v>0.98286241667638563</v>
      </c>
      <c r="J123">
        <f>SUM(J121:J122)</f>
        <v>0.72168240516190241</v>
      </c>
    </row>
  </sheetData>
  <phoneticPr fontId="0" type="noConversion"/>
  <pageMargins left="0.75" right="0.75" top="1" bottom="1" header="0.5" footer="0.5"/>
  <pageSetup orientation="portrait" horizontalDpi="300" verticalDpi="3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119"/>
  <sheetViews>
    <sheetView workbookViewId="0"/>
  </sheetViews>
  <sheetFormatPr defaultRowHeight="15" x14ac:dyDescent="0.2"/>
  <cols>
    <col min="1" max="1" width="11.6640625" customWidth="1"/>
    <col min="9" max="9" width="9.5546875" customWidth="1"/>
  </cols>
  <sheetData>
    <row r="2" spans="1:10" x14ac:dyDescent="0.2">
      <c r="E2" t="s">
        <v>0</v>
      </c>
    </row>
    <row r="3" spans="1:10" x14ac:dyDescent="0.2">
      <c r="E3" t="s">
        <v>1</v>
      </c>
    </row>
    <row r="4" spans="1:10" x14ac:dyDescent="0.2">
      <c r="E4" t="s">
        <v>2</v>
      </c>
    </row>
    <row r="5" spans="1:10" x14ac:dyDescent="0.2">
      <c r="E5" t="s">
        <v>484</v>
      </c>
    </row>
    <row r="7" spans="1:10" x14ac:dyDescent="0.2">
      <c r="B7" t="s">
        <v>81</v>
      </c>
    </row>
    <row r="8" spans="1:10" x14ac:dyDescent="0.2">
      <c r="G8" t="s">
        <v>6</v>
      </c>
      <c r="H8" t="s">
        <v>330</v>
      </c>
      <c r="I8" t="s">
        <v>6</v>
      </c>
    </row>
    <row r="9" spans="1:10" x14ac:dyDescent="0.2">
      <c r="B9" t="s">
        <v>14</v>
      </c>
      <c r="C9" t="s">
        <v>15</v>
      </c>
      <c r="D9" t="s">
        <v>16</v>
      </c>
      <c r="E9" t="s">
        <v>18</v>
      </c>
      <c r="F9" t="s">
        <v>19</v>
      </c>
      <c r="G9" t="s">
        <v>20</v>
      </c>
      <c r="H9" t="s">
        <v>331</v>
      </c>
      <c r="I9" t="s">
        <v>333</v>
      </c>
      <c r="J9" t="s">
        <v>84</v>
      </c>
    </row>
    <row r="10" spans="1:10" x14ac:dyDescent="0.2">
      <c r="A10" t="s">
        <v>9</v>
      </c>
    </row>
    <row r="11" spans="1:10" x14ac:dyDescent="0.2">
      <c r="A11" t="s">
        <v>389</v>
      </c>
      <c r="B11">
        <v>80.95</v>
      </c>
      <c r="C11">
        <v>833.5</v>
      </c>
      <c r="D11">
        <v>81.39</v>
      </c>
      <c r="E11">
        <v>17.16</v>
      </c>
      <c r="F11">
        <v>19.8</v>
      </c>
      <c r="G11">
        <v>13.2</v>
      </c>
      <c r="H11">
        <v>23.1</v>
      </c>
      <c r="I11">
        <v>30.8</v>
      </c>
      <c r="J11">
        <f t="shared" ref="J11:J22" si="0">SUM(B11:I11)</f>
        <v>1099.8999999999999</v>
      </c>
    </row>
    <row r="12" spans="1:10" x14ac:dyDescent="0.2">
      <c r="A12" t="s">
        <v>72</v>
      </c>
      <c r="B12">
        <v>94.94</v>
      </c>
      <c r="C12">
        <v>977.53</v>
      </c>
      <c r="D12">
        <v>95.46</v>
      </c>
      <c r="E12">
        <v>20.12</v>
      </c>
      <c r="F12">
        <v>23.22</v>
      </c>
      <c r="G12">
        <v>15.48</v>
      </c>
      <c r="H12">
        <v>27.09</v>
      </c>
      <c r="I12">
        <v>36.119999999999997</v>
      </c>
      <c r="J12">
        <f t="shared" si="0"/>
        <v>1289.9599999999998</v>
      </c>
    </row>
    <row r="13" spans="1:10" x14ac:dyDescent="0.2">
      <c r="A13" t="s">
        <v>34</v>
      </c>
      <c r="B13">
        <v>95.2</v>
      </c>
      <c r="C13">
        <v>980.23</v>
      </c>
      <c r="D13">
        <v>95.72</v>
      </c>
      <c r="E13">
        <v>20.18</v>
      </c>
      <c r="F13">
        <v>23.28</v>
      </c>
      <c r="G13">
        <v>15.52</v>
      </c>
      <c r="H13">
        <v>27.16</v>
      </c>
      <c r="I13">
        <v>36.22</v>
      </c>
      <c r="J13">
        <f t="shared" si="0"/>
        <v>1293.5100000000002</v>
      </c>
    </row>
    <row r="14" spans="1:10" x14ac:dyDescent="0.2">
      <c r="A14" t="s">
        <v>35</v>
      </c>
      <c r="B14">
        <v>98.94</v>
      </c>
      <c r="C14">
        <v>1018.7</v>
      </c>
      <c r="D14">
        <v>99.48</v>
      </c>
      <c r="E14">
        <v>20.97</v>
      </c>
      <c r="F14">
        <v>24.2</v>
      </c>
      <c r="G14">
        <v>16.13</v>
      </c>
      <c r="H14">
        <v>28.23</v>
      </c>
      <c r="I14">
        <v>37.64</v>
      </c>
      <c r="J14">
        <f t="shared" si="0"/>
        <v>1344.2900000000004</v>
      </c>
    </row>
    <row r="15" spans="1:10" x14ac:dyDescent="0.2">
      <c r="A15" t="s">
        <v>390</v>
      </c>
      <c r="B15">
        <v>100.22</v>
      </c>
      <c r="C15">
        <v>1031.8699999999999</v>
      </c>
      <c r="D15">
        <v>100.76</v>
      </c>
      <c r="E15">
        <v>21.24</v>
      </c>
      <c r="F15">
        <v>24.51</v>
      </c>
      <c r="G15">
        <v>16.34</v>
      </c>
      <c r="H15">
        <v>28.6</v>
      </c>
      <c r="I15">
        <v>38.130000000000003</v>
      </c>
      <c r="J15">
        <f t="shared" si="0"/>
        <v>1361.6699999999998</v>
      </c>
    </row>
    <row r="16" spans="1:10" x14ac:dyDescent="0.2">
      <c r="A16" t="s">
        <v>37</v>
      </c>
      <c r="B16">
        <v>81.510000000000005</v>
      </c>
      <c r="C16">
        <v>839.21</v>
      </c>
      <c r="D16">
        <v>81.95</v>
      </c>
      <c r="E16">
        <v>17.28</v>
      </c>
      <c r="F16">
        <v>19.93</v>
      </c>
      <c r="G16">
        <v>13.29</v>
      </c>
      <c r="H16">
        <v>23.26</v>
      </c>
      <c r="I16">
        <v>31.01</v>
      </c>
      <c r="J16">
        <f t="shared" si="0"/>
        <v>1107.44</v>
      </c>
    </row>
    <row r="17" spans="1:11" x14ac:dyDescent="0.2">
      <c r="A17" t="s">
        <v>329</v>
      </c>
      <c r="B17">
        <v>83.5</v>
      </c>
      <c r="C17">
        <v>859.73</v>
      </c>
      <c r="D17">
        <v>83.95</v>
      </c>
      <c r="E17">
        <v>17.7</v>
      </c>
      <c r="F17">
        <v>20.420000000000002</v>
      </c>
      <c r="G17">
        <v>13.61</v>
      </c>
      <c r="H17">
        <v>23.83</v>
      </c>
      <c r="I17">
        <v>31.77</v>
      </c>
      <c r="J17">
        <f t="shared" si="0"/>
        <v>1134.51</v>
      </c>
    </row>
    <row r="18" spans="1:11" x14ac:dyDescent="0.2">
      <c r="A18" t="s">
        <v>95</v>
      </c>
      <c r="B18">
        <v>89.86</v>
      </c>
      <c r="C18">
        <v>925.23</v>
      </c>
      <c r="D18">
        <v>90.35</v>
      </c>
      <c r="E18">
        <v>19.05</v>
      </c>
      <c r="F18">
        <v>21.98</v>
      </c>
      <c r="G18">
        <v>14.65</v>
      </c>
      <c r="H18">
        <v>25.64</v>
      </c>
      <c r="I18">
        <v>34.19</v>
      </c>
      <c r="J18">
        <f t="shared" si="0"/>
        <v>1220.9500000000003</v>
      </c>
    </row>
    <row r="19" spans="1:11" x14ac:dyDescent="0.2">
      <c r="A19" t="s">
        <v>40</v>
      </c>
      <c r="B19">
        <v>85.28</v>
      </c>
      <c r="C19">
        <v>878.11</v>
      </c>
      <c r="D19">
        <v>85.75</v>
      </c>
      <c r="E19">
        <v>18.079999999999998</v>
      </c>
      <c r="F19">
        <v>20.86</v>
      </c>
      <c r="G19">
        <v>13.91</v>
      </c>
      <c r="H19">
        <v>24.33</v>
      </c>
      <c r="I19">
        <v>32.450000000000003</v>
      </c>
      <c r="J19">
        <f t="shared" si="0"/>
        <v>1158.7699999999998</v>
      </c>
    </row>
    <row r="20" spans="1:11" x14ac:dyDescent="0.2">
      <c r="A20" t="s">
        <v>41</v>
      </c>
      <c r="B20">
        <v>81.760000000000005</v>
      </c>
      <c r="C20">
        <v>841.83</v>
      </c>
      <c r="D20">
        <v>82.21</v>
      </c>
      <c r="E20">
        <v>17.329999999999998</v>
      </c>
      <c r="F20">
        <v>20</v>
      </c>
      <c r="G20">
        <v>13.33</v>
      </c>
      <c r="H20">
        <v>23.33</v>
      </c>
      <c r="I20">
        <v>31.11</v>
      </c>
      <c r="J20">
        <f t="shared" si="0"/>
        <v>1110.8999999999999</v>
      </c>
      <c r="K20" t="s">
        <v>6</v>
      </c>
    </row>
    <row r="21" spans="1:11" x14ac:dyDescent="0.2">
      <c r="A21" t="s">
        <v>42</v>
      </c>
      <c r="B21">
        <v>83.69</v>
      </c>
      <c r="C21">
        <v>861.71</v>
      </c>
      <c r="D21">
        <v>84.15</v>
      </c>
      <c r="E21">
        <v>17.739999999999998</v>
      </c>
      <c r="F21">
        <v>20.47</v>
      </c>
      <c r="G21">
        <v>13.65</v>
      </c>
      <c r="H21">
        <v>23.88</v>
      </c>
      <c r="I21">
        <v>31.84</v>
      </c>
      <c r="J21">
        <f t="shared" si="0"/>
        <v>1137.1300000000003</v>
      </c>
    </row>
    <row r="22" spans="1:11" x14ac:dyDescent="0.2">
      <c r="A22" t="s">
        <v>43</v>
      </c>
      <c r="B22">
        <v>79.95</v>
      </c>
      <c r="C22">
        <v>823.2</v>
      </c>
      <c r="D22">
        <v>80.39</v>
      </c>
      <c r="E22">
        <v>16.95</v>
      </c>
      <c r="F22">
        <v>19.55</v>
      </c>
      <c r="G22">
        <v>13.04</v>
      </c>
      <c r="H22">
        <v>22.81</v>
      </c>
      <c r="I22">
        <v>30.42</v>
      </c>
      <c r="J22">
        <f t="shared" si="0"/>
        <v>1086.3100000000002</v>
      </c>
    </row>
    <row r="23" spans="1:11" x14ac:dyDescent="0.2">
      <c r="A23" t="s">
        <v>22</v>
      </c>
      <c r="B23">
        <v>84.15</v>
      </c>
      <c r="C23">
        <f t="shared" ref="C23:J23" si="1">SUM(C11:C22)</f>
        <v>10870.850000000002</v>
      </c>
      <c r="D23">
        <f t="shared" si="1"/>
        <v>1061.5600000000002</v>
      </c>
      <c r="E23">
        <f t="shared" si="1"/>
        <v>223.8</v>
      </c>
      <c r="F23">
        <f t="shared" si="1"/>
        <v>258.21999999999997</v>
      </c>
      <c r="G23">
        <f t="shared" si="1"/>
        <v>172.15000000000003</v>
      </c>
      <c r="H23">
        <f t="shared" si="1"/>
        <v>301.25999999999993</v>
      </c>
      <c r="I23">
        <f t="shared" si="1"/>
        <v>401.7</v>
      </c>
      <c r="J23">
        <f t="shared" si="1"/>
        <v>14345.340000000002</v>
      </c>
    </row>
    <row r="25" spans="1:11" x14ac:dyDescent="0.2">
      <c r="A25" t="s">
        <v>117</v>
      </c>
      <c r="B25">
        <f>B23/$J$23</f>
        <v>5.8660164206634346E-3</v>
      </c>
      <c r="C25">
        <f t="shared" ref="C25:I25" si="2">C23/$J$23</f>
        <v>0.75779660851537856</v>
      </c>
      <c r="D25">
        <f t="shared" si="2"/>
        <v>7.4000337391794138E-2</v>
      </c>
      <c r="E25">
        <f t="shared" si="2"/>
        <v>1.5600885026078154E-2</v>
      </c>
      <c r="F25">
        <f t="shared" si="2"/>
        <v>1.8000270471107686E-2</v>
      </c>
      <c r="G25">
        <f t="shared" si="2"/>
        <v>1.2000412677566375E-2</v>
      </c>
      <c r="H25">
        <f t="shared" si="2"/>
        <v>2.1000547913120213E-2</v>
      </c>
      <c r="I25">
        <f t="shared" si="2"/>
        <v>2.800212473179443E-2</v>
      </c>
    </row>
    <row r="27" spans="1:11" x14ac:dyDescent="0.2">
      <c r="A27" t="s">
        <v>86</v>
      </c>
      <c r="B27" t="s">
        <v>6</v>
      </c>
    </row>
    <row r="28" spans="1:11" x14ac:dyDescent="0.2">
      <c r="B28" t="s">
        <v>222</v>
      </c>
    </row>
    <row r="29" spans="1:11" x14ac:dyDescent="0.2">
      <c r="B29" t="s">
        <v>223</v>
      </c>
    </row>
    <row r="30" spans="1:11" x14ac:dyDescent="0.2">
      <c r="A30" t="s">
        <v>389</v>
      </c>
      <c r="B30">
        <f>142.59-25</f>
        <v>117.59</v>
      </c>
      <c r="C30">
        <v>140.94</v>
      </c>
      <c r="D30">
        <v>161.29</v>
      </c>
      <c r="E30">
        <v>1579.67</v>
      </c>
      <c r="F30">
        <v>138</v>
      </c>
      <c r="G30">
        <v>436.29</v>
      </c>
      <c r="H30">
        <v>464.5</v>
      </c>
      <c r="I30">
        <v>98.89</v>
      </c>
    </row>
    <row r="31" spans="1:11" x14ac:dyDescent="0.2">
      <c r="A31" t="s">
        <v>72</v>
      </c>
      <c r="B31">
        <f>152.01-25</f>
        <v>127.00999999999999</v>
      </c>
      <c r="C31">
        <v>152.01</v>
      </c>
      <c r="D31">
        <v>174.17</v>
      </c>
      <c r="E31">
        <v>1486.31</v>
      </c>
      <c r="F31">
        <v>140.47999999999999</v>
      </c>
      <c r="G31">
        <v>477.58</v>
      </c>
      <c r="H31">
        <v>484.55</v>
      </c>
      <c r="I31">
        <v>98.89</v>
      </c>
    </row>
    <row r="32" spans="1:11" x14ac:dyDescent="0.2">
      <c r="A32" t="s">
        <v>34</v>
      </c>
      <c r="B32">
        <f>157-25</f>
        <v>132</v>
      </c>
      <c r="C32">
        <v>156.94999999999999</v>
      </c>
      <c r="D32">
        <v>182.84</v>
      </c>
      <c r="E32">
        <v>1504.83</v>
      </c>
      <c r="F32">
        <v>138</v>
      </c>
      <c r="G32">
        <v>507.49</v>
      </c>
      <c r="H32">
        <v>485.61</v>
      </c>
      <c r="I32">
        <v>98.89</v>
      </c>
    </row>
    <row r="33" spans="1:10" x14ac:dyDescent="0.2">
      <c r="A33" t="s">
        <v>35</v>
      </c>
      <c r="B33">
        <f>153-25</f>
        <v>128</v>
      </c>
      <c r="C33">
        <v>149.31</v>
      </c>
      <c r="D33">
        <v>177.95</v>
      </c>
      <c r="E33">
        <v>1621.91</v>
      </c>
      <c r="F33">
        <v>138</v>
      </c>
      <c r="G33">
        <v>545</v>
      </c>
      <c r="H33">
        <v>485</v>
      </c>
      <c r="I33">
        <v>98.89</v>
      </c>
    </row>
    <row r="34" spans="1:10" x14ac:dyDescent="0.2">
      <c r="A34" t="s">
        <v>328</v>
      </c>
      <c r="B34">
        <f>152.5-25</f>
        <v>127.5</v>
      </c>
      <c r="C34">
        <v>152.85</v>
      </c>
      <c r="D34">
        <v>169.43</v>
      </c>
      <c r="E34">
        <v>1495.96</v>
      </c>
      <c r="F34">
        <v>142.44</v>
      </c>
      <c r="G34">
        <v>520</v>
      </c>
      <c r="H34">
        <v>490</v>
      </c>
      <c r="I34">
        <v>98.89</v>
      </c>
    </row>
    <row r="35" spans="1:10" x14ac:dyDescent="0.2">
      <c r="A35" t="s">
        <v>37</v>
      </c>
      <c r="B35">
        <f>152-25</f>
        <v>127</v>
      </c>
      <c r="C35">
        <v>156.52000000000001</v>
      </c>
      <c r="D35">
        <v>184.96</v>
      </c>
      <c r="E35">
        <v>1510</v>
      </c>
      <c r="F35">
        <v>156</v>
      </c>
      <c r="G35">
        <v>539.54999999999995</v>
      </c>
      <c r="H35">
        <v>512.99</v>
      </c>
      <c r="I35">
        <v>98.89</v>
      </c>
    </row>
    <row r="36" spans="1:10" x14ac:dyDescent="0.2">
      <c r="A36" t="s">
        <v>329</v>
      </c>
      <c r="B36">
        <f>152-25</f>
        <v>127</v>
      </c>
      <c r="C36">
        <v>158.13</v>
      </c>
      <c r="D36">
        <v>195.6</v>
      </c>
      <c r="E36">
        <v>1937.78</v>
      </c>
      <c r="F36">
        <v>161.91</v>
      </c>
      <c r="G36">
        <v>518.36</v>
      </c>
      <c r="H36">
        <v>510</v>
      </c>
      <c r="I36">
        <v>101.95</v>
      </c>
    </row>
    <row r="37" spans="1:10" x14ac:dyDescent="0.2">
      <c r="A37" t="s">
        <v>95</v>
      </c>
      <c r="B37">
        <f>152-25</f>
        <v>127</v>
      </c>
      <c r="C37">
        <v>156.16</v>
      </c>
      <c r="D37">
        <v>181.19</v>
      </c>
      <c r="E37">
        <v>1933.13</v>
      </c>
      <c r="F37">
        <v>262</v>
      </c>
      <c r="G37">
        <v>540.02</v>
      </c>
      <c r="H37">
        <v>520.28</v>
      </c>
      <c r="I37">
        <v>101.95</v>
      </c>
    </row>
    <row r="38" spans="1:10" x14ac:dyDescent="0.2">
      <c r="A38" t="s">
        <v>40</v>
      </c>
      <c r="B38">
        <f>155-25</f>
        <v>130</v>
      </c>
      <c r="C38">
        <v>148.88</v>
      </c>
      <c r="D38">
        <v>169.68</v>
      </c>
      <c r="E38">
        <v>1884.23</v>
      </c>
      <c r="F38">
        <v>289</v>
      </c>
      <c r="G38">
        <v>535.26</v>
      </c>
      <c r="H38">
        <v>550</v>
      </c>
      <c r="I38">
        <v>101.95</v>
      </c>
    </row>
    <row r="39" spans="1:10" x14ac:dyDescent="0.2">
      <c r="A39" t="s">
        <v>41</v>
      </c>
      <c r="B39">
        <f>155-25</f>
        <v>130</v>
      </c>
      <c r="C39">
        <v>149.79</v>
      </c>
      <c r="D39">
        <v>157</v>
      </c>
      <c r="E39">
        <v>1910</v>
      </c>
      <c r="F39">
        <v>317.22000000000003</v>
      </c>
      <c r="G39">
        <v>539.77</v>
      </c>
      <c r="H39">
        <v>550</v>
      </c>
      <c r="I39">
        <v>101.95</v>
      </c>
    </row>
    <row r="40" spans="1:10" x14ac:dyDescent="0.2">
      <c r="A40" t="s">
        <v>42</v>
      </c>
      <c r="B40">
        <f>147-25</f>
        <v>122</v>
      </c>
      <c r="C40">
        <v>151.99</v>
      </c>
      <c r="D40">
        <v>154.19999999999999</v>
      </c>
      <c r="E40">
        <v>1910.69</v>
      </c>
      <c r="F40">
        <v>308.89</v>
      </c>
      <c r="G40">
        <v>564.99</v>
      </c>
      <c r="H40">
        <v>555</v>
      </c>
      <c r="I40">
        <v>101.95</v>
      </c>
    </row>
    <row r="41" spans="1:10" x14ac:dyDescent="0.2">
      <c r="A41" t="s">
        <v>43</v>
      </c>
      <c r="B41">
        <v>125</v>
      </c>
      <c r="C41">
        <v>154.35</v>
      </c>
      <c r="D41">
        <v>164.17</v>
      </c>
      <c r="E41">
        <v>1890.4</v>
      </c>
      <c r="F41">
        <v>256.88</v>
      </c>
      <c r="G41">
        <v>506.49</v>
      </c>
      <c r="H41">
        <v>540</v>
      </c>
      <c r="I41">
        <v>101.95</v>
      </c>
    </row>
    <row r="43" spans="1:10" x14ac:dyDescent="0.2">
      <c r="A43" t="s">
        <v>24</v>
      </c>
      <c r="C43" t="s">
        <v>6</v>
      </c>
      <c r="G43" t="s">
        <v>6</v>
      </c>
      <c r="H43" t="s">
        <v>330</v>
      </c>
      <c r="I43" t="s">
        <v>6</v>
      </c>
    </row>
    <row r="44" spans="1:10" x14ac:dyDescent="0.2">
      <c r="B44" t="s">
        <v>14</v>
      </c>
      <c r="C44" t="s">
        <v>15</v>
      </c>
      <c r="D44" t="s">
        <v>16</v>
      </c>
      <c r="E44" t="s">
        <v>18</v>
      </c>
      <c r="F44" t="s">
        <v>19</v>
      </c>
      <c r="G44" t="s">
        <v>20</v>
      </c>
      <c r="H44" t="s">
        <v>331</v>
      </c>
      <c r="I44" t="s">
        <v>333</v>
      </c>
      <c r="J44" t="s">
        <v>84</v>
      </c>
    </row>
    <row r="46" spans="1:10" x14ac:dyDescent="0.2">
      <c r="A46" t="s">
        <v>389</v>
      </c>
      <c r="B46">
        <f t="shared" ref="B46:H57" si="3">+B11*B30</f>
        <v>9518.9105</v>
      </c>
      <c r="C46">
        <f t="shared" si="3"/>
        <v>117473.49</v>
      </c>
      <c r="D46">
        <f t="shared" si="3"/>
        <v>13127.393099999999</v>
      </c>
      <c r="E46">
        <f t="shared" si="3"/>
        <v>27107.137200000001</v>
      </c>
      <c r="F46">
        <f t="shared" si="3"/>
        <v>2732.4</v>
      </c>
      <c r="G46">
        <f t="shared" si="3"/>
        <v>5759.0280000000002</v>
      </c>
      <c r="H46">
        <f t="shared" si="3"/>
        <v>10729.95</v>
      </c>
      <c r="I46">
        <f t="shared" ref="I46:I57" si="4">+I11*-I30</f>
        <v>-3045.8119999999999</v>
      </c>
      <c r="J46">
        <f>SUM(B46:I46)</f>
        <v>183402.49679999999</v>
      </c>
    </row>
    <row r="47" spans="1:10" x14ac:dyDescent="0.2">
      <c r="A47" t="s">
        <v>72</v>
      </c>
      <c r="B47">
        <f t="shared" si="3"/>
        <v>12058.329399999999</v>
      </c>
      <c r="C47">
        <f t="shared" si="3"/>
        <v>148594.33529999998</v>
      </c>
      <c r="D47">
        <f t="shared" si="3"/>
        <v>16626.268199999999</v>
      </c>
      <c r="E47">
        <f t="shared" si="3"/>
        <v>29904.557199999999</v>
      </c>
      <c r="F47">
        <f t="shared" si="3"/>
        <v>3261.9455999999996</v>
      </c>
      <c r="G47">
        <f t="shared" si="3"/>
        <v>7392.9384</v>
      </c>
      <c r="H47">
        <f t="shared" si="3"/>
        <v>13126.459500000001</v>
      </c>
      <c r="I47">
        <f t="shared" si="4"/>
        <v>-3571.9067999999997</v>
      </c>
      <c r="J47">
        <f t="shared" ref="J47:J57" si="5">SUM(B47:I47)</f>
        <v>227392.92679999999</v>
      </c>
    </row>
    <row r="48" spans="1:10" x14ac:dyDescent="0.2">
      <c r="A48" t="s">
        <v>34</v>
      </c>
      <c r="B48">
        <f t="shared" si="3"/>
        <v>12566.4</v>
      </c>
      <c r="C48">
        <f t="shared" si="3"/>
        <v>153847.09849999999</v>
      </c>
      <c r="D48">
        <f t="shared" si="3"/>
        <v>17501.444800000001</v>
      </c>
      <c r="E48">
        <f t="shared" si="3"/>
        <v>30367.469399999998</v>
      </c>
      <c r="F48">
        <f t="shared" si="3"/>
        <v>3212.6400000000003</v>
      </c>
      <c r="G48">
        <f t="shared" si="3"/>
        <v>7876.2447999999995</v>
      </c>
      <c r="H48">
        <f t="shared" si="3"/>
        <v>13189.167600000001</v>
      </c>
      <c r="I48">
        <f t="shared" si="4"/>
        <v>-3581.7957999999999</v>
      </c>
      <c r="J48">
        <f t="shared" si="5"/>
        <v>234978.66929999998</v>
      </c>
    </row>
    <row r="49" spans="1:10" x14ac:dyDescent="0.2">
      <c r="A49" t="s">
        <v>35</v>
      </c>
      <c r="B49">
        <f t="shared" si="3"/>
        <v>12664.32</v>
      </c>
      <c r="C49">
        <f t="shared" si="3"/>
        <v>152102.09700000001</v>
      </c>
      <c r="D49">
        <f t="shared" si="3"/>
        <v>17702.466</v>
      </c>
      <c r="E49">
        <f t="shared" si="3"/>
        <v>34011.452700000002</v>
      </c>
      <c r="F49">
        <f t="shared" si="3"/>
        <v>3339.6</v>
      </c>
      <c r="G49">
        <f t="shared" si="3"/>
        <v>8790.85</v>
      </c>
      <c r="H49">
        <f t="shared" si="3"/>
        <v>13691.550000000001</v>
      </c>
      <c r="I49">
        <f t="shared" si="4"/>
        <v>-3722.2195999999999</v>
      </c>
      <c r="J49">
        <f t="shared" si="5"/>
        <v>238580.11610000001</v>
      </c>
    </row>
    <row r="50" spans="1:10" x14ac:dyDescent="0.2">
      <c r="A50" t="s">
        <v>390</v>
      </c>
      <c r="B50">
        <f t="shared" si="3"/>
        <v>12778.05</v>
      </c>
      <c r="C50">
        <f t="shared" si="3"/>
        <v>157721.32949999996</v>
      </c>
      <c r="D50">
        <f t="shared" si="3"/>
        <v>17071.766800000001</v>
      </c>
      <c r="E50">
        <f t="shared" si="3"/>
        <v>31774.190399999999</v>
      </c>
      <c r="F50">
        <f t="shared" si="3"/>
        <v>3491.2044000000001</v>
      </c>
      <c r="G50">
        <f t="shared" si="3"/>
        <v>8496.7999999999993</v>
      </c>
      <c r="H50">
        <f t="shared" si="3"/>
        <v>14014</v>
      </c>
      <c r="I50">
        <f t="shared" si="4"/>
        <v>-3770.6757000000002</v>
      </c>
      <c r="J50">
        <f t="shared" si="5"/>
        <v>241576.66539999994</v>
      </c>
    </row>
    <row r="51" spans="1:10" x14ac:dyDescent="0.2">
      <c r="A51" t="s">
        <v>37</v>
      </c>
      <c r="B51">
        <f t="shared" si="3"/>
        <v>10351.77</v>
      </c>
      <c r="C51">
        <f t="shared" si="3"/>
        <v>131353.14920000001</v>
      </c>
      <c r="D51">
        <f t="shared" si="3"/>
        <v>15157.472000000002</v>
      </c>
      <c r="E51">
        <f t="shared" si="3"/>
        <v>26092.800000000003</v>
      </c>
      <c r="F51">
        <f t="shared" si="3"/>
        <v>3109.08</v>
      </c>
      <c r="G51">
        <f t="shared" si="3"/>
        <v>7170.6194999999989</v>
      </c>
      <c r="H51">
        <f t="shared" si="3"/>
        <v>11932.147400000002</v>
      </c>
      <c r="I51">
        <f t="shared" si="4"/>
        <v>-3066.5789</v>
      </c>
      <c r="J51">
        <f t="shared" si="5"/>
        <v>202100.45920000001</v>
      </c>
    </row>
    <row r="52" spans="1:10" x14ac:dyDescent="0.2">
      <c r="A52" t="s">
        <v>329</v>
      </c>
      <c r="B52">
        <f t="shared" si="3"/>
        <v>10604.5</v>
      </c>
      <c r="C52">
        <f t="shared" si="3"/>
        <v>135949.10490000001</v>
      </c>
      <c r="D52">
        <f t="shared" si="3"/>
        <v>16420.62</v>
      </c>
      <c r="E52">
        <f t="shared" si="3"/>
        <v>34298.705999999998</v>
      </c>
      <c r="F52">
        <f t="shared" si="3"/>
        <v>3306.2022000000002</v>
      </c>
      <c r="G52">
        <f t="shared" si="3"/>
        <v>7054.8796000000002</v>
      </c>
      <c r="H52">
        <f t="shared" si="3"/>
        <v>12153.3</v>
      </c>
      <c r="I52">
        <f t="shared" si="4"/>
        <v>-3238.9515000000001</v>
      </c>
      <c r="J52">
        <f t="shared" si="5"/>
        <v>216548.36120000001</v>
      </c>
    </row>
    <row r="53" spans="1:10" x14ac:dyDescent="0.2">
      <c r="A53" t="s">
        <v>95</v>
      </c>
      <c r="B53">
        <f t="shared" si="3"/>
        <v>11412.22</v>
      </c>
      <c r="C53">
        <f t="shared" si="3"/>
        <v>144483.91680000001</v>
      </c>
      <c r="D53">
        <f t="shared" si="3"/>
        <v>16370.516499999998</v>
      </c>
      <c r="E53">
        <f t="shared" si="3"/>
        <v>36826.126500000006</v>
      </c>
      <c r="F53">
        <f t="shared" si="3"/>
        <v>5758.76</v>
      </c>
      <c r="G53">
        <f t="shared" si="3"/>
        <v>7911.2929999999997</v>
      </c>
      <c r="H53">
        <f t="shared" si="3"/>
        <v>13339.9792</v>
      </c>
      <c r="I53">
        <f t="shared" si="4"/>
        <v>-3485.6704999999997</v>
      </c>
      <c r="J53">
        <f t="shared" si="5"/>
        <v>232617.14150000003</v>
      </c>
    </row>
    <row r="54" spans="1:10" x14ac:dyDescent="0.2">
      <c r="A54" t="s">
        <v>40</v>
      </c>
      <c r="B54">
        <f t="shared" si="3"/>
        <v>11086.4</v>
      </c>
      <c r="C54">
        <f t="shared" si="3"/>
        <v>130733.0168</v>
      </c>
      <c r="D54">
        <f t="shared" si="3"/>
        <v>14550.060000000001</v>
      </c>
      <c r="E54">
        <f t="shared" si="3"/>
        <v>34066.878399999994</v>
      </c>
      <c r="F54">
        <f t="shared" si="3"/>
        <v>6028.54</v>
      </c>
      <c r="G54">
        <f t="shared" si="3"/>
        <v>7445.4665999999997</v>
      </c>
      <c r="H54">
        <f t="shared" si="3"/>
        <v>13381.499999999998</v>
      </c>
      <c r="I54">
        <f t="shared" si="4"/>
        <v>-3308.2775000000006</v>
      </c>
      <c r="J54">
        <f t="shared" si="5"/>
        <v>213983.58430000002</v>
      </c>
    </row>
    <row r="55" spans="1:10" x14ac:dyDescent="0.2">
      <c r="A55" t="s">
        <v>41</v>
      </c>
      <c r="B55">
        <f t="shared" si="3"/>
        <v>10628.800000000001</v>
      </c>
      <c r="C55">
        <f t="shared" si="3"/>
        <v>126097.7157</v>
      </c>
      <c r="D55">
        <f t="shared" si="3"/>
        <v>12906.97</v>
      </c>
      <c r="E55">
        <f t="shared" si="3"/>
        <v>33100.299999999996</v>
      </c>
      <c r="F55">
        <f t="shared" si="3"/>
        <v>6344.4000000000005</v>
      </c>
      <c r="G55">
        <f t="shared" si="3"/>
        <v>7195.1341000000002</v>
      </c>
      <c r="H55">
        <f t="shared" si="3"/>
        <v>12831.499999999998</v>
      </c>
      <c r="I55">
        <f t="shared" si="4"/>
        <v>-3171.6644999999999</v>
      </c>
      <c r="J55">
        <f t="shared" si="5"/>
        <v>205933.15529999995</v>
      </c>
    </row>
    <row r="56" spans="1:10" x14ac:dyDescent="0.2">
      <c r="A56" t="s">
        <v>42</v>
      </c>
      <c r="B56">
        <f t="shared" si="3"/>
        <v>10210.18</v>
      </c>
      <c r="C56">
        <f t="shared" si="3"/>
        <v>130971.30290000001</v>
      </c>
      <c r="D56">
        <f t="shared" si="3"/>
        <v>12975.93</v>
      </c>
      <c r="E56">
        <f t="shared" si="3"/>
        <v>33895.640599999999</v>
      </c>
      <c r="F56">
        <f t="shared" si="3"/>
        <v>6322.9782999999998</v>
      </c>
      <c r="G56">
        <f t="shared" si="3"/>
        <v>7712.1135000000004</v>
      </c>
      <c r="H56">
        <f t="shared" si="3"/>
        <v>13253.4</v>
      </c>
      <c r="I56">
        <f t="shared" si="4"/>
        <v>-3246.0880000000002</v>
      </c>
      <c r="J56">
        <f t="shared" si="5"/>
        <v>212095.45729999998</v>
      </c>
    </row>
    <row r="57" spans="1:10" x14ac:dyDescent="0.2">
      <c r="A57" t="s">
        <v>43</v>
      </c>
      <c r="B57">
        <f t="shared" si="3"/>
        <v>9993.75</v>
      </c>
      <c r="C57">
        <f t="shared" si="3"/>
        <v>127060.92</v>
      </c>
      <c r="D57">
        <f t="shared" si="3"/>
        <v>13197.6263</v>
      </c>
      <c r="E57">
        <f t="shared" si="3"/>
        <v>32042.28</v>
      </c>
      <c r="F57">
        <f t="shared" si="3"/>
        <v>5022.0039999999999</v>
      </c>
      <c r="G57">
        <f t="shared" si="3"/>
        <v>6604.6295999999993</v>
      </c>
      <c r="H57">
        <f t="shared" si="3"/>
        <v>12317.4</v>
      </c>
      <c r="I57">
        <f t="shared" si="4"/>
        <v>-3101.3190000000004</v>
      </c>
      <c r="J57">
        <f t="shared" si="5"/>
        <v>203137.29089999996</v>
      </c>
    </row>
    <row r="58" spans="1:10" x14ac:dyDescent="0.2">
      <c r="A58" t="s">
        <v>88</v>
      </c>
      <c r="B58">
        <f>SUM(B46:B57)</f>
        <v>133873.6299</v>
      </c>
      <c r="C58">
        <f t="shared" ref="C58:H58" si="6">SUM(C46:C57)</f>
        <v>1656387.4766000002</v>
      </c>
      <c r="D58">
        <f t="shared" si="6"/>
        <v>183608.5337</v>
      </c>
      <c r="E58">
        <f t="shared" si="6"/>
        <v>383487.53839999996</v>
      </c>
      <c r="F58">
        <f t="shared" si="6"/>
        <v>51929.75450000001</v>
      </c>
      <c r="G58">
        <f t="shared" si="6"/>
        <v>89409.997099999993</v>
      </c>
      <c r="H58">
        <f t="shared" si="6"/>
        <v>153960.35370000001</v>
      </c>
      <c r="I58">
        <f>SUM(I46:I57)</f>
        <v>-40310.959800000004</v>
      </c>
      <c r="J58">
        <f>SUM(J46:J57)</f>
        <v>2612346.3240999994</v>
      </c>
    </row>
    <row r="60" spans="1:10" x14ac:dyDescent="0.2">
      <c r="A60" t="s">
        <v>89</v>
      </c>
    </row>
    <row r="61" spans="1:10" x14ac:dyDescent="0.2">
      <c r="J61" t="s">
        <v>6</v>
      </c>
    </row>
    <row r="62" spans="1:10" x14ac:dyDescent="0.2">
      <c r="J62" t="s">
        <v>6</v>
      </c>
    </row>
    <row r="63" spans="1:10" x14ac:dyDescent="0.2">
      <c r="F63" t="s">
        <v>0</v>
      </c>
    </row>
    <row r="64" spans="1:10" x14ac:dyDescent="0.2">
      <c r="F64" t="s">
        <v>1</v>
      </c>
    </row>
    <row r="65" spans="1:11" x14ac:dyDescent="0.2">
      <c r="F65" t="s">
        <v>378</v>
      </c>
    </row>
    <row r="66" spans="1:11" x14ac:dyDescent="0.2">
      <c r="F66" t="str">
        <f>E5</f>
        <v>After Nineth Year</v>
      </c>
    </row>
    <row r="68" spans="1:11" x14ac:dyDescent="0.2">
      <c r="B68" t="s">
        <v>81</v>
      </c>
    </row>
    <row r="69" spans="1:11" x14ac:dyDescent="0.2">
      <c r="G69" t="s">
        <v>6</v>
      </c>
      <c r="H69" t="s">
        <v>330</v>
      </c>
      <c r="I69" t="s">
        <v>6</v>
      </c>
    </row>
    <row r="70" spans="1:11" x14ac:dyDescent="0.2">
      <c r="A70" t="s">
        <v>9</v>
      </c>
      <c r="B70" t="s">
        <v>14</v>
      </c>
      <c r="C70" t="s">
        <v>15</v>
      </c>
      <c r="D70" t="s">
        <v>16</v>
      </c>
      <c r="E70" t="s">
        <v>18</v>
      </c>
      <c r="F70" t="s">
        <v>19</v>
      </c>
      <c r="G70" t="s">
        <v>20</v>
      </c>
      <c r="H70" t="s">
        <v>331</v>
      </c>
      <c r="I70" t="s">
        <v>17</v>
      </c>
      <c r="J70" t="s">
        <v>333</v>
      </c>
      <c r="K70" t="s">
        <v>84</v>
      </c>
    </row>
    <row r="72" spans="1:11" x14ac:dyDescent="0.2">
      <c r="A72" t="s">
        <v>373</v>
      </c>
      <c r="B72">
        <v>2.94</v>
      </c>
      <c r="C72">
        <v>48.34</v>
      </c>
      <c r="D72">
        <v>10.5</v>
      </c>
      <c r="E72">
        <f>1.3-F72</f>
        <v>0.52</v>
      </c>
      <c r="F72">
        <f>1.3*0.6</f>
        <v>0.78</v>
      </c>
      <c r="G72">
        <f>0.62-H72</f>
        <v>0.31</v>
      </c>
      <c r="H72">
        <v>0.31</v>
      </c>
      <c r="I72">
        <v>26.95</v>
      </c>
      <c r="J72">
        <v>6.75</v>
      </c>
      <c r="K72">
        <f>SUM(B72:J72)</f>
        <v>97.4</v>
      </c>
    </row>
    <row r="73" spans="1:11" x14ac:dyDescent="0.2">
      <c r="A73" t="s">
        <v>72</v>
      </c>
      <c r="B73">
        <v>3.41</v>
      </c>
      <c r="C73">
        <v>55.63</v>
      </c>
      <c r="D73">
        <v>12.1</v>
      </c>
      <c r="E73">
        <f>1.55-F73</f>
        <v>0.62000000000000011</v>
      </c>
      <c r="F73">
        <f>1.55*0.6</f>
        <v>0.92999999999999994</v>
      </c>
      <c r="G73">
        <f>0.74-H73</f>
        <v>0.37</v>
      </c>
      <c r="H73">
        <f>0.74*0.5</f>
        <v>0.37</v>
      </c>
      <c r="I73">
        <v>31.02</v>
      </c>
      <c r="J73">
        <v>7.8</v>
      </c>
      <c r="K73">
        <f t="shared" ref="K73:K83" si="7">SUM(B73:J73)</f>
        <v>112.25000000000001</v>
      </c>
    </row>
    <row r="74" spans="1:11" x14ac:dyDescent="0.2">
      <c r="A74" t="s">
        <v>34</v>
      </c>
      <c r="B74">
        <v>3.26</v>
      </c>
      <c r="C74">
        <v>53.21</v>
      </c>
      <c r="D74">
        <v>11.58</v>
      </c>
      <c r="E74">
        <f>1.48-F74</f>
        <v>0.59199999999999997</v>
      </c>
      <c r="F74">
        <f>1.48*0.6</f>
        <v>0.88800000000000001</v>
      </c>
      <c r="G74">
        <f>0.71-H74</f>
        <v>0.35499999999999998</v>
      </c>
      <c r="H74">
        <f>0.71*0.5</f>
        <v>0.35499999999999998</v>
      </c>
      <c r="I74">
        <v>29.67</v>
      </c>
      <c r="J74">
        <v>7.4</v>
      </c>
      <c r="K74">
        <f t="shared" si="7"/>
        <v>107.31000000000002</v>
      </c>
    </row>
    <row r="75" spans="1:11" x14ac:dyDescent="0.2">
      <c r="A75" t="s">
        <v>35</v>
      </c>
      <c r="B75">
        <v>3.19</v>
      </c>
      <c r="C75">
        <v>52</v>
      </c>
      <c r="D75">
        <v>11.31</v>
      </c>
      <c r="E75">
        <f>1.45-F75</f>
        <v>0.57999999999999996</v>
      </c>
      <c r="F75">
        <f>1.45*0.6</f>
        <v>0.87</v>
      </c>
      <c r="G75">
        <f>0.69-H75</f>
        <v>0.34499999999999997</v>
      </c>
      <c r="H75">
        <f>0.69*0.5</f>
        <v>0.34499999999999997</v>
      </c>
      <c r="I75">
        <v>29</v>
      </c>
      <c r="J75">
        <v>7.3</v>
      </c>
      <c r="K75">
        <f t="shared" si="7"/>
        <v>104.94</v>
      </c>
    </row>
    <row r="76" spans="1:11" x14ac:dyDescent="0.2">
      <c r="A76" t="s">
        <v>374</v>
      </c>
      <c r="B76">
        <v>3.49</v>
      </c>
      <c r="C76">
        <v>56.95</v>
      </c>
      <c r="D76">
        <v>12.39</v>
      </c>
      <c r="E76">
        <f>1.6-F76</f>
        <v>0.64000000000000012</v>
      </c>
      <c r="F76">
        <f>1.6*0.6</f>
        <v>0.96</v>
      </c>
      <c r="G76">
        <f>0.76-H76</f>
        <v>0.38</v>
      </c>
      <c r="H76">
        <f>0.76*0.5</f>
        <v>0.38</v>
      </c>
      <c r="I76">
        <v>31.76</v>
      </c>
      <c r="J76">
        <v>7.65</v>
      </c>
      <c r="K76">
        <f t="shared" si="7"/>
        <v>114.60000000000001</v>
      </c>
    </row>
    <row r="77" spans="1:11" x14ac:dyDescent="0.2">
      <c r="A77" t="s">
        <v>37</v>
      </c>
      <c r="B77">
        <v>3.19</v>
      </c>
      <c r="C77">
        <v>52</v>
      </c>
      <c r="D77">
        <v>11.31</v>
      </c>
      <c r="E77">
        <f>1.45-F77</f>
        <v>0.57999999999999996</v>
      </c>
      <c r="F77">
        <f>1.45*0.6</f>
        <v>0.87</v>
      </c>
      <c r="G77">
        <v>0.34</v>
      </c>
      <c r="H77">
        <f>0.69*0.5</f>
        <v>0.34499999999999997</v>
      </c>
      <c r="I77">
        <v>29</v>
      </c>
      <c r="J77">
        <v>7.25</v>
      </c>
      <c r="K77">
        <f t="shared" si="7"/>
        <v>104.88500000000001</v>
      </c>
    </row>
    <row r="78" spans="1:11" x14ac:dyDescent="0.2">
      <c r="A78" t="s">
        <v>329</v>
      </c>
      <c r="B78">
        <v>3.16</v>
      </c>
      <c r="C78">
        <v>50</v>
      </c>
      <c r="D78">
        <v>11.28</v>
      </c>
      <c r="E78">
        <f>1.35-F78</f>
        <v>0.54</v>
      </c>
      <c r="F78">
        <f>1.35*0.6</f>
        <v>0.81</v>
      </c>
      <c r="G78">
        <f>0.33</f>
        <v>0.33</v>
      </c>
      <c r="H78">
        <v>0.34</v>
      </c>
      <c r="I78">
        <v>27</v>
      </c>
      <c r="J78">
        <v>8.5</v>
      </c>
      <c r="K78">
        <f t="shared" si="7"/>
        <v>101.96000000000001</v>
      </c>
    </row>
    <row r="79" spans="1:11" x14ac:dyDescent="0.2">
      <c r="A79" t="s">
        <v>95</v>
      </c>
      <c r="B79">
        <v>3.13</v>
      </c>
      <c r="C79">
        <v>48</v>
      </c>
      <c r="D79">
        <v>11.25</v>
      </c>
      <c r="E79">
        <f>1.25-F79</f>
        <v>0.5</v>
      </c>
      <c r="F79">
        <f>1.25*0.6</f>
        <v>0.75</v>
      </c>
      <c r="G79">
        <f>0.65-0.33</f>
        <v>0.32</v>
      </c>
      <c r="H79">
        <f>0.65*0.5</f>
        <v>0.32500000000000001</v>
      </c>
      <c r="I79">
        <v>25</v>
      </c>
      <c r="J79">
        <v>8.5</v>
      </c>
      <c r="K79">
        <f t="shared" si="7"/>
        <v>97.775000000000006</v>
      </c>
    </row>
    <row r="80" spans="1:11" x14ac:dyDescent="0.2">
      <c r="A80" t="s">
        <v>40</v>
      </c>
      <c r="B80">
        <v>3.13</v>
      </c>
      <c r="C80">
        <v>48</v>
      </c>
      <c r="D80">
        <v>11.25</v>
      </c>
      <c r="E80">
        <f>1.25-F80</f>
        <v>0.5</v>
      </c>
      <c r="F80">
        <f>1.25*0.6</f>
        <v>0.75</v>
      </c>
      <c r="G80">
        <f>0.65-H80</f>
        <v>0.32500000000000001</v>
      </c>
      <c r="H80">
        <f>0.65*0.5</f>
        <v>0.32500000000000001</v>
      </c>
      <c r="I80">
        <v>25</v>
      </c>
      <c r="J80">
        <v>8.5</v>
      </c>
      <c r="K80">
        <f t="shared" si="7"/>
        <v>97.78</v>
      </c>
    </row>
    <row r="81" spans="1:11" x14ac:dyDescent="0.2">
      <c r="A81" t="s">
        <v>41</v>
      </c>
      <c r="B81">
        <v>3.08</v>
      </c>
      <c r="C81">
        <v>47.19</v>
      </c>
      <c r="D81">
        <v>11.06</v>
      </c>
      <c r="E81">
        <f>1.23-F81</f>
        <v>0.49199999999999999</v>
      </c>
      <c r="F81">
        <f>1.23*0.6</f>
        <v>0.73799999999999999</v>
      </c>
      <c r="G81">
        <v>0.32</v>
      </c>
      <c r="H81">
        <f>0.64*0.5</f>
        <v>0.32</v>
      </c>
      <c r="I81">
        <v>24.58</v>
      </c>
      <c r="J81">
        <v>9</v>
      </c>
      <c r="K81">
        <f t="shared" si="7"/>
        <v>96.78</v>
      </c>
    </row>
    <row r="82" spans="1:11" x14ac:dyDescent="0.2">
      <c r="A82" t="s">
        <v>42</v>
      </c>
      <c r="B82">
        <v>3.33</v>
      </c>
      <c r="C82">
        <v>51.12</v>
      </c>
      <c r="D82">
        <v>11.99</v>
      </c>
      <c r="E82">
        <f>1.33-F82</f>
        <v>0.53200000000000003</v>
      </c>
      <c r="F82">
        <f>1.33*0.6</f>
        <v>0.79800000000000004</v>
      </c>
      <c r="G82">
        <v>0.34</v>
      </c>
      <c r="H82">
        <v>0.35</v>
      </c>
      <c r="I82">
        <v>26.62</v>
      </c>
      <c r="J82">
        <v>9.6</v>
      </c>
      <c r="K82">
        <f t="shared" si="7"/>
        <v>104.67999999999999</v>
      </c>
    </row>
    <row r="83" spans="1:11" x14ac:dyDescent="0.2">
      <c r="A83" t="s">
        <v>43</v>
      </c>
      <c r="B83">
        <v>3.04</v>
      </c>
      <c r="C83">
        <v>46.68</v>
      </c>
      <c r="D83">
        <v>10.94</v>
      </c>
      <c r="E83">
        <f>1.21-F83</f>
        <v>0.48399999999999999</v>
      </c>
      <c r="F83">
        <f>1.21*0.6</f>
        <v>0.72599999999999998</v>
      </c>
      <c r="G83">
        <v>0.31</v>
      </c>
      <c r="H83">
        <v>0.31</v>
      </c>
      <c r="I83">
        <v>24.3</v>
      </c>
      <c r="J83">
        <v>8.8000000000000007</v>
      </c>
      <c r="K83">
        <f t="shared" si="7"/>
        <v>95.59</v>
      </c>
    </row>
    <row r="84" spans="1:11" x14ac:dyDescent="0.2">
      <c r="A84" t="s">
        <v>22</v>
      </c>
      <c r="B84">
        <f>SUM(B72:B83)</f>
        <v>38.349999999999994</v>
      </c>
      <c r="C84">
        <f t="shared" ref="C84:K84" si="8">SUM(C72:C83)</f>
        <v>609.11999999999989</v>
      </c>
      <c r="D84">
        <f t="shared" si="8"/>
        <v>136.96</v>
      </c>
      <c r="E84">
        <f t="shared" si="8"/>
        <v>6.580000000000001</v>
      </c>
      <c r="F84">
        <f t="shared" si="8"/>
        <v>9.870000000000001</v>
      </c>
      <c r="G84">
        <f t="shared" si="8"/>
        <v>4.044999999999999</v>
      </c>
      <c r="H84">
        <f t="shared" si="8"/>
        <v>4.0749999999999993</v>
      </c>
      <c r="I84">
        <f t="shared" si="8"/>
        <v>329.90000000000003</v>
      </c>
      <c r="J84">
        <f t="shared" si="8"/>
        <v>97.05</v>
      </c>
      <c r="K84">
        <f t="shared" si="8"/>
        <v>1235.95</v>
      </c>
    </row>
    <row r="86" spans="1:11" x14ac:dyDescent="0.2">
      <c r="A86" t="s">
        <v>117</v>
      </c>
      <c r="B86">
        <f>B84/$K$84</f>
        <v>3.1028763299486218E-2</v>
      </c>
      <c r="C86">
        <f t="shared" ref="C86:J86" si="9">C84/$K$84</f>
        <v>0.49283547069056183</v>
      </c>
      <c r="D86">
        <f t="shared" si="9"/>
        <v>0.11081354423722643</v>
      </c>
      <c r="E86">
        <f t="shared" si="9"/>
        <v>5.3238399611634782E-3</v>
      </c>
      <c r="F86">
        <f t="shared" si="9"/>
        <v>7.9857599417452168E-3</v>
      </c>
      <c r="G86">
        <f t="shared" si="9"/>
        <v>3.2727861159432005E-3</v>
      </c>
      <c r="H86">
        <f t="shared" si="9"/>
        <v>3.297058942513855E-3</v>
      </c>
      <c r="I86">
        <f t="shared" si="9"/>
        <v>0.26692018285529351</v>
      </c>
      <c r="J86">
        <f t="shared" si="9"/>
        <v>7.8522593956066172E-2</v>
      </c>
      <c r="K86">
        <f>SUM(B86:J86)</f>
        <v>0.99999999999999989</v>
      </c>
    </row>
    <row r="89" spans="1:11" x14ac:dyDescent="0.2">
      <c r="B89">
        <v>0.75</v>
      </c>
      <c r="C89">
        <v>0.75</v>
      </c>
      <c r="D89">
        <v>0.75</v>
      </c>
      <c r="E89">
        <v>0.75</v>
      </c>
      <c r="F89">
        <v>0.75</v>
      </c>
      <c r="G89">
        <v>0.75</v>
      </c>
      <c r="H89">
        <v>0.75</v>
      </c>
      <c r="I89">
        <v>1</v>
      </c>
      <c r="J89">
        <v>1</v>
      </c>
    </row>
    <row r="91" spans="1:11" x14ac:dyDescent="0.2">
      <c r="A91" t="s">
        <v>389</v>
      </c>
      <c r="B91">
        <f t="shared" ref="B91:H102" si="10">B30*$B$89</f>
        <v>88.192499999999995</v>
      </c>
      <c r="C91">
        <f t="shared" si="10"/>
        <v>105.705</v>
      </c>
      <c r="D91">
        <f t="shared" si="10"/>
        <v>120.9675</v>
      </c>
      <c r="E91">
        <f t="shared" si="10"/>
        <v>1184.7525000000001</v>
      </c>
      <c r="F91">
        <f t="shared" si="10"/>
        <v>103.5</v>
      </c>
      <c r="G91">
        <f t="shared" si="10"/>
        <v>327.21750000000003</v>
      </c>
      <c r="H91">
        <f t="shared" si="10"/>
        <v>348.375</v>
      </c>
      <c r="I91">
        <v>-21</v>
      </c>
      <c r="J91">
        <v>98.89</v>
      </c>
    </row>
    <row r="92" spans="1:11" x14ac:dyDescent="0.2">
      <c r="A92" t="s">
        <v>72</v>
      </c>
      <c r="B92">
        <f t="shared" si="10"/>
        <v>95.257499999999993</v>
      </c>
      <c r="C92">
        <f t="shared" si="10"/>
        <v>114.00749999999999</v>
      </c>
      <c r="D92">
        <f t="shared" si="10"/>
        <v>130.6275</v>
      </c>
      <c r="E92">
        <f t="shared" si="10"/>
        <v>1114.7325000000001</v>
      </c>
      <c r="F92">
        <f t="shared" si="10"/>
        <v>105.35999999999999</v>
      </c>
      <c r="G92">
        <f t="shared" si="10"/>
        <v>358.185</v>
      </c>
      <c r="H92">
        <f t="shared" si="10"/>
        <v>363.41250000000002</v>
      </c>
      <c r="I92">
        <v>-21</v>
      </c>
      <c r="J92">
        <v>98.89</v>
      </c>
    </row>
    <row r="93" spans="1:11" x14ac:dyDescent="0.2">
      <c r="A93" t="s">
        <v>34</v>
      </c>
      <c r="B93">
        <f t="shared" si="10"/>
        <v>99</v>
      </c>
      <c r="C93">
        <f t="shared" si="10"/>
        <v>117.71249999999999</v>
      </c>
      <c r="D93">
        <f t="shared" si="10"/>
        <v>137.13</v>
      </c>
      <c r="E93">
        <f t="shared" si="10"/>
        <v>1128.6224999999999</v>
      </c>
      <c r="F93">
        <f t="shared" si="10"/>
        <v>103.5</v>
      </c>
      <c r="G93">
        <f t="shared" si="10"/>
        <v>380.61750000000001</v>
      </c>
      <c r="H93">
        <f t="shared" si="10"/>
        <v>364.20749999999998</v>
      </c>
      <c r="I93">
        <v>-21</v>
      </c>
      <c r="J93">
        <v>98.89</v>
      </c>
    </row>
    <row r="94" spans="1:11" x14ac:dyDescent="0.2">
      <c r="A94" t="s">
        <v>35</v>
      </c>
      <c r="B94">
        <f t="shared" si="10"/>
        <v>96</v>
      </c>
      <c r="C94">
        <f t="shared" si="10"/>
        <v>111.9825</v>
      </c>
      <c r="D94">
        <f t="shared" si="10"/>
        <v>133.46249999999998</v>
      </c>
      <c r="E94">
        <f t="shared" si="10"/>
        <v>1216.4325000000001</v>
      </c>
      <c r="F94">
        <f t="shared" si="10"/>
        <v>103.5</v>
      </c>
      <c r="G94">
        <f t="shared" si="10"/>
        <v>408.75</v>
      </c>
      <c r="H94">
        <f t="shared" si="10"/>
        <v>363.75</v>
      </c>
      <c r="I94">
        <v>-21</v>
      </c>
      <c r="J94">
        <v>98.89</v>
      </c>
    </row>
    <row r="95" spans="1:11" x14ac:dyDescent="0.2">
      <c r="A95" t="s">
        <v>390</v>
      </c>
      <c r="B95">
        <f t="shared" si="10"/>
        <v>95.625</v>
      </c>
      <c r="C95">
        <f t="shared" si="10"/>
        <v>114.63749999999999</v>
      </c>
      <c r="D95">
        <f t="shared" si="10"/>
        <v>127.07250000000001</v>
      </c>
      <c r="E95">
        <f t="shared" si="10"/>
        <v>1121.97</v>
      </c>
      <c r="F95">
        <f t="shared" si="10"/>
        <v>106.83</v>
      </c>
      <c r="G95">
        <f t="shared" si="10"/>
        <v>390</v>
      </c>
      <c r="H95">
        <f t="shared" si="10"/>
        <v>367.5</v>
      </c>
      <c r="I95">
        <v>-21</v>
      </c>
      <c r="J95">
        <v>98.89</v>
      </c>
    </row>
    <row r="96" spans="1:11" x14ac:dyDescent="0.2">
      <c r="A96" t="s">
        <v>37</v>
      </c>
      <c r="B96">
        <f t="shared" si="10"/>
        <v>95.25</v>
      </c>
      <c r="C96">
        <f t="shared" si="10"/>
        <v>117.39000000000001</v>
      </c>
      <c r="D96">
        <f t="shared" si="10"/>
        <v>138.72</v>
      </c>
      <c r="E96">
        <f t="shared" si="10"/>
        <v>1132.5</v>
      </c>
      <c r="F96">
        <f t="shared" si="10"/>
        <v>117</v>
      </c>
      <c r="G96">
        <f t="shared" si="10"/>
        <v>404.66249999999997</v>
      </c>
      <c r="H96">
        <f t="shared" si="10"/>
        <v>384.74250000000001</v>
      </c>
      <c r="I96">
        <v>-21</v>
      </c>
      <c r="J96">
        <v>98.89</v>
      </c>
    </row>
    <row r="97" spans="1:11" x14ac:dyDescent="0.2">
      <c r="A97" t="s">
        <v>329</v>
      </c>
      <c r="B97">
        <f t="shared" si="10"/>
        <v>95.25</v>
      </c>
      <c r="C97">
        <f t="shared" si="10"/>
        <v>118.5975</v>
      </c>
      <c r="D97">
        <f t="shared" si="10"/>
        <v>146.69999999999999</v>
      </c>
      <c r="E97">
        <f t="shared" si="10"/>
        <v>1453.335</v>
      </c>
      <c r="F97">
        <f t="shared" si="10"/>
        <v>121.4325</v>
      </c>
      <c r="G97">
        <f t="shared" si="10"/>
        <v>388.77</v>
      </c>
      <c r="H97">
        <f t="shared" si="10"/>
        <v>382.5</v>
      </c>
      <c r="I97">
        <v>-21</v>
      </c>
      <c r="J97">
        <v>101.95</v>
      </c>
    </row>
    <row r="98" spans="1:11" x14ac:dyDescent="0.2">
      <c r="A98" t="s">
        <v>95</v>
      </c>
      <c r="B98">
        <f t="shared" si="10"/>
        <v>95.25</v>
      </c>
      <c r="C98">
        <f t="shared" si="10"/>
        <v>117.12</v>
      </c>
      <c r="D98">
        <f t="shared" si="10"/>
        <v>135.89249999999998</v>
      </c>
      <c r="E98">
        <f t="shared" si="10"/>
        <v>1449.8475000000001</v>
      </c>
      <c r="F98">
        <f t="shared" si="10"/>
        <v>196.5</v>
      </c>
      <c r="G98">
        <f t="shared" si="10"/>
        <v>405.01499999999999</v>
      </c>
      <c r="H98">
        <f t="shared" si="10"/>
        <v>390.21</v>
      </c>
      <c r="I98">
        <v>-21</v>
      </c>
      <c r="J98">
        <v>101.95</v>
      </c>
    </row>
    <row r="99" spans="1:11" x14ac:dyDescent="0.2">
      <c r="A99" t="s">
        <v>40</v>
      </c>
      <c r="B99">
        <f t="shared" si="10"/>
        <v>97.5</v>
      </c>
      <c r="C99">
        <f t="shared" si="10"/>
        <v>111.66</v>
      </c>
      <c r="D99">
        <f t="shared" si="10"/>
        <v>127.26</v>
      </c>
      <c r="E99">
        <f t="shared" si="10"/>
        <v>1413.1725000000001</v>
      </c>
      <c r="F99">
        <f t="shared" si="10"/>
        <v>216.75</v>
      </c>
      <c r="G99">
        <f t="shared" si="10"/>
        <v>401.44499999999999</v>
      </c>
      <c r="H99">
        <f t="shared" si="10"/>
        <v>412.5</v>
      </c>
      <c r="I99">
        <v>-21</v>
      </c>
      <c r="J99">
        <v>101.95</v>
      </c>
    </row>
    <row r="100" spans="1:11" x14ac:dyDescent="0.2">
      <c r="A100" t="s">
        <v>41</v>
      </c>
      <c r="B100">
        <f t="shared" si="10"/>
        <v>97.5</v>
      </c>
      <c r="C100">
        <f t="shared" si="10"/>
        <v>112.3425</v>
      </c>
      <c r="D100">
        <f t="shared" si="10"/>
        <v>117.75</v>
      </c>
      <c r="E100">
        <f t="shared" si="10"/>
        <v>1432.5</v>
      </c>
      <c r="F100">
        <f t="shared" si="10"/>
        <v>237.91500000000002</v>
      </c>
      <c r="G100">
        <f t="shared" si="10"/>
        <v>404.82749999999999</v>
      </c>
      <c r="H100">
        <f t="shared" si="10"/>
        <v>412.5</v>
      </c>
      <c r="I100">
        <v>-21</v>
      </c>
      <c r="J100">
        <v>101.95</v>
      </c>
    </row>
    <row r="101" spans="1:11" x14ac:dyDescent="0.2">
      <c r="A101" t="s">
        <v>42</v>
      </c>
      <c r="B101">
        <f t="shared" si="10"/>
        <v>91.5</v>
      </c>
      <c r="C101">
        <f t="shared" si="10"/>
        <v>113.99250000000001</v>
      </c>
      <c r="D101">
        <f t="shared" si="10"/>
        <v>115.64999999999999</v>
      </c>
      <c r="E101">
        <f t="shared" si="10"/>
        <v>1433.0174999999999</v>
      </c>
      <c r="F101">
        <f t="shared" si="10"/>
        <v>231.66749999999999</v>
      </c>
      <c r="G101">
        <f t="shared" si="10"/>
        <v>423.74250000000001</v>
      </c>
      <c r="H101">
        <f t="shared" si="10"/>
        <v>416.25</v>
      </c>
      <c r="I101">
        <v>-21</v>
      </c>
      <c r="J101">
        <v>101.95</v>
      </c>
    </row>
    <row r="102" spans="1:11" x14ac:dyDescent="0.2">
      <c r="A102" t="s">
        <v>43</v>
      </c>
      <c r="B102">
        <f t="shared" si="10"/>
        <v>93.75</v>
      </c>
      <c r="C102">
        <f t="shared" si="10"/>
        <v>115.76249999999999</v>
      </c>
      <c r="D102">
        <f t="shared" si="10"/>
        <v>123.1275</v>
      </c>
      <c r="E102">
        <f t="shared" si="10"/>
        <v>1417.8000000000002</v>
      </c>
      <c r="F102">
        <f t="shared" si="10"/>
        <v>192.66</v>
      </c>
      <c r="G102">
        <f t="shared" si="10"/>
        <v>379.86750000000001</v>
      </c>
      <c r="H102">
        <f t="shared" si="10"/>
        <v>405</v>
      </c>
      <c r="I102">
        <v>-21</v>
      </c>
      <c r="J102">
        <v>101.95</v>
      </c>
    </row>
    <row r="104" spans="1:11" x14ac:dyDescent="0.2">
      <c r="C104" t="s">
        <v>6</v>
      </c>
      <c r="G104" t="s">
        <v>6</v>
      </c>
      <c r="H104" t="s">
        <v>330</v>
      </c>
      <c r="I104" t="s">
        <v>6</v>
      </c>
    </row>
    <row r="105" spans="1:11" x14ac:dyDescent="0.2">
      <c r="A105" t="s">
        <v>24</v>
      </c>
      <c r="B105" t="s">
        <v>14</v>
      </c>
      <c r="C105" t="s">
        <v>15</v>
      </c>
      <c r="D105" t="s">
        <v>16</v>
      </c>
      <c r="E105" t="s">
        <v>18</v>
      </c>
      <c r="F105" t="s">
        <v>19</v>
      </c>
      <c r="G105" t="s">
        <v>20</v>
      </c>
      <c r="H105" t="s">
        <v>331</v>
      </c>
      <c r="I105" t="s">
        <v>17</v>
      </c>
      <c r="J105" t="s">
        <v>333</v>
      </c>
      <c r="K105" t="s">
        <v>84</v>
      </c>
    </row>
    <row r="107" spans="1:11" x14ac:dyDescent="0.2">
      <c r="A107" t="s">
        <v>389</v>
      </c>
      <c r="B107">
        <f t="shared" ref="B107:I118" si="11">+B72*B91</f>
        <v>259.28594999999996</v>
      </c>
      <c r="C107">
        <f t="shared" si="11"/>
        <v>5109.7797</v>
      </c>
      <c r="D107">
        <f t="shared" si="11"/>
        <v>1270.1587500000001</v>
      </c>
      <c r="E107">
        <f t="shared" si="11"/>
        <v>616.07130000000006</v>
      </c>
      <c r="F107">
        <f t="shared" si="11"/>
        <v>80.73</v>
      </c>
      <c r="G107">
        <f t="shared" si="11"/>
        <v>101.437425</v>
      </c>
      <c r="H107">
        <f t="shared" si="11"/>
        <v>107.99625</v>
      </c>
      <c r="I107">
        <f t="shared" si="11"/>
        <v>-565.94999999999993</v>
      </c>
      <c r="J107">
        <f t="shared" ref="J107:J118" si="12">+J72*-J91</f>
        <v>-667.50750000000005</v>
      </c>
      <c r="K107">
        <f>SUM(B107:J107)</f>
        <v>6312.0018750000008</v>
      </c>
    </row>
    <row r="108" spans="1:11" x14ac:dyDescent="0.2">
      <c r="A108" t="s">
        <v>72</v>
      </c>
      <c r="B108">
        <f t="shared" si="11"/>
        <v>324.82807500000001</v>
      </c>
      <c r="C108">
        <f t="shared" si="11"/>
        <v>6342.2372249999999</v>
      </c>
      <c r="D108">
        <f t="shared" si="11"/>
        <v>1580.59275</v>
      </c>
      <c r="E108">
        <f t="shared" si="11"/>
        <v>691.1341500000002</v>
      </c>
      <c r="F108">
        <f t="shared" si="11"/>
        <v>97.984799999999979</v>
      </c>
      <c r="G108">
        <f t="shared" si="11"/>
        <v>132.52844999999999</v>
      </c>
      <c r="H108">
        <f t="shared" si="11"/>
        <v>134.462625</v>
      </c>
      <c r="I108">
        <f t="shared" si="11"/>
        <v>-651.41999999999996</v>
      </c>
      <c r="J108">
        <f t="shared" si="12"/>
        <v>-771.34199999999998</v>
      </c>
      <c r="K108">
        <f t="shared" ref="K108:K118" si="13">SUM(B108:J108)</f>
        <v>7881.0060750000002</v>
      </c>
    </row>
    <row r="109" spans="1:11" x14ac:dyDescent="0.2">
      <c r="A109" t="s">
        <v>34</v>
      </c>
      <c r="B109">
        <f t="shared" si="11"/>
        <v>322.73999999999995</v>
      </c>
      <c r="C109">
        <f t="shared" si="11"/>
        <v>6263.4821249999995</v>
      </c>
      <c r="D109">
        <f t="shared" si="11"/>
        <v>1587.9654</v>
      </c>
      <c r="E109">
        <f t="shared" si="11"/>
        <v>668.14451999999994</v>
      </c>
      <c r="F109">
        <f t="shared" si="11"/>
        <v>91.908000000000001</v>
      </c>
      <c r="G109">
        <f t="shared" si="11"/>
        <v>135.1192125</v>
      </c>
      <c r="H109">
        <f t="shared" si="11"/>
        <v>129.29366249999998</v>
      </c>
      <c r="I109">
        <f t="shared" si="11"/>
        <v>-623.07000000000005</v>
      </c>
      <c r="J109">
        <f t="shared" si="12"/>
        <v>-731.78600000000006</v>
      </c>
      <c r="K109">
        <f t="shared" si="13"/>
        <v>7843.7969199999989</v>
      </c>
    </row>
    <row r="110" spans="1:11" x14ac:dyDescent="0.2">
      <c r="A110" t="s">
        <v>35</v>
      </c>
      <c r="B110">
        <f t="shared" si="11"/>
        <v>306.24</v>
      </c>
      <c r="C110">
        <f t="shared" si="11"/>
        <v>5823.09</v>
      </c>
      <c r="D110">
        <f t="shared" si="11"/>
        <v>1509.4608749999998</v>
      </c>
      <c r="E110">
        <f t="shared" si="11"/>
        <v>705.53084999999999</v>
      </c>
      <c r="F110">
        <f t="shared" si="11"/>
        <v>90.045000000000002</v>
      </c>
      <c r="G110">
        <f t="shared" si="11"/>
        <v>141.01874999999998</v>
      </c>
      <c r="H110">
        <f t="shared" si="11"/>
        <v>125.49374999999999</v>
      </c>
      <c r="I110">
        <f t="shared" si="11"/>
        <v>-609</v>
      </c>
      <c r="J110">
        <f t="shared" si="12"/>
        <v>-721.89699999999993</v>
      </c>
      <c r="K110">
        <f t="shared" si="13"/>
        <v>7369.9822249999988</v>
      </c>
    </row>
    <row r="111" spans="1:11" x14ac:dyDescent="0.2">
      <c r="A111" t="s">
        <v>390</v>
      </c>
      <c r="B111">
        <f t="shared" si="11"/>
        <v>333.73125000000005</v>
      </c>
      <c r="C111">
        <f t="shared" si="11"/>
        <v>6528.6056249999992</v>
      </c>
      <c r="D111">
        <f t="shared" si="11"/>
        <v>1574.4282750000002</v>
      </c>
      <c r="E111">
        <f t="shared" si="11"/>
        <v>718.0608000000002</v>
      </c>
      <c r="F111">
        <f t="shared" si="11"/>
        <v>102.5568</v>
      </c>
      <c r="G111">
        <f t="shared" si="11"/>
        <v>148.19999999999999</v>
      </c>
      <c r="H111">
        <f t="shared" si="11"/>
        <v>139.65</v>
      </c>
      <c r="I111">
        <f t="shared" si="11"/>
        <v>-666.96</v>
      </c>
      <c r="J111">
        <f t="shared" si="12"/>
        <v>-756.50850000000003</v>
      </c>
      <c r="K111">
        <f t="shared" si="13"/>
        <v>8121.7642500000002</v>
      </c>
    </row>
    <row r="112" spans="1:11" x14ac:dyDescent="0.2">
      <c r="A112" t="s">
        <v>37</v>
      </c>
      <c r="B112">
        <f t="shared" si="11"/>
        <v>303.84749999999997</v>
      </c>
      <c r="C112">
        <f t="shared" si="11"/>
        <v>6104.2800000000007</v>
      </c>
      <c r="D112">
        <f t="shared" si="11"/>
        <v>1568.9232</v>
      </c>
      <c r="E112">
        <f t="shared" si="11"/>
        <v>656.84999999999991</v>
      </c>
      <c r="F112">
        <f t="shared" si="11"/>
        <v>101.79</v>
      </c>
      <c r="G112">
        <f t="shared" si="11"/>
        <v>137.58525</v>
      </c>
      <c r="H112">
        <f t="shared" si="11"/>
        <v>132.73616250000001</v>
      </c>
      <c r="I112">
        <f t="shared" si="11"/>
        <v>-609</v>
      </c>
      <c r="J112">
        <f t="shared" si="12"/>
        <v>-716.95249999999999</v>
      </c>
      <c r="K112">
        <f>SUM(B112:J112)</f>
        <v>7680.0596125000002</v>
      </c>
    </row>
    <row r="113" spans="1:11" x14ac:dyDescent="0.2">
      <c r="A113" t="s">
        <v>329</v>
      </c>
      <c r="B113">
        <f t="shared" si="11"/>
        <v>300.99</v>
      </c>
      <c r="C113">
        <f t="shared" si="11"/>
        <v>5929.875</v>
      </c>
      <c r="D113">
        <f t="shared" si="11"/>
        <v>1654.7759999999998</v>
      </c>
      <c r="E113">
        <f t="shared" si="11"/>
        <v>784.80090000000007</v>
      </c>
      <c r="F113">
        <f t="shared" si="11"/>
        <v>98.360325000000003</v>
      </c>
      <c r="G113">
        <f t="shared" si="11"/>
        <v>128.29409999999999</v>
      </c>
      <c r="H113">
        <f t="shared" si="11"/>
        <v>130.05000000000001</v>
      </c>
      <c r="I113">
        <f t="shared" si="11"/>
        <v>-567</v>
      </c>
      <c r="J113">
        <f t="shared" si="12"/>
        <v>-866.57500000000005</v>
      </c>
      <c r="K113">
        <f t="shared" si="13"/>
        <v>7593.5713249999981</v>
      </c>
    </row>
    <row r="114" spans="1:11" x14ac:dyDescent="0.2">
      <c r="A114" t="s">
        <v>95</v>
      </c>
      <c r="B114">
        <f t="shared" si="11"/>
        <v>298.13249999999999</v>
      </c>
      <c r="C114">
        <f t="shared" si="11"/>
        <v>5621.76</v>
      </c>
      <c r="D114">
        <f t="shared" si="11"/>
        <v>1528.7906249999999</v>
      </c>
      <c r="E114">
        <f t="shared" si="11"/>
        <v>724.92375000000004</v>
      </c>
      <c r="F114">
        <f t="shared" si="11"/>
        <v>147.375</v>
      </c>
      <c r="G114">
        <f t="shared" si="11"/>
        <v>129.60480000000001</v>
      </c>
      <c r="H114">
        <f t="shared" si="11"/>
        <v>126.81824999999999</v>
      </c>
      <c r="I114">
        <f t="shared" si="11"/>
        <v>-525</v>
      </c>
      <c r="J114">
        <f t="shared" si="12"/>
        <v>-866.57500000000005</v>
      </c>
      <c r="K114">
        <f t="shared" si="13"/>
        <v>7185.8299249999991</v>
      </c>
    </row>
    <row r="115" spans="1:11" x14ac:dyDescent="0.2">
      <c r="A115" t="s">
        <v>40</v>
      </c>
      <c r="B115">
        <f t="shared" si="11"/>
        <v>305.17500000000001</v>
      </c>
      <c r="C115">
        <f t="shared" si="11"/>
        <v>5359.68</v>
      </c>
      <c r="D115">
        <f t="shared" si="11"/>
        <v>1431.675</v>
      </c>
      <c r="E115">
        <f t="shared" si="11"/>
        <v>706.58625000000006</v>
      </c>
      <c r="F115">
        <f t="shared" si="11"/>
        <v>162.5625</v>
      </c>
      <c r="G115">
        <f t="shared" si="11"/>
        <v>130.46962500000001</v>
      </c>
      <c r="H115">
        <f t="shared" si="11"/>
        <v>134.0625</v>
      </c>
      <c r="I115">
        <f t="shared" si="11"/>
        <v>-525</v>
      </c>
      <c r="J115">
        <f t="shared" si="12"/>
        <v>-866.57500000000005</v>
      </c>
      <c r="K115">
        <f t="shared" si="13"/>
        <v>6838.6358750000009</v>
      </c>
    </row>
    <row r="116" spans="1:11" x14ac:dyDescent="0.2">
      <c r="A116" t="s">
        <v>41</v>
      </c>
      <c r="B116">
        <f t="shared" si="11"/>
        <v>300.3</v>
      </c>
      <c r="C116">
        <f t="shared" si="11"/>
        <v>5301.442575</v>
      </c>
      <c r="D116">
        <f t="shared" si="11"/>
        <v>1302.3150000000001</v>
      </c>
      <c r="E116">
        <f t="shared" si="11"/>
        <v>704.79</v>
      </c>
      <c r="F116">
        <f t="shared" si="11"/>
        <v>175.58127000000002</v>
      </c>
      <c r="G116">
        <f t="shared" si="11"/>
        <v>129.54480000000001</v>
      </c>
      <c r="H116">
        <f t="shared" si="11"/>
        <v>132</v>
      </c>
      <c r="I116">
        <f t="shared" si="11"/>
        <v>-516.17999999999995</v>
      </c>
      <c r="J116">
        <f t="shared" si="12"/>
        <v>-917.55000000000007</v>
      </c>
      <c r="K116">
        <f t="shared" si="13"/>
        <v>6612.2436449999996</v>
      </c>
    </row>
    <row r="117" spans="1:11" x14ac:dyDescent="0.2">
      <c r="A117" t="s">
        <v>42</v>
      </c>
      <c r="B117">
        <f t="shared" si="11"/>
        <v>304.69499999999999</v>
      </c>
      <c r="C117">
        <f t="shared" si="11"/>
        <v>5827.2965999999997</v>
      </c>
      <c r="D117">
        <f t="shared" si="11"/>
        <v>1386.6434999999999</v>
      </c>
      <c r="E117">
        <f t="shared" si="11"/>
        <v>762.36531000000002</v>
      </c>
      <c r="F117">
        <f t="shared" si="11"/>
        <v>184.870665</v>
      </c>
      <c r="G117">
        <f t="shared" si="11"/>
        <v>144.07245</v>
      </c>
      <c r="H117">
        <f t="shared" si="11"/>
        <v>145.6875</v>
      </c>
      <c r="I117">
        <f t="shared" si="11"/>
        <v>-559.02</v>
      </c>
      <c r="J117">
        <f t="shared" si="12"/>
        <v>-978.72</v>
      </c>
      <c r="K117">
        <f t="shared" si="13"/>
        <v>7217.8910249999981</v>
      </c>
    </row>
    <row r="118" spans="1:11" x14ac:dyDescent="0.2">
      <c r="A118" t="s">
        <v>43</v>
      </c>
      <c r="B118">
        <f t="shared" si="11"/>
        <v>285</v>
      </c>
      <c r="C118">
        <f t="shared" si="11"/>
        <v>5403.7934999999998</v>
      </c>
      <c r="D118">
        <f t="shared" si="11"/>
        <v>1347.01485</v>
      </c>
      <c r="E118">
        <f t="shared" si="11"/>
        <v>686.2152000000001</v>
      </c>
      <c r="F118">
        <f t="shared" si="11"/>
        <v>139.87116</v>
      </c>
      <c r="G118">
        <f t="shared" si="11"/>
        <v>117.758925</v>
      </c>
      <c r="H118">
        <f t="shared" si="11"/>
        <v>125.55</v>
      </c>
      <c r="I118">
        <f t="shared" si="11"/>
        <v>-510.3</v>
      </c>
      <c r="J118">
        <f t="shared" si="12"/>
        <v>-897.16000000000008</v>
      </c>
      <c r="K118">
        <f t="shared" si="13"/>
        <v>6697.7436349999998</v>
      </c>
    </row>
    <row r="119" spans="1:11" x14ac:dyDescent="0.2">
      <c r="A119" t="s">
        <v>88</v>
      </c>
      <c r="B119">
        <f>SUM(B107:B118)</f>
        <v>3644.9652750000005</v>
      </c>
      <c r="C119">
        <f t="shared" ref="C119:H119" si="14">SUM(C107:C118)</f>
        <v>69615.322350000002</v>
      </c>
      <c r="D119">
        <f t="shared" si="14"/>
        <v>17742.744224999999</v>
      </c>
      <c r="E119">
        <f t="shared" si="14"/>
        <v>8425.473030000001</v>
      </c>
      <c r="F119">
        <f t="shared" si="14"/>
        <v>1473.6355199999998</v>
      </c>
      <c r="G119">
        <f t="shared" si="14"/>
        <v>1575.6337874999999</v>
      </c>
      <c r="H119">
        <f t="shared" si="14"/>
        <v>1563.8007</v>
      </c>
      <c r="I119">
        <f>SUM(I107:I118)</f>
        <v>-6927.9000000000005</v>
      </c>
      <c r="J119">
        <f>SUM(J107:J118)</f>
        <v>-9759.1484999999993</v>
      </c>
      <c r="K119">
        <f>SUM(K107:K118)</f>
        <v>87354.526387500009</v>
      </c>
    </row>
  </sheetData>
  <phoneticPr fontId="0" type="noConversion"/>
  <pageMargins left="0.75" right="0.75" top="1" bottom="1" header="0.5" footer="0.5"/>
  <pageSetup orientation="portrait" horizontalDpi="300" verticalDpi="3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23"/>
  <sheetViews>
    <sheetView topLeftCell="A19" zoomScaleNormal="100" workbookViewId="0">
      <selection activeCell="I59" sqref="I59"/>
    </sheetView>
  </sheetViews>
  <sheetFormatPr defaultRowHeight="15" x14ac:dyDescent="0.2"/>
  <cols>
    <col min="1" max="1" width="1.77734375" customWidth="1"/>
    <col min="2" max="2" width="12.5546875" customWidth="1"/>
    <col min="3" max="3" width="2" customWidth="1"/>
    <col min="10" max="10" width="2" customWidth="1"/>
  </cols>
  <sheetData>
    <row r="1" spans="2:6" x14ac:dyDescent="0.2">
      <c r="F1" t="s">
        <v>0</v>
      </c>
    </row>
    <row r="2" spans="2:6" x14ac:dyDescent="0.2">
      <c r="F2" t="s">
        <v>1</v>
      </c>
    </row>
    <row r="3" spans="2:6" x14ac:dyDescent="0.2">
      <c r="F3" t="s">
        <v>2</v>
      </c>
    </row>
    <row r="6" spans="2:6" x14ac:dyDescent="0.2">
      <c r="B6" t="s">
        <v>433</v>
      </c>
    </row>
    <row r="8" spans="2:6" x14ac:dyDescent="0.2">
      <c r="B8" t="s">
        <v>423</v>
      </c>
    </row>
    <row r="9" spans="2:6" x14ac:dyDescent="0.2">
      <c r="B9" t="s">
        <v>405</v>
      </c>
    </row>
    <row r="10" spans="2:6" x14ac:dyDescent="0.2">
      <c r="B10" t="s">
        <v>6</v>
      </c>
    </row>
    <row r="12" spans="2:6" x14ac:dyDescent="0.2">
      <c r="D12" t="s">
        <v>30</v>
      </c>
      <c r="E12" t="s">
        <v>31</v>
      </c>
    </row>
    <row r="13" spans="2:6" x14ac:dyDescent="0.2">
      <c r="B13" t="s">
        <v>92</v>
      </c>
      <c r="D13" t="s">
        <v>26</v>
      </c>
      <c r="E13" t="s">
        <v>32</v>
      </c>
    </row>
    <row r="15" spans="2:6" x14ac:dyDescent="0.2">
      <c r="B15" t="s">
        <v>403</v>
      </c>
      <c r="D15">
        <f>35065+16584</f>
        <v>51649</v>
      </c>
      <c r="E15">
        <f>'10th year actual'!J46</f>
        <v>206583.44049999997</v>
      </c>
    </row>
    <row r="16" spans="2:6" x14ac:dyDescent="0.2">
      <c r="B16" t="s">
        <v>116</v>
      </c>
      <c r="D16">
        <f>35005+16547</f>
        <v>51552</v>
      </c>
      <c r="E16">
        <f>'10th year actual'!J47</f>
        <v>174121.42930000002</v>
      </c>
    </row>
    <row r="17" spans="2:10" x14ac:dyDescent="0.2">
      <c r="B17" t="s">
        <v>34</v>
      </c>
      <c r="D17">
        <f>34910+16397</f>
        <v>51307</v>
      </c>
      <c r="E17">
        <f>'10th year actual'!J48</f>
        <v>66471.058600000004</v>
      </c>
    </row>
    <row r="18" spans="2:10" x14ac:dyDescent="0.2">
      <c r="B18" t="s">
        <v>35</v>
      </c>
      <c r="D18">
        <f>34851+16342</f>
        <v>51193</v>
      </c>
      <c r="E18">
        <f>'10th year actual'!J49</f>
        <v>63307.056600000004</v>
      </c>
    </row>
    <row r="19" spans="2:10" x14ac:dyDescent="0.2">
      <c r="B19" t="s">
        <v>404</v>
      </c>
      <c r="D19">
        <f>34806+16330</f>
        <v>51136</v>
      </c>
      <c r="E19">
        <f>'10th year actual'!J50</f>
        <v>95496.914300000004</v>
      </c>
    </row>
    <row r="20" spans="2:10" x14ac:dyDescent="0.2">
      <c r="B20" t="s">
        <v>37</v>
      </c>
      <c r="D20">
        <f>34187+16114</f>
        <v>50301</v>
      </c>
      <c r="E20">
        <f>'10th year actual'!J51</f>
        <v>80717.483800000002</v>
      </c>
    </row>
    <row r="21" spans="2:10" x14ac:dyDescent="0.2">
      <c r="B21" t="s">
        <v>38</v>
      </c>
      <c r="D21">
        <f>33917+15925</f>
        <v>49842</v>
      </c>
      <c r="E21">
        <f>'10th year actual'!J52</f>
        <v>83840.651500000007</v>
      </c>
    </row>
    <row r="22" spans="2:10" x14ac:dyDescent="0.2">
      <c r="B22" t="s">
        <v>95</v>
      </c>
      <c r="D22">
        <f>34013+16100</f>
        <v>50113</v>
      </c>
      <c r="E22">
        <f>'10th year actual'!J53</f>
        <v>81522.709999999992</v>
      </c>
    </row>
    <row r="23" spans="2:10" x14ac:dyDescent="0.2">
      <c r="B23" t="s">
        <v>40</v>
      </c>
      <c r="D23">
        <f>34773+16384</f>
        <v>51157</v>
      </c>
      <c r="E23">
        <f>'10th year actual'!J54</f>
        <v>93857.750999999989</v>
      </c>
    </row>
    <row r="24" spans="2:10" x14ac:dyDescent="0.2">
      <c r="B24" t="s">
        <v>41</v>
      </c>
      <c r="D24">
        <f>34809+16483</f>
        <v>51292</v>
      </c>
      <c r="E24">
        <f>'10th year actual'!J55</f>
        <v>99882.845000000016</v>
      </c>
    </row>
    <row r="25" spans="2:10" x14ac:dyDescent="0.2">
      <c r="B25" t="s">
        <v>42</v>
      </c>
      <c r="D25">
        <f>35015+16595</f>
        <v>51610</v>
      </c>
      <c r="E25">
        <f>'10th year actual'!J56</f>
        <v>104511.13730000002</v>
      </c>
    </row>
    <row r="26" spans="2:10" x14ac:dyDescent="0.2">
      <c r="B26" t="s">
        <v>43</v>
      </c>
      <c r="D26">
        <f>35058+16646</f>
        <v>51704</v>
      </c>
      <c r="E26">
        <f>'10th year actual'!J57</f>
        <v>117783.2322</v>
      </c>
    </row>
    <row r="27" spans="2:10" x14ac:dyDescent="0.2">
      <c r="B27" t="s">
        <v>96</v>
      </c>
      <c r="D27">
        <f>SUM(D14:D26)</f>
        <v>612856</v>
      </c>
      <c r="E27">
        <f>SUM(E15:E26)</f>
        <v>1268095.7101</v>
      </c>
      <c r="G27" t="s">
        <v>6</v>
      </c>
    </row>
    <row r="28" spans="2:10" x14ac:dyDescent="0.2">
      <c r="G28" t="s">
        <v>6</v>
      </c>
    </row>
    <row r="29" spans="2:10" x14ac:dyDescent="0.2">
      <c r="B29" t="s">
        <v>411</v>
      </c>
    </row>
    <row r="31" spans="2:10" x14ac:dyDescent="0.2">
      <c r="B31" t="s">
        <v>412</v>
      </c>
      <c r="F31">
        <f>SUM(D14:D26)</f>
        <v>612856</v>
      </c>
      <c r="J31" t="s">
        <v>6</v>
      </c>
    </row>
    <row r="34" spans="2:9" x14ac:dyDescent="0.2">
      <c r="B34" t="s">
        <v>101</v>
      </c>
      <c r="E34" t="s">
        <v>408</v>
      </c>
      <c r="F34">
        <v>2.52</v>
      </c>
    </row>
    <row r="35" spans="2:9" x14ac:dyDescent="0.2">
      <c r="B35" t="s">
        <v>101</v>
      </c>
      <c r="E35" t="s">
        <v>409</v>
      </c>
      <c r="F35">
        <v>2.81</v>
      </c>
    </row>
    <row r="38" spans="2:9" x14ac:dyDescent="0.2">
      <c r="B38" t="s">
        <v>413</v>
      </c>
      <c r="H38">
        <f>(SUM(D15:D16)*F34)+SUM(D17:D26)*F35</f>
        <v>1692197.07</v>
      </c>
    </row>
    <row r="40" spans="2:9" x14ac:dyDescent="0.2">
      <c r="B40" t="s">
        <v>50</v>
      </c>
      <c r="G40">
        <f>E27</f>
        <v>1268095.7101</v>
      </c>
    </row>
    <row r="41" spans="2:9" x14ac:dyDescent="0.2">
      <c r="B41" t="s">
        <v>340</v>
      </c>
      <c r="G41">
        <f>G40*0.3</f>
        <v>380428.71302999998</v>
      </c>
    </row>
    <row r="42" spans="2:9" x14ac:dyDescent="0.2">
      <c r="B42" t="s">
        <v>350</v>
      </c>
      <c r="H42">
        <f>G40-G41</f>
        <v>887666.99707000004</v>
      </c>
    </row>
    <row r="44" spans="2:9" x14ac:dyDescent="0.2">
      <c r="B44" t="s">
        <v>351</v>
      </c>
      <c r="H44">
        <f>H42-H38</f>
        <v>-804530.07293000002</v>
      </c>
      <c r="I44" t="s">
        <v>414</v>
      </c>
    </row>
    <row r="46" spans="2:9" x14ac:dyDescent="0.2">
      <c r="B46" t="s">
        <v>106</v>
      </c>
    </row>
    <row r="48" spans="2:9" x14ac:dyDescent="0.2">
      <c r="B48" t="s">
        <v>107</v>
      </c>
      <c r="G48">
        <f>H44</f>
        <v>-804530.07293000002</v>
      </c>
    </row>
    <row r="49" spans="2:9" x14ac:dyDescent="0.2">
      <c r="B49" t="s">
        <v>415</v>
      </c>
      <c r="G49">
        <f>D27</f>
        <v>612856</v>
      </c>
    </row>
    <row r="50" spans="2:9" x14ac:dyDescent="0.2">
      <c r="B50" t="s">
        <v>108</v>
      </c>
      <c r="G50">
        <f>G48/G49</f>
        <v>-1.3127554807817823</v>
      </c>
    </row>
    <row r="54" spans="2:9" x14ac:dyDescent="0.2">
      <c r="I54" t="s">
        <v>362</v>
      </c>
    </row>
    <row r="55" spans="2:9" x14ac:dyDescent="0.2">
      <c r="B55" t="s">
        <v>354</v>
      </c>
      <c r="H55" t="s">
        <v>418</v>
      </c>
      <c r="I55" t="s">
        <v>363</v>
      </c>
    </row>
    <row r="56" spans="2:9" x14ac:dyDescent="0.2">
      <c r="B56" t="s">
        <v>416</v>
      </c>
      <c r="H56">
        <f>E27</f>
        <v>1268095.7101</v>
      </c>
      <c r="I56">
        <f>H56*0.7</f>
        <v>887666.99706999992</v>
      </c>
    </row>
    <row r="57" spans="2:9" x14ac:dyDescent="0.2">
      <c r="B57" t="s">
        <v>417</v>
      </c>
      <c r="H57">
        <f>D27</f>
        <v>612856</v>
      </c>
      <c r="I57">
        <f>H57</f>
        <v>612856</v>
      </c>
    </row>
    <row r="59" spans="2:9" x14ac:dyDescent="0.2">
      <c r="E59" t="s">
        <v>359</v>
      </c>
      <c r="H59">
        <f>H56/H57</f>
        <v>2.069157697893143</v>
      </c>
      <c r="I59">
        <f>I56/I57</f>
        <v>1.4484103885252</v>
      </c>
    </row>
    <row r="60" spans="2:9" x14ac:dyDescent="0.2">
      <c r="E60" t="s">
        <v>360</v>
      </c>
      <c r="H60">
        <f>G50</f>
        <v>-1.3127554807817823</v>
      </c>
      <c r="I60">
        <f>G50</f>
        <v>-1.3127554807817823</v>
      </c>
    </row>
    <row r="61" spans="2:9" x14ac:dyDescent="0.2">
      <c r="F61" t="s">
        <v>361</v>
      </c>
      <c r="H61">
        <f>H59+H60</f>
        <v>0.75640221711136069</v>
      </c>
      <c r="I61">
        <f>SUM(I59:I60)</f>
        <v>0.13565490774341771</v>
      </c>
    </row>
    <row r="65" spans="2:6" x14ac:dyDescent="0.2">
      <c r="F65" t="s">
        <v>0</v>
      </c>
    </row>
    <row r="66" spans="2:6" x14ac:dyDescent="0.2">
      <c r="F66" t="s">
        <v>1</v>
      </c>
    </row>
    <row r="67" spans="2:6" x14ac:dyDescent="0.2">
      <c r="F67" t="s">
        <v>342</v>
      </c>
    </row>
    <row r="70" spans="2:6" x14ac:dyDescent="0.2">
      <c r="B70" t="str">
        <f>B6</f>
        <v>After Tenth Year Commodity Adjustment</v>
      </c>
    </row>
    <row r="72" spans="2:6" x14ac:dyDescent="0.2">
      <c r="B72" t="s">
        <v>423</v>
      </c>
    </row>
    <row r="73" spans="2:6" x14ac:dyDescent="0.2">
      <c r="B73" t="s">
        <v>405</v>
      </c>
    </row>
    <row r="74" spans="2:6" x14ac:dyDescent="0.2">
      <c r="B74" t="s">
        <v>6</v>
      </c>
    </row>
    <row r="76" spans="2:6" x14ac:dyDescent="0.2">
      <c r="B76" t="s">
        <v>344</v>
      </c>
      <c r="D76" t="s">
        <v>30</v>
      </c>
      <c r="E76" t="s">
        <v>31</v>
      </c>
    </row>
    <row r="77" spans="2:6" x14ac:dyDescent="0.2">
      <c r="B77" t="s">
        <v>92</v>
      </c>
      <c r="D77" t="s">
        <v>145</v>
      </c>
      <c r="E77" t="s">
        <v>32</v>
      </c>
    </row>
    <row r="79" spans="2:6" x14ac:dyDescent="0.2">
      <c r="B79" t="s">
        <v>403</v>
      </c>
      <c r="D79">
        <v>7970</v>
      </c>
      <c r="E79">
        <f>'10th year actual'!K107</f>
        <v>9103.3030399999989</v>
      </c>
    </row>
    <row r="80" spans="2:6" x14ac:dyDescent="0.2">
      <c r="B80" t="s">
        <v>116</v>
      </c>
      <c r="D80">
        <v>7922</v>
      </c>
      <c r="E80">
        <f>'10th year actual'!K108</f>
        <v>8497.547279999997</v>
      </c>
    </row>
    <row r="81" spans="2:6" x14ac:dyDescent="0.2">
      <c r="B81" t="s">
        <v>34</v>
      </c>
      <c r="D81">
        <v>7626</v>
      </c>
      <c r="E81">
        <f>'10th year actual'!K109</f>
        <v>1646.4334999999999</v>
      </c>
    </row>
    <row r="82" spans="2:6" x14ac:dyDescent="0.2">
      <c r="B82" t="s">
        <v>35</v>
      </c>
      <c r="D82">
        <v>7749</v>
      </c>
      <c r="E82">
        <f>'10th year actual'!K110</f>
        <v>1827.5414199999993</v>
      </c>
    </row>
    <row r="83" spans="2:6" x14ac:dyDescent="0.2">
      <c r="B83" t="s">
        <v>404</v>
      </c>
      <c r="D83">
        <f>7591</f>
        <v>7591</v>
      </c>
      <c r="E83">
        <f>'10th year actual'!K111</f>
        <v>2747.8971599999995</v>
      </c>
    </row>
    <row r="84" spans="2:6" x14ac:dyDescent="0.2">
      <c r="B84" t="s">
        <v>37</v>
      </c>
      <c r="D84">
        <f>7622</f>
        <v>7622</v>
      </c>
      <c r="E84">
        <f>'10th year actual'!K112</f>
        <v>3397.0182199999999</v>
      </c>
    </row>
    <row r="85" spans="2:6" x14ac:dyDescent="0.2">
      <c r="B85" t="s">
        <v>38</v>
      </c>
      <c r="D85">
        <v>7702</v>
      </c>
      <c r="E85">
        <f>'10th year actual'!K113</f>
        <v>3465.4580000000001</v>
      </c>
    </row>
    <row r="86" spans="2:6" x14ac:dyDescent="0.2">
      <c r="B86" t="s">
        <v>95</v>
      </c>
      <c r="D86">
        <v>7650</v>
      </c>
      <c r="E86">
        <f>'10th year actual'!K114</f>
        <v>3445.0843200000004</v>
      </c>
    </row>
    <row r="87" spans="2:6" x14ac:dyDescent="0.2">
      <c r="B87" t="s">
        <v>40</v>
      </c>
      <c r="D87">
        <v>7646</v>
      </c>
      <c r="E87">
        <f>'10th year actual'!K115</f>
        <v>4846.9989999999998</v>
      </c>
    </row>
    <row r="88" spans="2:6" x14ac:dyDescent="0.2">
      <c r="B88" t="s">
        <v>41</v>
      </c>
      <c r="D88">
        <v>7790</v>
      </c>
      <c r="E88">
        <f>'10th year actual'!K116</f>
        <v>5111.7925200000009</v>
      </c>
    </row>
    <row r="89" spans="2:6" x14ac:dyDescent="0.2">
      <c r="B89" t="s">
        <v>42</v>
      </c>
      <c r="D89">
        <v>7726</v>
      </c>
      <c r="E89">
        <f>'10th year actual'!K117</f>
        <v>5565.6263999999992</v>
      </c>
    </row>
    <row r="90" spans="2:6" x14ac:dyDescent="0.2">
      <c r="B90" t="s">
        <v>43</v>
      </c>
      <c r="D90">
        <v>7706</v>
      </c>
      <c r="E90">
        <f>'10th year actual'!K118</f>
        <v>6152.7479599999988</v>
      </c>
    </row>
    <row r="91" spans="2:6" x14ac:dyDescent="0.2">
      <c r="B91" t="s">
        <v>96</v>
      </c>
      <c r="D91">
        <f>SUM(D78:D90)</f>
        <v>92700</v>
      </c>
      <c r="E91">
        <f>SUM(E78:E90)</f>
        <v>55807.448820000005</v>
      </c>
    </row>
    <row r="93" spans="2:6" x14ac:dyDescent="0.2">
      <c r="B93" t="s">
        <v>411</v>
      </c>
    </row>
    <row r="95" spans="2:6" x14ac:dyDescent="0.2">
      <c r="B95" t="s">
        <v>410</v>
      </c>
      <c r="F95">
        <f>D91</f>
        <v>92700</v>
      </c>
    </row>
    <row r="97" spans="2:9" x14ac:dyDescent="0.2">
      <c r="B97" t="s">
        <v>343</v>
      </c>
      <c r="E97" t="s">
        <v>408</v>
      </c>
      <c r="F97">
        <v>0.55000000000000004</v>
      </c>
    </row>
    <row r="98" spans="2:9" x14ac:dyDescent="0.2">
      <c r="B98" t="s">
        <v>343</v>
      </c>
      <c r="E98" t="s">
        <v>409</v>
      </c>
      <c r="F98">
        <v>0.61</v>
      </c>
    </row>
    <row r="101" spans="2:9" x14ac:dyDescent="0.2">
      <c r="B101" t="s">
        <v>393</v>
      </c>
      <c r="H101">
        <f>(SUM(D79:D80)*F97)+SUM(D81:D90)*F98</f>
        <v>55593.479999999996</v>
      </c>
      <c r="I101" t="s">
        <v>6</v>
      </c>
    </row>
    <row r="102" spans="2:9" x14ac:dyDescent="0.2">
      <c r="I102" t="s">
        <v>6</v>
      </c>
    </row>
    <row r="103" spans="2:9" x14ac:dyDescent="0.2">
      <c r="B103" t="s">
        <v>50</v>
      </c>
      <c r="G103">
        <f>SUM(E78:E90)</f>
        <v>55807.448820000005</v>
      </c>
      <c r="I103" t="s">
        <v>6</v>
      </c>
    </row>
    <row r="104" spans="2:9" x14ac:dyDescent="0.2">
      <c r="B104" t="s">
        <v>424</v>
      </c>
      <c r="G104">
        <f>G103*0.3</f>
        <v>16742.234646000001</v>
      </c>
    </row>
    <row r="105" spans="2:9" x14ac:dyDescent="0.2">
      <c r="B105" t="s">
        <v>364</v>
      </c>
      <c r="H105">
        <f>G103-G104</f>
        <v>39065.214174000008</v>
      </c>
    </row>
    <row r="107" spans="2:9" x14ac:dyDescent="0.2">
      <c r="B107" t="s">
        <v>190</v>
      </c>
      <c r="H107">
        <f>H105-H101</f>
        <v>-16528.265825999988</v>
      </c>
    </row>
    <row r="109" spans="2:9" x14ac:dyDescent="0.2">
      <c r="B109" t="s">
        <v>365</v>
      </c>
    </row>
    <row r="111" spans="2:9" x14ac:dyDescent="0.2">
      <c r="B111" t="s">
        <v>107</v>
      </c>
      <c r="G111">
        <f>H107</f>
        <v>-16528.265825999988</v>
      </c>
    </row>
    <row r="112" spans="2:9" x14ac:dyDescent="0.2">
      <c r="B112" t="s">
        <v>419</v>
      </c>
      <c r="G112">
        <f>D91</f>
        <v>92700</v>
      </c>
    </row>
    <row r="113" spans="2:9" x14ac:dyDescent="0.2">
      <c r="B113" t="s">
        <v>349</v>
      </c>
      <c r="G113">
        <f>G111/G112</f>
        <v>-0.17829844472491896</v>
      </c>
    </row>
    <row r="116" spans="2:9" x14ac:dyDescent="0.2">
      <c r="I116" t="s">
        <v>362</v>
      </c>
    </row>
    <row r="117" spans="2:9" x14ac:dyDescent="0.2">
      <c r="B117" t="s">
        <v>354</v>
      </c>
      <c r="H117" t="s">
        <v>418</v>
      </c>
      <c r="I117" t="s">
        <v>363</v>
      </c>
    </row>
    <row r="118" spans="2:9" x14ac:dyDescent="0.2">
      <c r="B118" t="s">
        <v>416</v>
      </c>
      <c r="H118">
        <f>E91</f>
        <v>55807.448820000005</v>
      </c>
      <c r="I118">
        <f>H118*0.7</f>
        <v>39065.214174000001</v>
      </c>
    </row>
    <row r="119" spans="2:9" x14ac:dyDescent="0.2">
      <c r="B119" t="s">
        <v>420</v>
      </c>
      <c r="H119">
        <f>D91</f>
        <v>92700</v>
      </c>
      <c r="I119">
        <f>H119</f>
        <v>92700</v>
      </c>
    </row>
    <row r="121" spans="2:9" x14ac:dyDescent="0.2">
      <c r="E121" t="s">
        <v>422</v>
      </c>
      <c r="H121">
        <f>H118/H119</f>
        <v>0.60202210161812308</v>
      </c>
      <c r="I121">
        <f>I118/I119</f>
        <v>0.42141547113268607</v>
      </c>
    </row>
    <row r="122" spans="2:9" x14ac:dyDescent="0.2">
      <c r="E122" t="s">
        <v>421</v>
      </c>
      <c r="H122">
        <f>G113</f>
        <v>-0.17829844472491896</v>
      </c>
      <c r="I122">
        <f>G113</f>
        <v>-0.17829844472491896</v>
      </c>
    </row>
    <row r="123" spans="2:9" x14ac:dyDescent="0.2">
      <c r="F123" t="s">
        <v>361</v>
      </c>
      <c r="H123">
        <f>H121+H122</f>
        <v>0.42372365689320413</v>
      </c>
      <c r="I123">
        <f>SUM(I121:I122)</f>
        <v>0.24311702640776711</v>
      </c>
    </row>
  </sheetData>
  <phoneticPr fontId="0" type="noConversion"/>
  <pageMargins left="0.75" right="0.75" top="1" bottom="1" header="0.5" footer="0.5"/>
  <pageSetup scale="90" orientation="portrait" horizontalDpi="300" verticalDpi="300" r:id="rId1"/>
  <headerFooter alignWithMargins="0"/>
  <rowBreaks count="1" manualBreakCount="1">
    <brk id="63"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119"/>
  <sheetViews>
    <sheetView workbookViewId="0"/>
  </sheetViews>
  <sheetFormatPr defaultRowHeight="15" x14ac:dyDescent="0.2"/>
  <cols>
    <col min="1" max="1" width="12.44140625" customWidth="1"/>
    <col min="5" max="5" width="9.44140625" customWidth="1"/>
  </cols>
  <sheetData>
    <row r="2" spans="1:11" x14ac:dyDescent="0.2">
      <c r="E2" t="s">
        <v>0</v>
      </c>
    </row>
    <row r="3" spans="1:11" x14ac:dyDescent="0.2">
      <c r="E3" t="s">
        <v>1</v>
      </c>
    </row>
    <row r="4" spans="1:11" x14ac:dyDescent="0.2">
      <c r="E4" t="s">
        <v>2</v>
      </c>
    </row>
    <row r="5" spans="1:11" x14ac:dyDescent="0.2">
      <c r="E5" t="s">
        <v>434</v>
      </c>
    </row>
    <row r="7" spans="1:11" x14ac:dyDescent="0.2">
      <c r="B7" t="s">
        <v>81</v>
      </c>
    </row>
    <row r="8" spans="1:11" x14ac:dyDescent="0.2">
      <c r="G8" t="s">
        <v>6</v>
      </c>
      <c r="H8" t="s">
        <v>330</v>
      </c>
      <c r="I8" t="s">
        <v>6</v>
      </c>
    </row>
    <row r="9" spans="1:11" x14ac:dyDescent="0.2">
      <c r="B9" t="s">
        <v>14</v>
      </c>
      <c r="C9" t="s">
        <v>15</v>
      </c>
      <c r="D9" t="s">
        <v>16</v>
      </c>
      <c r="E9" t="s">
        <v>18</v>
      </c>
      <c r="F9" t="s">
        <v>19</v>
      </c>
      <c r="G9" t="s">
        <v>20</v>
      </c>
      <c r="H9" t="s">
        <v>331</v>
      </c>
      <c r="I9" t="s">
        <v>333</v>
      </c>
      <c r="J9" t="s">
        <v>84</v>
      </c>
    </row>
    <row r="10" spans="1:11" x14ac:dyDescent="0.2">
      <c r="A10" t="s">
        <v>9</v>
      </c>
    </row>
    <row r="11" spans="1:11" x14ac:dyDescent="0.2">
      <c r="A11" t="s">
        <v>406</v>
      </c>
      <c r="B11">
        <v>88.71</v>
      </c>
      <c r="C11">
        <v>913.36</v>
      </c>
      <c r="D11">
        <v>89.19</v>
      </c>
      <c r="E11">
        <v>18.8</v>
      </c>
      <c r="F11">
        <v>21.7</v>
      </c>
      <c r="G11">
        <v>14.46</v>
      </c>
      <c r="H11">
        <v>25.31</v>
      </c>
      <c r="I11">
        <v>33.75</v>
      </c>
      <c r="J11">
        <f t="shared" ref="J11:J22" si="0">SUM(B11:I11)</f>
        <v>1205.28</v>
      </c>
    </row>
    <row r="12" spans="1:11" x14ac:dyDescent="0.2">
      <c r="A12" t="s">
        <v>72</v>
      </c>
      <c r="B12">
        <v>82.59</v>
      </c>
      <c r="C12">
        <v>850.37</v>
      </c>
      <c r="D12">
        <v>83.04</v>
      </c>
      <c r="E12">
        <v>17.510000000000002</v>
      </c>
      <c r="F12">
        <v>20.2</v>
      </c>
      <c r="G12">
        <v>13.47</v>
      </c>
      <c r="H12">
        <v>23.57</v>
      </c>
      <c r="I12">
        <v>31.42</v>
      </c>
      <c r="J12">
        <f t="shared" si="0"/>
        <v>1122.17</v>
      </c>
    </row>
    <row r="13" spans="1:11" x14ac:dyDescent="0.2">
      <c r="A13" t="s">
        <v>34</v>
      </c>
      <c r="B13">
        <v>80.349999999999994</v>
      </c>
      <c r="C13">
        <v>827.33</v>
      </c>
      <c r="D13">
        <v>80.790000000000006</v>
      </c>
      <c r="E13">
        <v>17.03</v>
      </c>
      <c r="F13">
        <v>19.649999999999999</v>
      </c>
      <c r="G13">
        <v>13.1</v>
      </c>
      <c r="H13">
        <v>22.93</v>
      </c>
      <c r="I13">
        <v>30.57</v>
      </c>
      <c r="J13">
        <f t="shared" si="0"/>
        <v>1091.75</v>
      </c>
    </row>
    <row r="14" spans="1:11" x14ac:dyDescent="0.2">
      <c r="A14" t="s">
        <v>35</v>
      </c>
      <c r="B14">
        <v>83.45</v>
      </c>
      <c r="C14">
        <v>859.22</v>
      </c>
      <c r="D14">
        <v>83.9</v>
      </c>
      <c r="E14">
        <v>17.690000000000001</v>
      </c>
      <c r="F14">
        <v>20.41</v>
      </c>
      <c r="G14">
        <v>13.61</v>
      </c>
      <c r="H14">
        <v>23.81</v>
      </c>
      <c r="I14">
        <v>31.75</v>
      </c>
      <c r="J14">
        <f t="shared" si="0"/>
        <v>1133.8400000000001</v>
      </c>
      <c r="K14" t="s">
        <v>6</v>
      </c>
    </row>
    <row r="15" spans="1:11" x14ac:dyDescent="0.2">
      <c r="A15" t="s">
        <v>407</v>
      </c>
      <c r="B15">
        <v>100.31</v>
      </c>
      <c r="C15">
        <v>1032.8399999999999</v>
      </c>
      <c r="D15">
        <v>100.86</v>
      </c>
      <c r="E15">
        <v>21.26</v>
      </c>
      <c r="F15">
        <v>24.53</v>
      </c>
      <c r="G15">
        <v>16.36</v>
      </c>
      <c r="H15">
        <v>28.62</v>
      </c>
      <c r="I15">
        <v>38.159999999999997</v>
      </c>
      <c r="J15">
        <f t="shared" si="0"/>
        <v>1362.9399999999996</v>
      </c>
      <c r="K15" t="s">
        <v>6</v>
      </c>
    </row>
    <row r="16" spans="1:11" x14ac:dyDescent="0.2">
      <c r="A16" t="s">
        <v>37</v>
      </c>
      <c r="B16">
        <v>68.7</v>
      </c>
      <c r="C16">
        <v>707.4</v>
      </c>
      <c r="D16">
        <v>69.08</v>
      </c>
      <c r="E16">
        <v>14.56</v>
      </c>
      <c r="F16">
        <v>16.8</v>
      </c>
      <c r="G16">
        <v>11.2</v>
      </c>
      <c r="H16">
        <v>19.600000000000001</v>
      </c>
      <c r="I16">
        <v>26.14</v>
      </c>
      <c r="J16">
        <f t="shared" si="0"/>
        <v>933.48</v>
      </c>
    </row>
    <row r="17" spans="1:11" x14ac:dyDescent="0.2">
      <c r="A17" t="s">
        <v>329</v>
      </c>
      <c r="B17">
        <v>76.81</v>
      </c>
      <c r="C17">
        <v>790.83</v>
      </c>
      <c r="D17">
        <v>77.23</v>
      </c>
      <c r="E17">
        <v>16.28</v>
      </c>
      <c r="F17">
        <v>18.78</v>
      </c>
      <c r="G17">
        <v>12.52</v>
      </c>
      <c r="H17">
        <v>21.92</v>
      </c>
      <c r="I17">
        <v>29.22</v>
      </c>
      <c r="J17">
        <f t="shared" si="0"/>
        <v>1043.5899999999999</v>
      </c>
    </row>
    <row r="18" spans="1:11" x14ac:dyDescent="0.2">
      <c r="A18" t="s">
        <v>95</v>
      </c>
      <c r="B18">
        <v>77.87</v>
      </c>
      <c r="C18">
        <v>801.73</v>
      </c>
      <c r="D18">
        <v>78.290000000000006</v>
      </c>
      <c r="E18">
        <v>16.5</v>
      </c>
      <c r="F18">
        <v>19.04</v>
      </c>
      <c r="G18">
        <v>12.7</v>
      </c>
      <c r="H18">
        <v>22.22</v>
      </c>
      <c r="I18">
        <v>29.62</v>
      </c>
      <c r="J18">
        <f t="shared" si="0"/>
        <v>1057.9699999999998</v>
      </c>
    </row>
    <row r="19" spans="1:11" x14ac:dyDescent="0.2">
      <c r="A19" t="s">
        <v>40</v>
      </c>
      <c r="B19">
        <v>72.42</v>
      </c>
      <c r="C19">
        <v>745.61</v>
      </c>
      <c r="D19">
        <v>72.81</v>
      </c>
      <c r="E19">
        <v>15.35</v>
      </c>
      <c r="F19">
        <v>17.71</v>
      </c>
      <c r="G19">
        <v>11.81</v>
      </c>
      <c r="H19">
        <v>20.66</v>
      </c>
      <c r="I19">
        <v>27.55</v>
      </c>
      <c r="J19">
        <f t="shared" si="0"/>
        <v>983.91999999999985</v>
      </c>
    </row>
    <row r="20" spans="1:11" x14ac:dyDescent="0.2">
      <c r="A20" t="s">
        <v>41</v>
      </c>
      <c r="B20">
        <v>76.61</v>
      </c>
      <c r="C20">
        <v>788.76</v>
      </c>
      <c r="D20">
        <v>77.02</v>
      </c>
      <c r="E20">
        <v>16.239999999999998</v>
      </c>
      <c r="F20">
        <v>18.739999999999998</v>
      </c>
      <c r="G20">
        <v>12.49</v>
      </c>
      <c r="H20">
        <v>21.86</v>
      </c>
      <c r="I20">
        <v>29.14</v>
      </c>
      <c r="J20">
        <f t="shared" si="0"/>
        <v>1040.8600000000001</v>
      </c>
      <c r="K20" t="s">
        <v>6</v>
      </c>
    </row>
    <row r="21" spans="1:11" x14ac:dyDescent="0.2">
      <c r="A21" t="s">
        <v>42</v>
      </c>
      <c r="B21">
        <v>74.23</v>
      </c>
      <c r="C21">
        <v>764.25</v>
      </c>
      <c r="D21">
        <v>74.63</v>
      </c>
      <c r="E21">
        <v>15.73</v>
      </c>
      <c r="F21">
        <v>18.149999999999999</v>
      </c>
      <c r="G21">
        <v>12.1</v>
      </c>
      <c r="H21">
        <v>21.18</v>
      </c>
      <c r="I21">
        <v>28.24</v>
      </c>
      <c r="J21">
        <f t="shared" si="0"/>
        <v>1008.51</v>
      </c>
    </row>
    <row r="22" spans="1:11" x14ac:dyDescent="0.2">
      <c r="A22" t="s">
        <v>43</v>
      </c>
      <c r="B22">
        <v>73.08</v>
      </c>
      <c r="C22">
        <v>752.45</v>
      </c>
      <c r="D22">
        <v>73.48</v>
      </c>
      <c r="E22">
        <v>15.49</v>
      </c>
      <c r="F22">
        <v>17.87</v>
      </c>
      <c r="G22">
        <v>11.92</v>
      </c>
      <c r="H22">
        <v>20.85</v>
      </c>
      <c r="I22">
        <v>27.8</v>
      </c>
      <c r="J22">
        <f t="shared" si="0"/>
        <v>992.94</v>
      </c>
    </row>
    <row r="23" spans="1:11" x14ac:dyDescent="0.2">
      <c r="A23" t="s">
        <v>22</v>
      </c>
      <c r="B23">
        <v>84.15</v>
      </c>
      <c r="C23">
        <f t="shared" ref="C23:J23" si="1">SUM(C11:C22)</f>
        <v>9834.15</v>
      </c>
      <c r="D23">
        <f t="shared" si="1"/>
        <v>960.32</v>
      </c>
      <c r="E23">
        <f t="shared" si="1"/>
        <v>202.44</v>
      </c>
      <c r="F23">
        <f t="shared" si="1"/>
        <v>233.58</v>
      </c>
      <c r="G23">
        <f t="shared" si="1"/>
        <v>155.73999999999998</v>
      </c>
      <c r="H23">
        <f t="shared" si="1"/>
        <v>272.53000000000003</v>
      </c>
      <c r="I23">
        <f t="shared" si="1"/>
        <v>363.36</v>
      </c>
      <c r="J23">
        <f t="shared" si="1"/>
        <v>12977.25</v>
      </c>
    </row>
    <row r="25" spans="1:11" x14ac:dyDescent="0.2">
      <c r="A25" t="s">
        <v>117</v>
      </c>
      <c r="B25">
        <f>B23/$J$23</f>
        <v>6.4844246662428481E-3</v>
      </c>
      <c r="C25">
        <f t="shared" ref="C25:I25" si="2">C23/$J$23</f>
        <v>0.75779922556782053</v>
      </c>
      <c r="D25">
        <f t="shared" si="2"/>
        <v>7.4000269702749047E-2</v>
      </c>
      <c r="E25">
        <f t="shared" si="2"/>
        <v>1.5599607004565683E-2</v>
      </c>
      <c r="F25">
        <f t="shared" si="2"/>
        <v>1.7999190891752875E-2</v>
      </c>
      <c r="G25">
        <f t="shared" si="2"/>
        <v>1.2001001753067867E-2</v>
      </c>
      <c r="H25">
        <f t="shared" si="2"/>
        <v>2.1000597198944308E-2</v>
      </c>
      <c r="I25">
        <f t="shared" si="2"/>
        <v>2.7999768826215108E-2</v>
      </c>
    </row>
    <row r="27" spans="1:11" x14ac:dyDescent="0.2">
      <c r="A27" t="s">
        <v>86</v>
      </c>
      <c r="B27" t="s">
        <v>6</v>
      </c>
    </row>
    <row r="28" spans="1:11" x14ac:dyDescent="0.2">
      <c r="B28" t="s">
        <v>222</v>
      </c>
    </row>
    <row r="29" spans="1:11" x14ac:dyDescent="0.2">
      <c r="B29" t="s">
        <v>223</v>
      </c>
    </row>
    <row r="30" spans="1:11" x14ac:dyDescent="0.2">
      <c r="A30" t="s">
        <v>406</v>
      </c>
      <c r="B30">
        <f>155-25</f>
        <v>130</v>
      </c>
      <c r="C30">
        <v>145.85</v>
      </c>
      <c r="D30">
        <v>154.16</v>
      </c>
      <c r="E30">
        <v>1770.2</v>
      </c>
      <c r="F30">
        <v>115.98</v>
      </c>
      <c r="G30">
        <v>453.42</v>
      </c>
      <c r="H30">
        <v>362.54</v>
      </c>
      <c r="I30">
        <v>101.95</v>
      </c>
    </row>
    <row r="31" spans="1:11" x14ac:dyDescent="0.2">
      <c r="A31" t="s">
        <v>72</v>
      </c>
      <c r="B31">
        <f>102-25</f>
        <v>77</v>
      </c>
      <c r="C31">
        <v>137.53</v>
      </c>
      <c r="D31">
        <v>131.88999999999999</v>
      </c>
      <c r="E31">
        <v>1594.07</v>
      </c>
      <c r="F31">
        <v>57.43</v>
      </c>
      <c r="G31">
        <v>200.09</v>
      </c>
      <c r="H31">
        <v>479.18</v>
      </c>
      <c r="I31">
        <v>101.95</v>
      </c>
    </row>
    <row r="32" spans="1:11" x14ac:dyDescent="0.2">
      <c r="A32" t="s">
        <v>34</v>
      </c>
      <c r="B32">
        <f>40-25</f>
        <v>15</v>
      </c>
      <c r="C32">
        <v>37.92</v>
      </c>
      <c r="D32">
        <v>36.950000000000003</v>
      </c>
      <c r="E32">
        <v>1490</v>
      </c>
      <c r="F32">
        <v>16</v>
      </c>
      <c r="G32">
        <v>137.46</v>
      </c>
      <c r="H32">
        <v>285</v>
      </c>
      <c r="I32">
        <v>101.95</v>
      </c>
    </row>
    <row r="33" spans="1:10" x14ac:dyDescent="0.2">
      <c r="A33" t="s">
        <v>35</v>
      </c>
      <c r="B33">
        <f>45-25</f>
        <v>20</v>
      </c>
      <c r="C33">
        <v>36.42</v>
      </c>
      <c r="D33">
        <v>47.65</v>
      </c>
      <c r="E33">
        <v>1310.0999999999999</v>
      </c>
      <c r="F33">
        <v>14.69</v>
      </c>
      <c r="G33">
        <v>195.18</v>
      </c>
      <c r="H33">
        <v>145</v>
      </c>
      <c r="I33">
        <v>101.95</v>
      </c>
    </row>
    <row r="34" spans="1:10" x14ac:dyDescent="0.2">
      <c r="A34" t="s">
        <v>407</v>
      </c>
      <c r="B34">
        <v>20</v>
      </c>
      <c r="C34">
        <v>51.98</v>
      </c>
      <c r="D34">
        <v>67.38</v>
      </c>
      <c r="E34">
        <v>1200</v>
      </c>
      <c r="F34">
        <v>38.369999999999997</v>
      </c>
      <c r="G34">
        <v>270.04000000000002</v>
      </c>
      <c r="H34">
        <v>210.59</v>
      </c>
      <c r="I34">
        <v>101.95</v>
      </c>
    </row>
    <row r="35" spans="1:10" x14ac:dyDescent="0.2">
      <c r="A35" t="s">
        <v>37</v>
      </c>
      <c r="B35">
        <f>62-25</f>
        <v>37</v>
      </c>
      <c r="C35">
        <v>65.36</v>
      </c>
      <c r="D35">
        <v>84.2</v>
      </c>
      <c r="E35">
        <v>1280.08</v>
      </c>
      <c r="F35">
        <v>30.35</v>
      </c>
      <c r="G35">
        <v>373.91</v>
      </c>
      <c r="H35">
        <v>278.2</v>
      </c>
      <c r="I35">
        <v>101.95</v>
      </c>
    </row>
    <row r="36" spans="1:10" x14ac:dyDescent="0.2">
      <c r="A36" t="s">
        <v>329</v>
      </c>
      <c r="B36">
        <f>65-25</f>
        <v>40</v>
      </c>
      <c r="C36">
        <v>63.31</v>
      </c>
      <c r="D36">
        <v>88.54</v>
      </c>
      <c r="E36">
        <v>1033.45</v>
      </c>
      <c r="F36">
        <v>0</v>
      </c>
      <c r="G36">
        <v>260</v>
      </c>
      <c r="H36">
        <v>317.54000000000002</v>
      </c>
      <c r="I36">
        <v>108.74</v>
      </c>
    </row>
    <row r="37" spans="1:10" x14ac:dyDescent="0.2">
      <c r="A37" t="s">
        <v>95</v>
      </c>
      <c r="B37">
        <f>75-25</f>
        <v>50</v>
      </c>
      <c r="C37">
        <v>64.19</v>
      </c>
      <c r="D37">
        <v>78.81</v>
      </c>
      <c r="E37">
        <v>730.88</v>
      </c>
      <c r="F37">
        <v>28.27</v>
      </c>
      <c r="G37">
        <v>300.22000000000003</v>
      </c>
      <c r="H37">
        <v>306.32</v>
      </c>
      <c r="I37">
        <v>108.74</v>
      </c>
    </row>
    <row r="38" spans="1:10" x14ac:dyDescent="0.2">
      <c r="A38" t="s">
        <v>40</v>
      </c>
      <c r="B38">
        <f>85-25</f>
        <v>60</v>
      </c>
      <c r="C38">
        <v>81.86</v>
      </c>
      <c r="D38">
        <v>102.8</v>
      </c>
      <c r="E38">
        <v>792.94</v>
      </c>
      <c r="F38">
        <v>43.84</v>
      </c>
      <c r="G38">
        <v>340</v>
      </c>
      <c r="H38">
        <v>340</v>
      </c>
      <c r="I38">
        <v>108.74</v>
      </c>
    </row>
    <row r="39" spans="1:10" x14ac:dyDescent="0.2">
      <c r="A39" t="s">
        <v>41</v>
      </c>
      <c r="B39">
        <f>83-25</f>
        <v>58</v>
      </c>
      <c r="C39">
        <v>83.04</v>
      </c>
      <c r="D39">
        <v>106.05</v>
      </c>
      <c r="E39">
        <v>822.73</v>
      </c>
      <c r="F39">
        <v>49.11</v>
      </c>
      <c r="G39">
        <v>306.64</v>
      </c>
      <c r="H39">
        <v>312.45</v>
      </c>
      <c r="I39">
        <v>108.74</v>
      </c>
    </row>
    <row r="40" spans="1:10" x14ac:dyDescent="0.2">
      <c r="A40" t="s">
        <v>42</v>
      </c>
      <c r="B40">
        <f>90-25</f>
        <v>65</v>
      </c>
      <c r="C40">
        <v>90.78</v>
      </c>
      <c r="D40">
        <v>111.41</v>
      </c>
      <c r="E40">
        <v>885.47</v>
      </c>
      <c r="F40">
        <v>73.77</v>
      </c>
      <c r="G40">
        <v>280.04000000000002</v>
      </c>
      <c r="H40">
        <v>302.55</v>
      </c>
      <c r="I40">
        <v>108.74</v>
      </c>
    </row>
    <row r="41" spans="1:10" x14ac:dyDescent="0.2">
      <c r="A41" t="s">
        <v>43</v>
      </c>
      <c r="B41">
        <f>90-25</f>
        <v>65</v>
      </c>
      <c r="C41">
        <v>102.82</v>
      </c>
      <c r="D41">
        <v>130.29</v>
      </c>
      <c r="E41">
        <v>1007.68</v>
      </c>
      <c r="F41">
        <v>83.96</v>
      </c>
      <c r="G41">
        <v>360.03</v>
      </c>
      <c r="H41">
        <v>370</v>
      </c>
      <c r="I41">
        <v>108.74</v>
      </c>
    </row>
    <row r="43" spans="1:10" x14ac:dyDescent="0.2">
      <c r="A43" t="s">
        <v>24</v>
      </c>
      <c r="C43" t="s">
        <v>6</v>
      </c>
      <c r="G43" t="s">
        <v>6</v>
      </c>
      <c r="H43" t="s">
        <v>330</v>
      </c>
      <c r="I43" t="s">
        <v>6</v>
      </c>
    </row>
    <row r="44" spans="1:10" x14ac:dyDescent="0.2">
      <c r="B44" t="s">
        <v>14</v>
      </c>
      <c r="C44" t="s">
        <v>15</v>
      </c>
      <c r="D44" t="s">
        <v>16</v>
      </c>
      <c r="E44" t="s">
        <v>18</v>
      </c>
      <c r="F44" t="s">
        <v>19</v>
      </c>
      <c r="G44" t="s">
        <v>20</v>
      </c>
      <c r="H44" t="s">
        <v>331</v>
      </c>
      <c r="I44" t="s">
        <v>333</v>
      </c>
      <c r="J44" t="s">
        <v>84</v>
      </c>
    </row>
    <row r="46" spans="1:10" x14ac:dyDescent="0.2">
      <c r="A46" t="s">
        <v>406</v>
      </c>
      <c r="B46">
        <f t="shared" ref="B46:H57" si="3">+B11*B30</f>
        <v>11532.3</v>
      </c>
      <c r="C46">
        <f t="shared" si="3"/>
        <v>133213.55599999998</v>
      </c>
      <c r="D46">
        <f t="shared" si="3"/>
        <v>13749.5304</v>
      </c>
      <c r="E46">
        <f t="shared" si="3"/>
        <v>33279.760000000002</v>
      </c>
      <c r="F46">
        <f t="shared" si="3"/>
        <v>2516.7660000000001</v>
      </c>
      <c r="G46">
        <f t="shared" si="3"/>
        <v>6556.4532000000008</v>
      </c>
      <c r="H46">
        <f t="shared" si="3"/>
        <v>9175.8873999999996</v>
      </c>
      <c r="I46">
        <f t="shared" ref="I46:I57" si="4">+I11*-I30</f>
        <v>-3440.8125</v>
      </c>
      <c r="J46">
        <f>SUM(B46:I46)</f>
        <v>206583.44049999997</v>
      </c>
    </row>
    <row r="47" spans="1:10" x14ac:dyDescent="0.2">
      <c r="A47" t="s">
        <v>72</v>
      </c>
      <c r="B47">
        <f t="shared" si="3"/>
        <v>6359.43</v>
      </c>
      <c r="C47">
        <f t="shared" si="3"/>
        <v>116951.3861</v>
      </c>
      <c r="D47">
        <f t="shared" si="3"/>
        <v>10952.1456</v>
      </c>
      <c r="E47">
        <f t="shared" si="3"/>
        <v>27912.165700000001</v>
      </c>
      <c r="F47">
        <f t="shared" si="3"/>
        <v>1160.086</v>
      </c>
      <c r="G47">
        <f t="shared" si="3"/>
        <v>2695.2123000000001</v>
      </c>
      <c r="H47">
        <f t="shared" si="3"/>
        <v>11294.2726</v>
      </c>
      <c r="I47">
        <f t="shared" si="4"/>
        <v>-3203.2690000000002</v>
      </c>
      <c r="J47">
        <f t="shared" ref="J47:J57" si="5">SUM(B47:I47)</f>
        <v>174121.42930000002</v>
      </c>
    </row>
    <row r="48" spans="1:10" x14ac:dyDescent="0.2">
      <c r="A48" t="s">
        <v>34</v>
      </c>
      <c r="B48">
        <f t="shared" si="3"/>
        <v>1205.25</v>
      </c>
      <c r="C48">
        <f t="shared" si="3"/>
        <v>31372.353600000002</v>
      </c>
      <c r="D48">
        <f t="shared" si="3"/>
        <v>2985.1905000000006</v>
      </c>
      <c r="E48">
        <f t="shared" si="3"/>
        <v>25374.7</v>
      </c>
      <c r="F48">
        <f t="shared" si="3"/>
        <v>314.39999999999998</v>
      </c>
      <c r="G48">
        <f t="shared" si="3"/>
        <v>1800.7260000000001</v>
      </c>
      <c r="H48">
        <f t="shared" si="3"/>
        <v>6535.05</v>
      </c>
      <c r="I48">
        <f t="shared" si="4"/>
        <v>-3116.6115</v>
      </c>
      <c r="J48">
        <f t="shared" si="5"/>
        <v>66471.058600000004</v>
      </c>
    </row>
    <row r="49" spans="1:10" x14ac:dyDescent="0.2">
      <c r="A49" t="s">
        <v>35</v>
      </c>
      <c r="B49">
        <f t="shared" si="3"/>
        <v>1669</v>
      </c>
      <c r="C49">
        <f t="shared" si="3"/>
        <v>31292.792400000002</v>
      </c>
      <c r="D49">
        <f t="shared" si="3"/>
        <v>3997.835</v>
      </c>
      <c r="E49">
        <f t="shared" si="3"/>
        <v>23175.669000000002</v>
      </c>
      <c r="F49">
        <f t="shared" si="3"/>
        <v>299.8229</v>
      </c>
      <c r="G49">
        <f t="shared" si="3"/>
        <v>2656.3998000000001</v>
      </c>
      <c r="H49">
        <f t="shared" si="3"/>
        <v>3452.45</v>
      </c>
      <c r="I49">
        <f t="shared" si="4"/>
        <v>-3236.9124999999999</v>
      </c>
      <c r="J49">
        <f t="shared" si="5"/>
        <v>63307.056600000004</v>
      </c>
    </row>
    <row r="50" spans="1:10" x14ac:dyDescent="0.2">
      <c r="A50" t="s">
        <v>407</v>
      </c>
      <c r="B50">
        <f t="shared" si="3"/>
        <v>2006.2</v>
      </c>
      <c r="C50">
        <f t="shared" si="3"/>
        <v>53687.023199999996</v>
      </c>
      <c r="D50">
        <f t="shared" si="3"/>
        <v>6795.9467999999997</v>
      </c>
      <c r="E50">
        <f t="shared" si="3"/>
        <v>25512.000000000004</v>
      </c>
      <c r="F50">
        <f t="shared" si="3"/>
        <v>941.21609999999998</v>
      </c>
      <c r="G50">
        <f t="shared" si="3"/>
        <v>4417.8544000000002</v>
      </c>
      <c r="H50">
        <f t="shared" si="3"/>
        <v>6027.0858000000007</v>
      </c>
      <c r="I50">
        <f t="shared" si="4"/>
        <v>-3890.4119999999998</v>
      </c>
      <c r="J50">
        <f t="shared" si="5"/>
        <v>95496.914300000004</v>
      </c>
    </row>
    <row r="51" spans="1:10" x14ac:dyDescent="0.2">
      <c r="A51" t="s">
        <v>37</v>
      </c>
      <c r="B51">
        <f t="shared" si="3"/>
        <v>2541.9</v>
      </c>
      <c r="C51">
        <f t="shared" si="3"/>
        <v>46235.663999999997</v>
      </c>
      <c r="D51">
        <f t="shared" si="3"/>
        <v>5816.5360000000001</v>
      </c>
      <c r="E51">
        <f t="shared" si="3"/>
        <v>18637.964799999998</v>
      </c>
      <c r="F51">
        <f t="shared" si="3"/>
        <v>509.88000000000005</v>
      </c>
      <c r="G51">
        <f t="shared" si="3"/>
        <v>4187.7920000000004</v>
      </c>
      <c r="H51">
        <f t="shared" si="3"/>
        <v>5452.72</v>
      </c>
      <c r="I51">
        <f t="shared" si="4"/>
        <v>-2664.973</v>
      </c>
      <c r="J51">
        <f t="shared" si="5"/>
        <v>80717.483800000002</v>
      </c>
    </row>
    <row r="52" spans="1:10" x14ac:dyDescent="0.2">
      <c r="A52" t="s">
        <v>329</v>
      </c>
      <c r="B52">
        <f t="shared" si="3"/>
        <v>3072.4</v>
      </c>
      <c r="C52">
        <f t="shared" si="3"/>
        <v>50067.447300000007</v>
      </c>
      <c r="D52">
        <f t="shared" si="3"/>
        <v>6837.9442000000008</v>
      </c>
      <c r="E52">
        <f t="shared" si="3"/>
        <v>16824.566000000003</v>
      </c>
      <c r="F52">
        <f t="shared" si="3"/>
        <v>0</v>
      </c>
      <c r="G52">
        <f t="shared" si="3"/>
        <v>3255.2</v>
      </c>
      <c r="H52">
        <f t="shared" si="3"/>
        <v>6960.4768000000013</v>
      </c>
      <c r="I52">
        <f t="shared" si="4"/>
        <v>-3177.3827999999999</v>
      </c>
      <c r="J52">
        <f t="shared" si="5"/>
        <v>83840.651500000007</v>
      </c>
    </row>
    <row r="53" spans="1:10" x14ac:dyDescent="0.2">
      <c r="A53" t="s">
        <v>95</v>
      </c>
      <c r="B53">
        <f t="shared" si="3"/>
        <v>3893.5</v>
      </c>
      <c r="C53">
        <f t="shared" si="3"/>
        <v>51463.048699999999</v>
      </c>
      <c r="D53">
        <f t="shared" si="3"/>
        <v>6170.0349000000006</v>
      </c>
      <c r="E53">
        <f t="shared" si="3"/>
        <v>12059.52</v>
      </c>
      <c r="F53">
        <f t="shared" si="3"/>
        <v>538.26080000000002</v>
      </c>
      <c r="G53">
        <f t="shared" si="3"/>
        <v>3812.7940000000003</v>
      </c>
      <c r="H53">
        <f t="shared" si="3"/>
        <v>6806.4303999999993</v>
      </c>
      <c r="I53">
        <f t="shared" si="4"/>
        <v>-3220.8788</v>
      </c>
      <c r="J53">
        <f t="shared" si="5"/>
        <v>81522.709999999992</v>
      </c>
    </row>
    <row r="54" spans="1:10" x14ac:dyDescent="0.2">
      <c r="A54" t="s">
        <v>40</v>
      </c>
      <c r="B54">
        <f t="shared" si="3"/>
        <v>4345.2</v>
      </c>
      <c r="C54">
        <f t="shared" si="3"/>
        <v>61035.634599999998</v>
      </c>
      <c r="D54">
        <f t="shared" si="3"/>
        <v>7484.8680000000004</v>
      </c>
      <c r="E54">
        <f t="shared" si="3"/>
        <v>12171.629000000001</v>
      </c>
      <c r="F54">
        <f t="shared" si="3"/>
        <v>776.40640000000008</v>
      </c>
      <c r="G54">
        <f t="shared" si="3"/>
        <v>4015.4</v>
      </c>
      <c r="H54">
        <f t="shared" si="3"/>
        <v>7024.4</v>
      </c>
      <c r="I54">
        <f t="shared" si="4"/>
        <v>-2995.7869999999998</v>
      </c>
      <c r="J54">
        <f t="shared" si="5"/>
        <v>93857.750999999989</v>
      </c>
    </row>
    <row r="55" spans="1:10" x14ac:dyDescent="0.2">
      <c r="A55" t="s">
        <v>41</v>
      </c>
      <c r="B55">
        <f t="shared" si="3"/>
        <v>4443.38</v>
      </c>
      <c r="C55">
        <f t="shared" si="3"/>
        <v>65498.630400000002</v>
      </c>
      <c r="D55">
        <f t="shared" si="3"/>
        <v>8167.9709999999995</v>
      </c>
      <c r="E55">
        <f t="shared" si="3"/>
        <v>13361.135199999999</v>
      </c>
      <c r="F55">
        <f t="shared" si="3"/>
        <v>920.32139999999993</v>
      </c>
      <c r="G55">
        <f t="shared" si="3"/>
        <v>3829.9335999999998</v>
      </c>
      <c r="H55">
        <f t="shared" si="3"/>
        <v>6830.1569999999992</v>
      </c>
      <c r="I55">
        <f t="shared" si="4"/>
        <v>-3168.6835999999998</v>
      </c>
      <c r="J55">
        <f t="shared" si="5"/>
        <v>99882.845000000016</v>
      </c>
    </row>
    <row r="56" spans="1:10" x14ac:dyDescent="0.2">
      <c r="A56" t="s">
        <v>42</v>
      </c>
      <c r="B56">
        <f t="shared" si="3"/>
        <v>4824.95</v>
      </c>
      <c r="C56">
        <f t="shared" si="3"/>
        <v>69378.615000000005</v>
      </c>
      <c r="D56">
        <f t="shared" si="3"/>
        <v>8314.5282999999999</v>
      </c>
      <c r="E56">
        <f t="shared" si="3"/>
        <v>13928.4431</v>
      </c>
      <c r="F56">
        <f t="shared" si="3"/>
        <v>1338.9254999999998</v>
      </c>
      <c r="G56">
        <f t="shared" si="3"/>
        <v>3388.4839999999999</v>
      </c>
      <c r="H56">
        <f t="shared" si="3"/>
        <v>6408.009</v>
      </c>
      <c r="I56">
        <f t="shared" si="4"/>
        <v>-3070.8175999999999</v>
      </c>
      <c r="J56">
        <f t="shared" si="5"/>
        <v>104511.13730000002</v>
      </c>
    </row>
    <row r="57" spans="1:10" x14ac:dyDescent="0.2">
      <c r="A57" t="s">
        <v>43</v>
      </c>
      <c r="B57">
        <f t="shared" si="3"/>
        <v>4750.2</v>
      </c>
      <c r="C57">
        <f t="shared" si="3"/>
        <v>77366.909</v>
      </c>
      <c r="D57">
        <f t="shared" si="3"/>
        <v>9573.7091999999993</v>
      </c>
      <c r="E57">
        <f t="shared" si="3"/>
        <v>15608.9632</v>
      </c>
      <c r="F57">
        <f t="shared" si="3"/>
        <v>1500.3652</v>
      </c>
      <c r="G57">
        <f t="shared" si="3"/>
        <v>4291.5576000000001</v>
      </c>
      <c r="H57">
        <f t="shared" si="3"/>
        <v>7714.5000000000009</v>
      </c>
      <c r="I57">
        <f t="shared" si="4"/>
        <v>-3022.9719999999998</v>
      </c>
      <c r="J57">
        <f t="shared" si="5"/>
        <v>117783.2322</v>
      </c>
    </row>
    <row r="58" spans="1:10" x14ac:dyDescent="0.2">
      <c r="A58" t="s">
        <v>88</v>
      </c>
      <c r="B58">
        <f>SUM(B46:B57)</f>
        <v>50643.709999999992</v>
      </c>
      <c r="C58">
        <f t="shared" ref="C58:H58" si="6">SUM(C46:C57)</f>
        <v>787563.06030000001</v>
      </c>
      <c r="D58">
        <f t="shared" si="6"/>
        <v>90846.2399</v>
      </c>
      <c r="E58">
        <f t="shared" si="6"/>
        <v>237846.51599999995</v>
      </c>
      <c r="F58">
        <f t="shared" si="6"/>
        <v>10816.450299999999</v>
      </c>
      <c r="G58">
        <f t="shared" si="6"/>
        <v>44907.806899999996</v>
      </c>
      <c r="H58">
        <f t="shared" si="6"/>
        <v>83681.439000000013</v>
      </c>
      <c r="I58">
        <f>SUM(I46:I57)</f>
        <v>-38209.512300000002</v>
      </c>
      <c r="J58">
        <f>SUM(J46:J57)</f>
        <v>1268095.7101</v>
      </c>
    </row>
    <row r="60" spans="1:10" x14ac:dyDescent="0.2">
      <c r="A60" t="s">
        <v>89</v>
      </c>
    </row>
    <row r="61" spans="1:10" x14ac:dyDescent="0.2">
      <c r="J61" t="s">
        <v>6</v>
      </c>
    </row>
    <row r="62" spans="1:10" x14ac:dyDescent="0.2">
      <c r="J62" t="s">
        <v>6</v>
      </c>
    </row>
    <row r="63" spans="1:10" x14ac:dyDescent="0.2">
      <c r="F63" t="s">
        <v>0</v>
      </c>
    </row>
    <row r="64" spans="1:10" x14ac:dyDescent="0.2">
      <c r="F64" t="s">
        <v>1</v>
      </c>
    </row>
    <row r="65" spans="1:11" x14ac:dyDescent="0.2">
      <c r="F65" t="s">
        <v>378</v>
      </c>
    </row>
    <row r="66" spans="1:11" x14ac:dyDescent="0.2">
      <c r="F66" t="str">
        <f>E5</f>
        <v>After Tenth  Year</v>
      </c>
    </row>
    <row r="68" spans="1:11" x14ac:dyDescent="0.2">
      <c r="B68" t="s">
        <v>81</v>
      </c>
    </row>
    <row r="69" spans="1:11" x14ac:dyDescent="0.2">
      <c r="G69" t="s">
        <v>6</v>
      </c>
      <c r="H69" t="s">
        <v>330</v>
      </c>
      <c r="I69" t="s">
        <v>6</v>
      </c>
    </row>
    <row r="70" spans="1:11" x14ac:dyDescent="0.2">
      <c r="A70" t="s">
        <v>9</v>
      </c>
      <c r="B70" t="s">
        <v>14</v>
      </c>
      <c r="C70" t="s">
        <v>15</v>
      </c>
      <c r="D70" t="s">
        <v>16</v>
      </c>
      <c r="E70" t="s">
        <v>18</v>
      </c>
      <c r="F70" t="s">
        <v>19</v>
      </c>
      <c r="G70" t="s">
        <v>20</v>
      </c>
      <c r="H70" t="s">
        <v>331</v>
      </c>
      <c r="I70" t="s">
        <v>17</v>
      </c>
      <c r="J70" t="s">
        <v>333</v>
      </c>
      <c r="K70" t="s">
        <v>84</v>
      </c>
    </row>
    <row r="72" spans="1:11" x14ac:dyDescent="0.2">
      <c r="A72" t="s">
        <v>406</v>
      </c>
      <c r="B72">
        <v>3.18</v>
      </c>
      <c r="C72">
        <v>48.9</v>
      </c>
      <c r="D72">
        <v>11.47</v>
      </c>
      <c r="E72">
        <f>1.28-F72</f>
        <v>0.51200000000000001</v>
      </c>
      <c r="F72">
        <f>1.28*0.6</f>
        <v>0.76800000000000002</v>
      </c>
      <c r="G72">
        <v>0.33</v>
      </c>
      <c r="H72">
        <v>0.33</v>
      </c>
      <c r="I72">
        <v>25.48</v>
      </c>
      <c r="J72">
        <v>9.2200000000000006</v>
      </c>
      <c r="K72">
        <f>SUM(B72:J72)</f>
        <v>100.19</v>
      </c>
    </row>
    <row r="73" spans="1:11" x14ac:dyDescent="0.2">
      <c r="A73" t="s">
        <v>72</v>
      </c>
      <c r="B73">
        <v>3.33</v>
      </c>
      <c r="C73">
        <v>51.12</v>
      </c>
      <c r="D73">
        <v>11.99</v>
      </c>
      <c r="E73">
        <f>1.33-F73</f>
        <v>0.53200000000000003</v>
      </c>
      <c r="F73">
        <f>1.33*0.6</f>
        <v>0.79800000000000004</v>
      </c>
      <c r="G73">
        <v>0.34</v>
      </c>
      <c r="H73">
        <f>0.69*0.5</f>
        <v>0.34499999999999997</v>
      </c>
      <c r="I73">
        <v>26.62</v>
      </c>
      <c r="J73">
        <v>9.2100000000000009</v>
      </c>
      <c r="K73">
        <f t="shared" ref="K73:K83" si="7">SUM(B73:J73)</f>
        <v>104.285</v>
      </c>
    </row>
    <row r="74" spans="1:11" x14ac:dyDescent="0.2">
      <c r="A74" t="s">
        <v>34</v>
      </c>
      <c r="B74">
        <v>2.89</v>
      </c>
      <c r="C74">
        <v>44.45</v>
      </c>
      <c r="D74">
        <v>10.42</v>
      </c>
      <c r="E74">
        <f>1.17-F74</f>
        <v>0.46799999999999997</v>
      </c>
      <c r="F74">
        <f>1.17*0.6</f>
        <v>0.70199999999999996</v>
      </c>
      <c r="G74">
        <f>0.3</f>
        <v>0.3</v>
      </c>
      <c r="H74">
        <v>0.3</v>
      </c>
      <c r="I74">
        <v>23.15</v>
      </c>
      <c r="J74">
        <v>8.01</v>
      </c>
      <c r="K74">
        <f t="shared" si="7"/>
        <v>90.690000000000012</v>
      </c>
    </row>
    <row r="75" spans="1:11" x14ac:dyDescent="0.2">
      <c r="A75" t="s">
        <v>35</v>
      </c>
      <c r="B75">
        <v>3.33</v>
      </c>
      <c r="C75">
        <v>51.12</v>
      </c>
      <c r="D75">
        <v>11.99</v>
      </c>
      <c r="E75">
        <f>1.33-F75</f>
        <v>0.53200000000000003</v>
      </c>
      <c r="F75">
        <f>1.33*0.6</f>
        <v>0.79800000000000004</v>
      </c>
      <c r="G75">
        <f>0.34</f>
        <v>0.34</v>
      </c>
      <c r="H75">
        <v>0.35</v>
      </c>
      <c r="I75">
        <v>26.62</v>
      </c>
      <c r="J75">
        <v>9.2100000000000009</v>
      </c>
      <c r="K75">
        <f t="shared" si="7"/>
        <v>104.28999999999999</v>
      </c>
    </row>
    <row r="76" spans="1:11" x14ac:dyDescent="0.2">
      <c r="A76" t="s">
        <v>407</v>
      </c>
      <c r="B76">
        <v>3.19</v>
      </c>
      <c r="C76">
        <v>48.9</v>
      </c>
      <c r="D76">
        <v>11.47</v>
      </c>
      <c r="E76">
        <f>1.28-F76</f>
        <v>0.51200000000000001</v>
      </c>
      <c r="F76">
        <f>1.28*0.6</f>
        <v>0.76800000000000002</v>
      </c>
      <c r="G76">
        <v>0.33</v>
      </c>
      <c r="H76">
        <v>0.33</v>
      </c>
      <c r="I76">
        <v>25.47</v>
      </c>
      <c r="J76">
        <v>8.81</v>
      </c>
      <c r="K76">
        <f t="shared" si="7"/>
        <v>99.779999999999987</v>
      </c>
    </row>
    <row r="77" spans="1:11" x14ac:dyDescent="0.2">
      <c r="A77" t="s">
        <v>37</v>
      </c>
      <c r="B77">
        <v>2.9</v>
      </c>
      <c r="C77">
        <v>44.45</v>
      </c>
      <c r="D77">
        <v>10.41</v>
      </c>
      <c r="E77">
        <f>1.16*0.4</f>
        <v>0.46399999999999997</v>
      </c>
      <c r="F77">
        <f>1.16-E77</f>
        <v>0.69599999999999995</v>
      </c>
      <c r="G77">
        <v>0.3</v>
      </c>
      <c r="H77">
        <v>0.3</v>
      </c>
      <c r="I77">
        <v>23.15</v>
      </c>
      <c r="J77">
        <v>8.01</v>
      </c>
      <c r="K77">
        <f t="shared" si="7"/>
        <v>90.679999999999993</v>
      </c>
    </row>
    <row r="78" spans="1:11" x14ac:dyDescent="0.2">
      <c r="A78" t="s">
        <v>329</v>
      </c>
      <c r="B78">
        <v>3.18</v>
      </c>
      <c r="C78">
        <v>48.9</v>
      </c>
      <c r="D78">
        <v>11.47</v>
      </c>
      <c r="E78">
        <f>1.28*0.4</f>
        <v>0.51200000000000001</v>
      </c>
      <c r="F78">
        <f>1.28-E78</f>
        <v>0.76800000000000002</v>
      </c>
      <c r="G78">
        <f>0.66*0.5</f>
        <v>0.33</v>
      </c>
      <c r="H78">
        <f>0.66*0.5</f>
        <v>0.33</v>
      </c>
      <c r="I78">
        <v>25.47</v>
      </c>
      <c r="J78">
        <v>8.81</v>
      </c>
      <c r="K78">
        <f t="shared" si="7"/>
        <v>99.77</v>
      </c>
    </row>
    <row r="79" spans="1:11" x14ac:dyDescent="0.2">
      <c r="A79" t="s">
        <v>95</v>
      </c>
      <c r="B79">
        <v>3.18</v>
      </c>
      <c r="C79">
        <v>48.9</v>
      </c>
      <c r="D79">
        <v>6.46</v>
      </c>
      <c r="E79">
        <f>1.28*0.4</f>
        <v>0.51200000000000001</v>
      </c>
      <c r="F79">
        <f>1.28-E79</f>
        <v>0.76800000000000002</v>
      </c>
      <c r="G79">
        <v>0.33</v>
      </c>
      <c r="H79">
        <v>0.33</v>
      </c>
      <c r="I79">
        <v>0</v>
      </c>
      <c r="J79">
        <v>8.81</v>
      </c>
      <c r="K79">
        <f t="shared" si="7"/>
        <v>69.289999999999992</v>
      </c>
    </row>
    <row r="80" spans="1:11" x14ac:dyDescent="0.2">
      <c r="A80" t="s">
        <v>40</v>
      </c>
      <c r="B80">
        <v>3.04</v>
      </c>
      <c r="C80">
        <v>46.68</v>
      </c>
      <c r="D80">
        <v>10.94</v>
      </c>
      <c r="E80">
        <f>1.22-F80</f>
        <v>0.48799999999999999</v>
      </c>
      <c r="F80">
        <f>1.22*0.6</f>
        <v>0.73199999999999998</v>
      </c>
      <c r="G80">
        <v>0.31</v>
      </c>
      <c r="H80">
        <v>0.32</v>
      </c>
      <c r="I80">
        <v>0</v>
      </c>
      <c r="J80">
        <v>8.41</v>
      </c>
      <c r="K80">
        <f t="shared" si="7"/>
        <v>70.92</v>
      </c>
    </row>
    <row r="81" spans="1:11" x14ac:dyDescent="0.2">
      <c r="A81" t="s">
        <v>41</v>
      </c>
      <c r="B81">
        <v>3.81</v>
      </c>
      <c r="C81">
        <v>48.6</v>
      </c>
      <c r="D81">
        <v>10.75</v>
      </c>
      <c r="E81">
        <f>1.29-F81</f>
        <v>0.51600000000000001</v>
      </c>
      <c r="F81">
        <f>1.29*0.6</f>
        <v>0.77400000000000002</v>
      </c>
      <c r="G81">
        <v>0.34</v>
      </c>
      <c r="H81">
        <v>0.34</v>
      </c>
      <c r="I81">
        <v>0</v>
      </c>
      <c r="J81">
        <v>8.81</v>
      </c>
      <c r="K81">
        <f t="shared" si="7"/>
        <v>73.940000000000012</v>
      </c>
    </row>
    <row r="82" spans="1:11" x14ac:dyDescent="0.2">
      <c r="A82" t="s">
        <v>42</v>
      </c>
      <c r="B82">
        <v>3.81</v>
      </c>
      <c r="C82">
        <v>48.6</v>
      </c>
      <c r="D82">
        <v>10.75</v>
      </c>
      <c r="E82">
        <f>1.29-F82</f>
        <v>0.51600000000000001</v>
      </c>
      <c r="F82">
        <f>1.29*0.6</f>
        <v>0.77400000000000002</v>
      </c>
      <c r="G82">
        <f>0.68-H82</f>
        <v>0.34</v>
      </c>
      <c r="H82">
        <f>0.68*0.5</f>
        <v>0.34</v>
      </c>
      <c r="I82">
        <v>0</v>
      </c>
      <c r="J82">
        <v>9.23</v>
      </c>
      <c r="K82">
        <f t="shared" si="7"/>
        <v>74.360000000000014</v>
      </c>
    </row>
    <row r="83" spans="1:11" x14ac:dyDescent="0.2">
      <c r="A83" t="s">
        <v>43</v>
      </c>
      <c r="B83">
        <v>3</v>
      </c>
      <c r="C83">
        <v>46.12</v>
      </c>
      <c r="D83">
        <v>10.56</v>
      </c>
      <c r="E83">
        <f>1.17-F83</f>
        <v>0.46799999999999997</v>
      </c>
      <c r="F83">
        <f>1.17*0.6</f>
        <v>0.70199999999999996</v>
      </c>
      <c r="G83">
        <f>0.3</f>
        <v>0.3</v>
      </c>
      <c r="H83">
        <v>0.31</v>
      </c>
      <c r="I83">
        <v>0</v>
      </c>
      <c r="J83">
        <v>8.4</v>
      </c>
      <c r="K83">
        <f t="shared" si="7"/>
        <v>69.86</v>
      </c>
    </row>
    <row r="84" spans="1:11" x14ac:dyDescent="0.2">
      <c r="A84" t="s">
        <v>22</v>
      </c>
      <c r="B84">
        <f>SUM(B72:B83)</f>
        <v>38.840000000000003</v>
      </c>
      <c r="C84">
        <f t="shared" ref="C84:K84" si="8">SUM(C72:C83)</f>
        <v>576.74</v>
      </c>
      <c r="D84">
        <f t="shared" si="8"/>
        <v>128.67999999999998</v>
      </c>
      <c r="E84">
        <f t="shared" si="8"/>
        <v>6.032</v>
      </c>
      <c r="F84">
        <f t="shared" si="8"/>
        <v>9.048</v>
      </c>
      <c r="G84">
        <f t="shared" si="8"/>
        <v>3.8899999999999997</v>
      </c>
      <c r="H84">
        <f t="shared" si="8"/>
        <v>3.9249999999999998</v>
      </c>
      <c r="I84">
        <f t="shared" si="8"/>
        <v>175.96</v>
      </c>
      <c r="J84">
        <f t="shared" si="8"/>
        <v>104.94000000000001</v>
      </c>
      <c r="K84">
        <f t="shared" si="8"/>
        <v>1048.0549999999998</v>
      </c>
    </row>
    <row r="86" spans="1:11" x14ac:dyDescent="0.2">
      <c r="A86" t="s">
        <v>117</v>
      </c>
      <c r="B86">
        <f>B84/$K$84</f>
        <v>3.7059123805525479E-2</v>
      </c>
      <c r="C86">
        <f t="shared" ref="C86:J86" si="9">C84/$K$84</f>
        <v>0.55029554746649756</v>
      </c>
      <c r="D86">
        <f t="shared" si="9"/>
        <v>0.12277981594477388</v>
      </c>
      <c r="E86">
        <f t="shared" si="9"/>
        <v>5.7554231409611143E-3</v>
      </c>
      <c r="F86">
        <f t="shared" si="9"/>
        <v>8.6331347114416718E-3</v>
      </c>
      <c r="G86">
        <f t="shared" si="9"/>
        <v>3.7116372709447504E-3</v>
      </c>
      <c r="H86">
        <f t="shared" si="9"/>
        <v>3.7450324648992664E-3</v>
      </c>
      <c r="I86">
        <f t="shared" si="9"/>
        <v>0.16789195223533118</v>
      </c>
      <c r="J86">
        <f t="shared" si="9"/>
        <v>0.10012833295962524</v>
      </c>
      <c r="K86">
        <f>SUM(B86:J86)</f>
        <v>1</v>
      </c>
    </row>
    <row r="88" spans="1:11" x14ac:dyDescent="0.2">
      <c r="A88" t="s">
        <v>86</v>
      </c>
    </row>
    <row r="89" spans="1:11" x14ac:dyDescent="0.2">
      <c r="B89" t="s">
        <v>222</v>
      </c>
    </row>
    <row r="90" spans="1:11" x14ac:dyDescent="0.2">
      <c r="B90" t="s">
        <v>223</v>
      </c>
    </row>
    <row r="91" spans="1:11" x14ac:dyDescent="0.2">
      <c r="A91" t="s">
        <v>406</v>
      </c>
      <c r="B91">
        <f>155-25</f>
        <v>130</v>
      </c>
      <c r="C91">
        <v>145.85</v>
      </c>
      <c r="D91">
        <v>154.16</v>
      </c>
      <c r="E91">
        <v>1770.2</v>
      </c>
      <c r="F91">
        <v>115.98</v>
      </c>
      <c r="G91">
        <v>453.42</v>
      </c>
      <c r="H91">
        <v>362.54</v>
      </c>
      <c r="I91">
        <v>-21</v>
      </c>
      <c r="J91">
        <v>101.95</v>
      </c>
    </row>
    <row r="92" spans="1:11" x14ac:dyDescent="0.2">
      <c r="A92" t="s">
        <v>72</v>
      </c>
      <c r="B92">
        <f>102-25</f>
        <v>77</v>
      </c>
      <c r="C92">
        <v>137.53</v>
      </c>
      <c r="D92">
        <v>131.88999999999999</v>
      </c>
      <c r="E92">
        <v>1594.07</v>
      </c>
      <c r="F92">
        <v>57.43</v>
      </c>
      <c r="G92">
        <v>200.09</v>
      </c>
      <c r="H92">
        <v>479.18</v>
      </c>
      <c r="I92">
        <v>-21</v>
      </c>
      <c r="J92">
        <v>101.95</v>
      </c>
    </row>
    <row r="93" spans="1:11" x14ac:dyDescent="0.2">
      <c r="A93" t="s">
        <v>34</v>
      </c>
      <c r="B93">
        <f>40-25</f>
        <v>15</v>
      </c>
      <c r="C93">
        <v>37.92</v>
      </c>
      <c r="D93">
        <v>36.950000000000003</v>
      </c>
      <c r="E93">
        <v>1490</v>
      </c>
      <c r="F93">
        <v>16</v>
      </c>
      <c r="G93">
        <v>137.46</v>
      </c>
      <c r="H93">
        <v>285</v>
      </c>
      <c r="I93">
        <v>-21</v>
      </c>
      <c r="J93">
        <v>101.95</v>
      </c>
    </row>
    <row r="94" spans="1:11" x14ac:dyDescent="0.2">
      <c r="A94" t="s">
        <v>35</v>
      </c>
      <c r="B94">
        <f>45-25</f>
        <v>20</v>
      </c>
      <c r="C94">
        <v>36.42</v>
      </c>
      <c r="D94">
        <v>47.65</v>
      </c>
      <c r="E94">
        <v>1310.0999999999999</v>
      </c>
      <c r="F94">
        <v>14.69</v>
      </c>
      <c r="G94">
        <v>195.18</v>
      </c>
      <c r="H94">
        <v>145</v>
      </c>
      <c r="I94">
        <v>-21</v>
      </c>
      <c r="J94">
        <v>101.95</v>
      </c>
    </row>
    <row r="95" spans="1:11" x14ac:dyDescent="0.2">
      <c r="A95" t="s">
        <v>407</v>
      </c>
      <c r="B95">
        <v>20</v>
      </c>
      <c r="C95">
        <v>51.98</v>
      </c>
      <c r="D95">
        <v>67.38</v>
      </c>
      <c r="E95">
        <v>1200</v>
      </c>
      <c r="F95">
        <v>38.369999999999997</v>
      </c>
      <c r="G95">
        <v>270.04000000000002</v>
      </c>
      <c r="H95">
        <v>210.59</v>
      </c>
      <c r="I95">
        <v>-21</v>
      </c>
      <c r="J95">
        <v>101.95</v>
      </c>
    </row>
    <row r="96" spans="1:11" x14ac:dyDescent="0.2">
      <c r="A96" t="s">
        <v>37</v>
      </c>
      <c r="B96">
        <f>62-25</f>
        <v>37</v>
      </c>
      <c r="C96">
        <v>65.36</v>
      </c>
      <c r="D96">
        <v>84.2</v>
      </c>
      <c r="E96">
        <v>1280.08</v>
      </c>
      <c r="F96">
        <v>30.35</v>
      </c>
      <c r="G96">
        <v>373.91</v>
      </c>
      <c r="H96">
        <v>278.2</v>
      </c>
      <c r="I96">
        <v>-21</v>
      </c>
      <c r="J96">
        <v>101.95</v>
      </c>
    </row>
    <row r="97" spans="1:11" x14ac:dyDescent="0.2">
      <c r="A97" t="s">
        <v>329</v>
      </c>
      <c r="B97">
        <f>65-25</f>
        <v>40</v>
      </c>
      <c r="C97">
        <v>63.31</v>
      </c>
      <c r="D97">
        <v>88.54</v>
      </c>
      <c r="E97">
        <v>1033.45</v>
      </c>
      <c r="F97">
        <v>0</v>
      </c>
      <c r="G97">
        <v>260</v>
      </c>
      <c r="H97">
        <v>317.54000000000002</v>
      </c>
      <c r="I97">
        <v>-21</v>
      </c>
      <c r="J97">
        <v>108.74</v>
      </c>
    </row>
    <row r="98" spans="1:11" x14ac:dyDescent="0.2">
      <c r="A98" t="s">
        <v>95</v>
      </c>
      <c r="B98">
        <f>75-25</f>
        <v>50</v>
      </c>
      <c r="C98">
        <v>64.19</v>
      </c>
      <c r="D98">
        <v>78.81</v>
      </c>
      <c r="E98">
        <v>730.88</v>
      </c>
      <c r="F98">
        <v>28.27</v>
      </c>
      <c r="G98">
        <v>300.22000000000003</v>
      </c>
      <c r="H98">
        <v>306.32</v>
      </c>
      <c r="I98">
        <v>-21</v>
      </c>
      <c r="J98">
        <v>108.74</v>
      </c>
    </row>
    <row r="99" spans="1:11" x14ac:dyDescent="0.2">
      <c r="A99" t="s">
        <v>40</v>
      </c>
      <c r="B99">
        <f>85-25</f>
        <v>60</v>
      </c>
      <c r="C99">
        <v>81.86</v>
      </c>
      <c r="D99">
        <v>102.8</v>
      </c>
      <c r="E99">
        <v>792.94</v>
      </c>
      <c r="F99">
        <v>43.84</v>
      </c>
      <c r="G99">
        <v>340</v>
      </c>
      <c r="H99">
        <v>340</v>
      </c>
      <c r="I99">
        <v>-21</v>
      </c>
      <c r="J99">
        <v>108.74</v>
      </c>
    </row>
    <row r="100" spans="1:11" x14ac:dyDescent="0.2">
      <c r="A100" t="s">
        <v>41</v>
      </c>
      <c r="B100">
        <f>83-25</f>
        <v>58</v>
      </c>
      <c r="C100">
        <v>83.04</v>
      </c>
      <c r="D100">
        <v>106.05</v>
      </c>
      <c r="E100">
        <v>822.73</v>
      </c>
      <c r="F100">
        <v>49.11</v>
      </c>
      <c r="G100">
        <v>306.64</v>
      </c>
      <c r="H100">
        <v>312.45</v>
      </c>
      <c r="I100">
        <v>-21</v>
      </c>
      <c r="J100">
        <v>108.74</v>
      </c>
    </row>
    <row r="101" spans="1:11" x14ac:dyDescent="0.2">
      <c r="A101" t="s">
        <v>42</v>
      </c>
      <c r="B101">
        <f>90-25</f>
        <v>65</v>
      </c>
      <c r="C101">
        <v>90.78</v>
      </c>
      <c r="D101">
        <v>111.41</v>
      </c>
      <c r="E101">
        <v>885.47</v>
      </c>
      <c r="F101">
        <v>73.77</v>
      </c>
      <c r="G101">
        <v>280.04000000000002</v>
      </c>
      <c r="H101">
        <v>302.55</v>
      </c>
      <c r="I101">
        <v>-21</v>
      </c>
      <c r="J101">
        <v>108.74</v>
      </c>
    </row>
    <row r="102" spans="1:11" x14ac:dyDescent="0.2">
      <c r="A102" t="s">
        <v>43</v>
      </c>
      <c r="B102">
        <f>90-25</f>
        <v>65</v>
      </c>
      <c r="C102">
        <v>102.82</v>
      </c>
      <c r="D102">
        <v>130.29</v>
      </c>
      <c r="E102">
        <v>1007.68</v>
      </c>
      <c r="F102">
        <v>83.96</v>
      </c>
      <c r="G102">
        <v>360.03</v>
      </c>
      <c r="H102">
        <v>370</v>
      </c>
      <c r="I102">
        <v>-21</v>
      </c>
      <c r="J102">
        <v>108.74</v>
      </c>
    </row>
    <row r="105" spans="1:11" x14ac:dyDescent="0.2">
      <c r="A105" t="s">
        <v>24</v>
      </c>
      <c r="B105" t="s">
        <v>14</v>
      </c>
      <c r="C105" t="s">
        <v>15</v>
      </c>
      <c r="D105" t="s">
        <v>16</v>
      </c>
      <c r="E105" t="s">
        <v>18</v>
      </c>
      <c r="F105" t="s">
        <v>19</v>
      </c>
      <c r="G105" t="s">
        <v>20</v>
      </c>
      <c r="H105" t="s">
        <v>331</v>
      </c>
      <c r="I105" t="s">
        <v>17</v>
      </c>
      <c r="J105" t="s">
        <v>333</v>
      </c>
      <c r="K105" t="s">
        <v>84</v>
      </c>
    </row>
    <row r="107" spans="1:11" x14ac:dyDescent="0.2">
      <c r="A107" t="s">
        <v>406</v>
      </c>
      <c r="B107">
        <f t="shared" ref="B107:D116" si="10">B72*B91</f>
        <v>413.40000000000003</v>
      </c>
      <c r="C107">
        <f t="shared" si="10"/>
        <v>7132.0649999999996</v>
      </c>
      <c r="D107">
        <f t="shared" si="10"/>
        <v>1768.2152000000001</v>
      </c>
      <c r="E107">
        <f>E72*E91</f>
        <v>906.3424</v>
      </c>
      <c r="F107">
        <f>F72*F91</f>
        <v>89.072640000000007</v>
      </c>
      <c r="G107">
        <f>G72*G91</f>
        <v>149.62860000000001</v>
      </c>
      <c r="H107">
        <f>H72*H91</f>
        <v>119.63820000000001</v>
      </c>
      <c r="I107">
        <f>I72*I91</f>
        <v>-535.08000000000004</v>
      </c>
      <c r="J107">
        <f>J72*-J91</f>
        <v>-939.97900000000004</v>
      </c>
      <c r="K107">
        <f t="shared" ref="K107:K118" si="11">SUM(B107:J107)</f>
        <v>9103.3030399999989</v>
      </c>
    </row>
    <row r="108" spans="1:11" x14ac:dyDescent="0.2">
      <c r="A108" t="s">
        <v>72</v>
      </c>
      <c r="B108">
        <f t="shared" si="10"/>
        <v>256.41000000000003</v>
      </c>
      <c r="C108">
        <f t="shared" si="10"/>
        <v>7030.5335999999998</v>
      </c>
      <c r="D108">
        <f t="shared" si="10"/>
        <v>1581.3610999999999</v>
      </c>
      <c r="E108">
        <f t="shared" ref="E108:I116" si="12">E73*E92</f>
        <v>848.04524000000004</v>
      </c>
      <c r="F108">
        <f t="shared" si="12"/>
        <v>45.829140000000002</v>
      </c>
      <c r="G108">
        <f t="shared" si="12"/>
        <v>68.030600000000007</v>
      </c>
      <c r="H108">
        <f t="shared" si="12"/>
        <v>165.31709999999998</v>
      </c>
      <c r="I108">
        <f t="shared" si="12"/>
        <v>-559.02</v>
      </c>
      <c r="J108">
        <f t="shared" ref="J108:J118" si="13">J73*-J92</f>
        <v>-938.95950000000016</v>
      </c>
      <c r="K108">
        <f t="shared" si="11"/>
        <v>8497.547279999997</v>
      </c>
    </row>
    <row r="109" spans="1:11" x14ac:dyDescent="0.2">
      <c r="A109" t="s">
        <v>34</v>
      </c>
      <c r="B109">
        <f t="shared" si="10"/>
        <v>43.35</v>
      </c>
      <c r="C109">
        <f t="shared" si="10"/>
        <v>1685.5440000000001</v>
      </c>
      <c r="D109">
        <f t="shared" si="10"/>
        <v>385.01900000000001</v>
      </c>
      <c r="E109">
        <f t="shared" si="12"/>
        <v>697.31999999999994</v>
      </c>
      <c r="F109">
        <f t="shared" si="12"/>
        <v>11.231999999999999</v>
      </c>
      <c r="G109">
        <f t="shared" si="12"/>
        <v>41.238</v>
      </c>
      <c r="H109">
        <f t="shared" si="12"/>
        <v>85.5</v>
      </c>
      <c r="I109">
        <f t="shared" si="12"/>
        <v>-486.15</v>
      </c>
      <c r="J109">
        <f t="shared" si="13"/>
        <v>-816.61950000000002</v>
      </c>
      <c r="K109">
        <f t="shared" si="11"/>
        <v>1646.4334999999999</v>
      </c>
    </row>
    <row r="110" spans="1:11" x14ac:dyDescent="0.2">
      <c r="A110" t="s">
        <v>35</v>
      </c>
      <c r="B110">
        <f t="shared" si="10"/>
        <v>66.599999999999994</v>
      </c>
      <c r="C110">
        <f t="shared" si="10"/>
        <v>1861.7904000000001</v>
      </c>
      <c r="D110">
        <f t="shared" si="10"/>
        <v>571.32349999999997</v>
      </c>
      <c r="E110">
        <f t="shared" si="12"/>
        <v>696.97320000000002</v>
      </c>
      <c r="F110">
        <f t="shared" si="12"/>
        <v>11.722620000000001</v>
      </c>
      <c r="G110">
        <f t="shared" si="12"/>
        <v>66.361200000000011</v>
      </c>
      <c r="H110">
        <f t="shared" si="12"/>
        <v>50.75</v>
      </c>
      <c r="I110">
        <f t="shared" si="12"/>
        <v>-559.02</v>
      </c>
      <c r="J110">
        <f t="shared" si="13"/>
        <v>-938.95950000000016</v>
      </c>
      <c r="K110">
        <f t="shared" si="11"/>
        <v>1827.5414199999993</v>
      </c>
    </row>
    <row r="111" spans="1:11" x14ac:dyDescent="0.2">
      <c r="A111" t="s">
        <v>407</v>
      </c>
      <c r="B111">
        <f t="shared" si="10"/>
        <v>63.8</v>
      </c>
      <c r="C111">
        <f t="shared" si="10"/>
        <v>2541.8219999999997</v>
      </c>
      <c r="D111">
        <f t="shared" si="10"/>
        <v>772.84860000000003</v>
      </c>
      <c r="E111">
        <f t="shared" si="12"/>
        <v>614.4</v>
      </c>
      <c r="F111">
        <f t="shared" si="12"/>
        <v>29.468159999999997</v>
      </c>
      <c r="G111">
        <f t="shared" si="12"/>
        <v>89.113200000000006</v>
      </c>
      <c r="H111">
        <f t="shared" si="12"/>
        <v>69.494700000000009</v>
      </c>
      <c r="I111">
        <f t="shared" si="12"/>
        <v>-534.87</v>
      </c>
      <c r="J111">
        <f t="shared" si="13"/>
        <v>-898.17950000000008</v>
      </c>
      <c r="K111">
        <f t="shared" si="11"/>
        <v>2747.8971599999995</v>
      </c>
    </row>
    <row r="112" spans="1:11" x14ac:dyDescent="0.2">
      <c r="A112" t="s">
        <v>37</v>
      </c>
      <c r="B112">
        <f t="shared" si="10"/>
        <v>107.3</v>
      </c>
      <c r="C112">
        <f t="shared" si="10"/>
        <v>2905.252</v>
      </c>
      <c r="D112">
        <f t="shared" si="10"/>
        <v>876.52200000000005</v>
      </c>
      <c r="E112">
        <f t="shared" si="12"/>
        <v>593.95711999999992</v>
      </c>
      <c r="F112">
        <f t="shared" si="12"/>
        <v>21.1236</v>
      </c>
      <c r="G112">
        <f t="shared" si="12"/>
        <v>112.173</v>
      </c>
      <c r="H112">
        <f t="shared" si="12"/>
        <v>83.46</v>
      </c>
      <c r="I112">
        <f t="shared" si="12"/>
        <v>-486.15</v>
      </c>
      <c r="J112">
        <f t="shared" si="13"/>
        <v>-816.61950000000002</v>
      </c>
      <c r="K112">
        <f t="shared" si="11"/>
        <v>3397.0182199999999</v>
      </c>
    </row>
    <row r="113" spans="1:11" x14ac:dyDescent="0.2">
      <c r="A113" t="s">
        <v>329</v>
      </c>
      <c r="B113">
        <f t="shared" si="10"/>
        <v>127.2</v>
      </c>
      <c r="C113">
        <f t="shared" si="10"/>
        <v>3095.8589999999999</v>
      </c>
      <c r="D113">
        <f t="shared" si="10"/>
        <v>1015.5538000000001</v>
      </c>
      <c r="E113">
        <f t="shared" si="12"/>
        <v>529.12639999999999</v>
      </c>
      <c r="F113">
        <f t="shared" si="12"/>
        <v>0</v>
      </c>
      <c r="G113">
        <f t="shared" si="12"/>
        <v>85.8</v>
      </c>
      <c r="H113">
        <f t="shared" si="12"/>
        <v>104.78820000000002</v>
      </c>
      <c r="I113">
        <f t="shared" si="12"/>
        <v>-534.87</v>
      </c>
      <c r="J113">
        <f t="shared" si="13"/>
        <v>-957.99940000000004</v>
      </c>
      <c r="K113">
        <f t="shared" si="11"/>
        <v>3465.4580000000001</v>
      </c>
    </row>
    <row r="114" spans="1:11" x14ac:dyDescent="0.2">
      <c r="A114" t="s">
        <v>95</v>
      </c>
      <c r="B114">
        <f t="shared" si="10"/>
        <v>159</v>
      </c>
      <c r="C114">
        <f t="shared" si="10"/>
        <v>3138.8909999999996</v>
      </c>
      <c r="D114">
        <f t="shared" si="10"/>
        <v>509.11259999999999</v>
      </c>
      <c r="E114">
        <f t="shared" si="12"/>
        <v>374.21055999999999</v>
      </c>
      <c r="F114">
        <f t="shared" si="12"/>
        <v>21.711359999999999</v>
      </c>
      <c r="G114">
        <f t="shared" si="12"/>
        <v>99.072600000000008</v>
      </c>
      <c r="H114">
        <f t="shared" si="12"/>
        <v>101.0856</v>
      </c>
      <c r="I114">
        <f t="shared" si="12"/>
        <v>0</v>
      </c>
      <c r="J114">
        <f t="shared" si="13"/>
        <v>-957.99940000000004</v>
      </c>
      <c r="K114">
        <f t="shared" si="11"/>
        <v>3445.0843200000004</v>
      </c>
    </row>
    <row r="115" spans="1:11" x14ac:dyDescent="0.2">
      <c r="A115" t="s">
        <v>40</v>
      </c>
      <c r="B115">
        <f t="shared" si="10"/>
        <v>182.4</v>
      </c>
      <c r="C115">
        <f t="shared" si="10"/>
        <v>3821.2248</v>
      </c>
      <c r="D115">
        <f t="shared" si="10"/>
        <v>1124.6319999999998</v>
      </c>
      <c r="E115">
        <f t="shared" si="12"/>
        <v>386.95472000000001</v>
      </c>
      <c r="F115">
        <f t="shared" si="12"/>
        <v>32.090879999999999</v>
      </c>
      <c r="G115">
        <f t="shared" si="12"/>
        <v>105.4</v>
      </c>
      <c r="H115">
        <f t="shared" si="12"/>
        <v>108.8</v>
      </c>
      <c r="I115">
        <f t="shared" si="12"/>
        <v>0</v>
      </c>
      <c r="J115">
        <f t="shared" si="13"/>
        <v>-914.50339999999994</v>
      </c>
      <c r="K115">
        <f t="shared" si="11"/>
        <v>4846.9989999999998</v>
      </c>
    </row>
    <row r="116" spans="1:11" x14ac:dyDescent="0.2">
      <c r="A116" t="s">
        <v>41</v>
      </c>
      <c r="B116">
        <f t="shared" si="10"/>
        <v>220.98</v>
      </c>
      <c r="C116">
        <f t="shared" si="10"/>
        <v>4035.7440000000006</v>
      </c>
      <c r="D116">
        <f t="shared" si="10"/>
        <v>1140.0374999999999</v>
      </c>
      <c r="E116">
        <f t="shared" si="12"/>
        <v>424.52868000000001</v>
      </c>
      <c r="F116">
        <f t="shared" si="12"/>
        <v>38.011139999999997</v>
      </c>
      <c r="G116">
        <f t="shared" si="12"/>
        <v>104.2576</v>
      </c>
      <c r="H116">
        <f t="shared" si="12"/>
        <v>106.233</v>
      </c>
      <c r="I116">
        <f t="shared" si="12"/>
        <v>0</v>
      </c>
      <c r="J116">
        <f t="shared" si="13"/>
        <v>-957.99940000000004</v>
      </c>
      <c r="K116">
        <f t="shared" si="11"/>
        <v>5111.7925200000009</v>
      </c>
    </row>
    <row r="117" spans="1:11" x14ac:dyDescent="0.2">
      <c r="A117" t="s">
        <v>42</v>
      </c>
      <c r="B117">
        <f t="shared" ref="B117:I117" si="14">B82*B101</f>
        <v>247.65</v>
      </c>
      <c r="C117">
        <f t="shared" si="14"/>
        <v>4411.9080000000004</v>
      </c>
      <c r="D117">
        <f t="shared" si="14"/>
        <v>1197.6575</v>
      </c>
      <c r="E117">
        <f t="shared" si="14"/>
        <v>456.90252000000004</v>
      </c>
      <c r="F117">
        <f t="shared" si="14"/>
        <v>57.09798</v>
      </c>
      <c r="G117">
        <f t="shared" si="14"/>
        <v>95.213600000000014</v>
      </c>
      <c r="H117">
        <f t="shared" si="14"/>
        <v>102.867</v>
      </c>
      <c r="I117">
        <f t="shared" si="14"/>
        <v>0</v>
      </c>
      <c r="J117">
        <f t="shared" si="13"/>
        <v>-1003.6702</v>
      </c>
      <c r="K117">
        <f t="shared" si="11"/>
        <v>5565.6263999999992</v>
      </c>
    </row>
    <row r="118" spans="1:11" x14ac:dyDescent="0.2">
      <c r="A118" t="s">
        <v>43</v>
      </c>
      <c r="B118">
        <f t="shared" ref="B118:I118" si="15">B83*B102</f>
        <v>195</v>
      </c>
      <c r="C118">
        <f t="shared" si="15"/>
        <v>4742.058399999999</v>
      </c>
      <c r="D118">
        <f t="shared" si="15"/>
        <v>1375.8624</v>
      </c>
      <c r="E118">
        <f t="shared" si="15"/>
        <v>471.59423999999996</v>
      </c>
      <c r="F118">
        <f t="shared" si="15"/>
        <v>58.939919999999994</v>
      </c>
      <c r="G118">
        <f t="shared" si="15"/>
        <v>108.00899999999999</v>
      </c>
      <c r="H118">
        <f t="shared" si="15"/>
        <v>114.7</v>
      </c>
      <c r="I118">
        <f t="shared" si="15"/>
        <v>0</v>
      </c>
      <c r="J118">
        <f t="shared" si="13"/>
        <v>-913.41599999999994</v>
      </c>
      <c r="K118">
        <f t="shared" si="11"/>
        <v>6152.7479599999988</v>
      </c>
    </row>
    <row r="119" spans="1:11" x14ac:dyDescent="0.2">
      <c r="A119" t="s">
        <v>88</v>
      </c>
      <c r="B119">
        <f t="shared" ref="B119:K119" si="16">SUM(B107:B118)</f>
        <v>2083.09</v>
      </c>
      <c r="C119">
        <f t="shared" si="16"/>
        <v>46402.692200000005</v>
      </c>
      <c r="D119">
        <f t="shared" si="16"/>
        <v>12318.145199999999</v>
      </c>
      <c r="E119">
        <f t="shared" si="16"/>
        <v>7000.3550800000003</v>
      </c>
      <c r="F119">
        <f t="shared" si="16"/>
        <v>416.29944</v>
      </c>
      <c r="G119">
        <f t="shared" si="16"/>
        <v>1124.2973999999999</v>
      </c>
      <c r="H119">
        <f t="shared" si="16"/>
        <v>1212.6338000000001</v>
      </c>
      <c r="I119">
        <f t="shared" si="16"/>
        <v>-3695.16</v>
      </c>
      <c r="J119">
        <f t="shared" si="16"/>
        <v>-11054.904299999998</v>
      </c>
      <c r="K119">
        <f t="shared" si="16"/>
        <v>55807.448820000005</v>
      </c>
    </row>
  </sheetData>
  <phoneticPr fontId="0" type="noConversion"/>
  <pageMargins left="0.75" right="0.75" top="1" bottom="1" header="0.5" footer="0.5"/>
  <pageSetup orientation="portrait" horizontalDpi="300" verticalDpi="300"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23"/>
  <sheetViews>
    <sheetView topLeftCell="A20" zoomScaleNormal="100" workbookViewId="0">
      <selection activeCell="I59" sqref="I59"/>
    </sheetView>
  </sheetViews>
  <sheetFormatPr defaultRowHeight="15" x14ac:dyDescent="0.2"/>
  <cols>
    <col min="1" max="1" width="4.109375" customWidth="1"/>
    <col min="2" max="2" width="10.88671875" customWidth="1"/>
    <col min="5" max="5" width="9.77734375" customWidth="1"/>
    <col min="9" max="9" width="9.44140625" customWidth="1"/>
    <col min="10" max="10" width="5.5546875" customWidth="1"/>
  </cols>
  <sheetData>
    <row r="1" spans="2:6" x14ac:dyDescent="0.2">
      <c r="F1" t="s">
        <v>0</v>
      </c>
    </row>
    <row r="2" spans="2:6" x14ac:dyDescent="0.2">
      <c r="F2" t="s">
        <v>1</v>
      </c>
    </row>
    <row r="3" spans="2:6" x14ac:dyDescent="0.2">
      <c r="F3" t="s">
        <v>2</v>
      </c>
    </row>
    <row r="6" spans="2:6" x14ac:dyDescent="0.2">
      <c r="B6" t="s">
        <v>485</v>
      </c>
    </row>
    <row r="8" spans="2:6" x14ac:dyDescent="0.2">
      <c r="B8" t="s">
        <v>423</v>
      </c>
    </row>
    <row r="9" spans="2:6" x14ac:dyDescent="0.2">
      <c r="B9" t="s">
        <v>427</v>
      </c>
      <c r="D9" t="s">
        <v>465</v>
      </c>
    </row>
    <row r="10" spans="2:6" x14ac:dyDescent="0.2">
      <c r="B10" t="s">
        <v>6</v>
      </c>
      <c r="D10" t="s">
        <v>466</v>
      </c>
    </row>
    <row r="12" spans="2:6" x14ac:dyDescent="0.2">
      <c r="D12" t="s">
        <v>30</v>
      </c>
      <c r="E12" t="s">
        <v>31</v>
      </c>
    </row>
    <row r="13" spans="2:6" x14ac:dyDescent="0.2">
      <c r="B13" t="s">
        <v>92</v>
      </c>
      <c r="D13" t="s">
        <v>26</v>
      </c>
      <c r="E13" t="s">
        <v>32</v>
      </c>
    </row>
    <row r="15" spans="2:6" x14ac:dyDescent="0.2">
      <c r="B15" t="s">
        <v>425</v>
      </c>
      <c r="D15">
        <f>35022+16651</f>
        <v>51673</v>
      </c>
      <c r="E15">
        <f>'11th year actual'!J46</f>
        <v>123721.14880000001</v>
      </c>
    </row>
    <row r="16" spans="2:6" x14ac:dyDescent="0.2">
      <c r="B16" t="s">
        <v>116</v>
      </c>
      <c r="D16">
        <f>35013+16635</f>
        <v>51648</v>
      </c>
      <c r="E16">
        <f>'11th year actual'!J47</f>
        <v>114299.18820000002</v>
      </c>
    </row>
    <row r="17" spans="2:10" x14ac:dyDescent="0.2">
      <c r="B17" t="s">
        <v>34</v>
      </c>
      <c r="D17">
        <f>34994+16558</f>
        <v>51552</v>
      </c>
      <c r="E17">
        <f>'11th year actual'!J48</f>
        <v>129901.74209999999</v>
      </c>
      <c r="G17">
        <f>('11th year actual'!B23+'11th year actual'!C23+'11th year actual'!D23)</f>
        <v>11410.8</v>
      </c>
      <c r="H17">
        <f>G17*2000</f>
        <v>22821600</v>
      </c>
      <c r="I17">
        <f>H17/D27</f>
        <v>36.88238060530054</v>
      </c>
    </row>
    <row r="18" spans="2:10" x14ac:dyDescent="0.2">
      <c r="B18" t="s">
        <v>35</v>
      </c>
      <c r="D18">
        <f>34905+16407</f>
        <v>51312</v>
      </c>
      <c r="E18">
        <f>'11th year actual'!J49</f>
        <v>135523.51070000001</v>
      </c>
    </row>
    <row r="19" spans="2:10" x14ac:dyDescent="0.2">
      <c r="B19" t="s">
        <v>426</v>
      </c>
      <c r="D19">
        <f>34794+16401</f>
        <v>51195</v>
      </c>
      <c r="E19">
        <f>'11th year actual'!J50</f>
        <v>133746.5061</v>
      </c>
      <c r="G19">
        <f>'11th year actual'!J23-'11th year actual'!I23</f>
        <v>12250.159999999998</v>
      </c>
      <c r="H19">
        <f>G19*2000</f>
        <v>24500319.999999996</v>
      </c>
      <c r="I19">
        <f>H19/D27</f>
        <v>39.595388894365726</v>
      </c>
    </row>
    <row r="20" spans="2:10" x14ac:dyDescent="0.2">
      <c r="B20" t="s">
        <v>37</v>
      </c>
      <c r="D20">
        <f>34810+16269</f>
        <v>51079</v>
      </c>
      <c r="E20">
        <f>'11th year actual'!J51</f>
        <v>112338.97350000001</v>
      </c>
    </row>
    <row r="21" spans="2:10" x14ac:dyDescent="0.2">
      <c r="B21" t="s">
        <v>38</v>
      </c>
      <c r="D21">
        <f>34699+16279</f>
        <v>50978</v>
      </c>
      <c r="E21">
        <f>'11th year actual'!J52</f>
        <v>135993.72440000004</v>
      </c>
      <c r="G21">
        <v>44260</v>
      </c>
      <c r="H21">
        <f>G21*2000</f>
        <v>88520000</v>
      </c>
      <c r="I21">
        <f>H21/D27</f>
        <v>143.05869576108617</v>
      </c>
    </row>
    <row r="22" spans="2:10" x14ac:dyDescent="0.2">
      <c r="B22" t="s">
        <v>95</v>
      </c>
      <c r="D22">
        <f>35162+16594</f>
        <v>51756</v>
      </c>
      <c r="E22">
        <f>'11th year actual'!J53</f>
        <v>138178.1635</v>
      </c>
    </row>
    <row r="23" spans="2:10" x14ac:dyDescent="0.2">
      <c r="B23" t="s">
        <v>40</v>
      </c>
      <c r="D23">
        <f>35244+16697</f>
        <v>51941</v>
      </c>
      <c r="E23">
        <f>'11th year actual'!J54</f>
        <v>139204.7115</v>
      </c>
    </row>
    <row r="24" spans="2:10" x14ac:dyDescent="0.2">
      <c r="B24" t="s">
        <v>41</v>
      </c>
      <c r="D24">
        <f>35204+16604</f>
        <v>51808</v>
      </c>
      <c r="E24">
        <f>'11th year actual'!J55</f>
        <v>126630.46739999998</v>
      </c>
    </row>
    <row r="25" spans="2:10" x14ac:dyDescent="0.2">
      <c r="B25" t="s">
        <v>42</v>
      </c>
      <c r="D25">
        <f>35156+16752</f>
        <v>51908</v>
      </c>
      <c r="E25">
        <f>'11th year actual'!J56</f>
        <v>122210.50559999997</v>
      </c>
    </row>
    <row r="26" spans="2:10" x14ac:dyDescent="0.2">
      <c r="B26" t="s">
        <v>43</v>
      </c>
      <c r="D26">
        <f>35137+16780</f>
        <v>51917</v>
      </c>
      <c r="E26">
        <f>'11th year actual'!J57</f>
        <v>130286.15059999998</v>
      </c>
    </row>
    <row r="27" spans="2:10" x14ac:dyDescent="0.2">
      <c r="B27" t="s">
        <v>96</v>
      </c>
      <c r="D27">
        <f>SUM(D14:D26)</f>
        <v>618767</v>
      </c>
      <c r="E27">
        <f>SUM(E14:E26)</f>
        <v>1542034.7924000002</v>
      </c>
    </row>
    <row r="28" spans="2:10" x14ac:dyDescent="0.2">
      <c r="G28" t="s">
        <v>6</v>
      </c>
    </row>
    <row r="29" spans="2:10" x14ac:dyDescent="0.2">
      <c r="B29" t="s">
        <v>428</v>
      </c>
    </row>
    <row r="31" spans="2:10" x14ac:dyDescent="0.2">
      <c r="B31" t="s">
        <v>438</v>
      </c>
      <c r="F31">
        <f>SUM(D14:D26)</f>
        <v>618767</v>
      </c>
      <c r="J31" t="s">
        <v>6</v>
      </c>
    </row>
    <row r="34" spans="2:9" x14ac:dyDescent="0.2">
      <c r="B34" t="s">
        <v>101</v>
      </c>
      <c r="E34" t="s">
        <v>431</v>
      </c>
      <c r="F34">
        <v>2.81</v>
      </c>
    </row>
    <row r="35" spans="2:9" x14ac:dyDescent="0.2">
      <c r="B35" t="s">
        <v>101</v>
      </c>
      <c r="E35" t="s">
        <v>432</v>
      </c>
      <c r="F35">
        <v>1.45</v>
      </c>
    </row>
    <row r="38" spans="2:9" x14ac:dyDescent="0.2">
      <c r="B38" t="s">
        <v>429</v>
      </c>
      <c r="H38">
        <f>(SUM(D15:D16)*F34)+SUM(D17:D26)*F35</f>
        <v>1037728.71</v>
      </c>
    </row>
    <row r="40" spans="2:9" x14ac:dyDescent="0.2">
      <c r="B40" t="s">
        <v>50</v>
      </c>
      <c r="G40">
        <f>E27</f>
        <v>1542034.7924000002</v>
      </c>
    </row>
    <row r="41" spans="2:9" x14ac:dyDescent="0.2">
      <c r="B41" t="s">
        <v>340</v>
      </c>
      <c r="G41">
        <f>G40*0.3</f>
        <v>462610.43772000005</v>
      </c>
    </row>
    <row r="42" spans="2:9" x14ac:dyDescent="0.2">
      <c r="B42" t="s">
        <v>350</v>
      </c>
      <c r="H42">
        <f>G40-G41</f>
        <v>1079424.3546800001</v>
      </c>
    </row>
    <row r="44" spans="2:9" x14ac:dyDescent="0.2">
      <c r="B44" t="s">
        <v>351</v>
      </c>
      <c r="H44">
        <f>H42-H38</f>
        <v>41695.644680000143</v>
      </c>
      <c r="I44" t="s">
        <v>352</v>
      </c>
    </row>
    <row r="46" spans="2:9" x14ac:dyDescent="0.2">
      <c r="B46" t="s">
        <v>106</v>
      </c>
    </row>
    <row r="48" spans="2:9" x14ac:dyDescent="0.2">
      <c r="B48" t="s">
        <v>107</v>
      </c>
      <c r="G48">
        <f>H44</f>
        <v>41695.644680000143</v>
      </c>
    </row>
    <row r="49" spans="2:9" x14ac:dyDescent="0.2">
      <c r="B49" t="s">
        <v>415</v>
      </c>
      <c r="G49">
        <f>D27</f>
        <v>618767</v>
      </c>
    </row>
    <row r="50" spans="2:9" x14ac:dyDescent="0.2">
      <c r="B50" t="s">
        <v>108</v>
      </c>
      <c r="G50">
        <f>G48/G49</f>
        <v>6.7385049105721767E-2</v>
      </c>
    </row>
    <row r="54" spans="2:9" x14ac:dyDescent="0.2">
      <c r="I54" t="s">
        <v>439</v>
      </c>
    </row>
    <row r="55" spans="2:9" x14ac:dyDescent="0.2">
      <c r="B55" t="s">
        <v>354</v>
      </c>
      <c r="H55" t="s">
        <v>418</v>
      </c>
      <c r="I55" t="s">
        <v>363</v>
      </c>
    </row>
    <row r="56" spans="2:9" x14ac:dyDescent="0.2">
      <c r="B56" t="s">
        <v>416</v>
      </c>
      <c r="H56">
        <f>E27</f>
        <v>1542034.7924000002</v>
      </c>
      <c r="I56">
        <f>H56*0.5</f>
        <v>771017.39620000008</v>
      </c>
    </row>
    <row r="57" spans="2:9" x14ac:dyDescent="0.2">
      <c r="B57" t="s">
        <v>417</v>
      </c>
      <c r="H57">
        <f>D27</f>
        <v>618767</v>
      </c>
      <c r="I57">
        <f>H57</f>
        <v>618767</v>
      </c>
    </row>
    <row r="59" spans="2:9" x14ac:dyDescent="0.2">
      <c r="E59" t="s">
        <v>359</v>
      </c>
      <c r="H59">
        <f>H56/H57</f>
        <v>2.4921089721979359</v>
      </c>
      <c r="I59">
        <f>I56/I57</f>
        <v>1.246054486098968</v>
      </c>
    </row>
    <row r="60" spans="2:9" x14ac:dyDescent="0.2">
      <c r="E60" t="s">
        <v>360</v>
      </c>
      <c r="H60">
        <f>G50</f>
        <v>6.7385049105721767E-2</v>
      </c>
      <c r="I60">
        <f>G50</f>
        <v>6.7385049105721767E-2</v>
      </c>
    </row>
    <row r="61" spans="2:9" x14ac:dyDescent="0.2">
      <c r="F61" t="s">
        <v>361</v>
      </c>
      <c r="H61">
        <f>H59+H60</f>
        <v>2.5594940213036579</v>
      </c>
      <c r="I61">
        <f>SUM(I59:I60)</f>
        <v>1.3134395352046897</v>
      </c>
    </row>
    <row r="65" spans="2:6" x14ac:dyDescent="0.2">
      <c r="F65" t="s">
        <v>0</v>
      </c>
    </row>
    <row r="66" spans="2:6" x14ac:dyDescent="0.2">
      <c r="F66" t="s">
        <v>1</v>
      </c>
    </row>
    <row r="67" spans="2:6" x14ac:dyDescent="0.2">
      <c r="F67" t="s">
        <v>342</v>
      </c>
    </row>
    <row r="70" spans="2:6" x14ac:dyDescent="0.2">
      <c r="B70" t="str">
        <f>B6</f>
        <v>After Eleventh Year Commodity Adjustment</v>
      </c>
    </row>
    <row r="72" spans="2:6" x14ac:dyDescent="0.2">
      <c r="B72" t="s">
        <v>423</v>
      </c>
    </row>
    <row r="73" spans="2:6" x14ac:dyDescent="0.2">
      <c r="B73" t="s">
        <v>427</v>
      </c>
    </row>
    <row r="74" spans="2:6" x14ac:dyDescent="0.2">
      <c r="B74" t="s">
        <v>6</v>
      </c>
    </row>
    <row r="76" spans="2:6" x14ac:dyDescent="0.2">
      <c r="B76" t="s">
        <v>344</v>
      </c>
      <c r="D76" t="s">
        <v>30</v>
      </c>
      <c r="E76" t="s">
        <v>31</v>
      </c>
    </row>
    <row r="77" spans="2:6" x14ac:dyDescent="0.2">
      <c r="B77" t="s">
        <v>92</v>
      </c>
      <c r="D77" t="s">
        <v>145</v>
      </c>
      <c r="E77" t="s">
        <v>32</v>
      </c>
    </row>
    <row r="79" spans="2:6" x14ac:dyDescent="0.2">
      <c r="B79" t="s">
        <v>425</v>
      </c>
      <c r="D79">
        <v>7957</v>
      </c>
      <c r="E79">
        <f>'11th year actual'!J107</f>
        <v>6358.6167000000005</v>
      </c>
    </row>
    <row r="80" spans="2:6" x14ac:dyDescent="0.2">
      <c r="B80" t="s">
        <v>116</v>
      </c>
      <c r="D80">
        <v>7056</v>
      </c>
      <c r="E80">
        <f>'11th year actual'!J108</f>
        <v>6344.8370100000002</v>
      </c>
    </row>
    <row r="81" spans="2:6" x14ac:dyDescent="0.2">
      <c r="B81" t="s">
        <v>34</v>
      </c>
      <c r="D81">
        <f>7565</f>
        <v>7565</v>
      </c>
      <c r="E81">
        <f>'11th year actual'!J109</f>
        <v>6061.0747399999991</v>
      </c>
    </row>
    <row r="82" spans="2:6" x14ac:dyDescent="0.2">
      <c r="B82" t="s">
        <v>35</v>
      </c>
      <c r="D82">
        <v>7503</v>
      </c>
      <c r="E82">
        <f>'11th year actual'!J110</f>
        <v>6446.6220399999993</v>
      </c>
    </row>
    <row r="83" spans="2:6" x14ac:dyDescent="0.2">
      <c r="B83" t="s">
        <v>426</v>
      </c>
      <c r="D83">
        <f>5972+1741</f>
        <v>7713</v>
      </c>
      <c r="E83">
        <f>'11th year actual'!J111</f>
        <v>6563.9637999999986</v>
      </c>
    </row>
    <row r="84" spans="2:6" x14ac:dyDescent="0.2">
      <c r="B84" t="s">
        <v>37</v>
      </c>
      <c r="D84">
        <f>5910+1653</f>
        <v>7563</v>
      </c>
      <c r="E84">
        <f>'11th year actual'!J112</f>
        <v>6737.0013999999992</v>
      </c>
    </row>
    <row r="85" spans="2:6" x14ac:dyDescent="0.2">
      <c r="B85" t="s">
        <v>38</v>
      </c>
      <c r="D85">
        <f>5911+1660</f>
        <v>7571</v>
      </c>
      <c r="E85">
        <f>'11th year actual'!J113</f>
        <v>7973.0262000000002</v>
      </c>
    </row>
    <row r="86" spans="2:6" x14ac:dyDescent="0.2">
      <c r="B86" t="s">
        <v>95</v>
      </c>
      <c r="D86">
        <f>5921+1648</f>
        <v>7569</v>
      </c>
      <c r="E86">
        <f>'11th year actual'!J114</f>
        <v>7723.5812999999998</v>
      </c>
    </row>
    <row r="87" spans="2:6" x14ac:dyDescent="0.2">
      <c r="B87" t="s">
        <v>40</v>
      </c>
      <c r="D87">
        <f>5858+1654</f>
        <v>7512</v>
      </c>
      <c r="E87">
        <f>'11th year actual'!J115</f>
        <v>8030.4712000000018</v>
      </c>
    </row>
    <row r="88" spans="2:6" x14ac:dyDescent="0.2">
      <c r="B88" t="s">
        <v>41</v>
      </c>
      <c r="D88">
        <f>6208+1331</f>
        <v>7539</v>
      </c>
      <c r="E88">
        <f>'11th year actual'!J116</f>
        <v>7083.4721000000009</v>
      </c>
    </row>
    <row r="89" spans="2:6" x14ac:dyDescent="0.2">
      <c r="B89" t="s">
        <v>42</v>
      </c>
      <c r="D89">
        <f>5848+1685</f>
        <v>7533</v>
      </c>
      <c r="E89">
        <f>'11th year actual'!J117</f>
        <v>7420.4731999999995</v>
      </c>
    </row>
    <row r="90" spans="2:6" x14ac:dyDescent="0.2">
      <c r="B90" t="s">
        <v>43</v>
      </c>
      <c r="D90">
        <v>7553</v>
      </c>
      <c r="E90">
        <f>'11th year actual'!J118</f>
        <v>7758.9963999999982</v>
      </c>
    </row>
    <row r="91" spans="2:6" x14ac:dyDescent="0.2">
      <c r="B91" t="s">
        <v>96</v>
      </c>
      <c r="D91">
        <f>SUM(D78:D90)</f>
        <v>90634</v>
      </c>
      <c r="E91">
        <f>SUM(E78:E90)</f>
        <v>84502.13609</v>
      </c>
    </row>
    <row r="93" spans="2:6" x14ac:dyDescent="0.2">
      <c r="B93" t="s">
        <v>428</v>
      </c>
    </row>
    <row r="95" spans="2:6" x14ac:dyDescent="0.2">
      <c r="B95" t="s">
        <v>430</v>
      </c>
      <c r="F95">
        <f>D91</f>
        <v>90634</v>
      </c>
    </row>
    <row r="97" spans="2:9" x14ac:dyDescent="0.2">
      <c r="B97" t="s">
        <v>343</v>
      </c>
      <c r="E97" t="s">
        <v>431</v>
      </c>
      <c r="F97">
        <v>0.61</v>
      </c>
    </row>
    <row r="98" spans="2:9" x14ac:dyDescent="0.2">
      <c r="B98" t="s">
        <v>343</v>
      </c>
      <c r="E98" t="s">
        <v>432</v>
      </c>
      <c r="F98">
        <v>0.42</v>
      </c>
    </row>
    <row r="101" spans="2:9" x14ac:dyDescent="0.2">
      <c r="B101" t="s">
        <v>440</v>
      </c>
      <c r="H101">
        <f>(SUM(D79:D80)*F97)+SUM(D81:D90)*F98</f>
        <v>40918.75</v>
      </c>
      <c r="I101" t="s">
        <v>6</v>
      </c>
    </row>
    <row r="102" spans="2:9" x14ac:dyDescent="0.2">
      <c r="I102" t="s">
        <v>6</v>
      </c>
    </row>
    <row r="103" spans="2:9" x14ac:dyDescent="0.2">
      <c r="B103" t="s">
        <v>50</v>
      </c>
      <c r="G103">
        <f>SUM(E78:E90)</f>
        <v>84502.13609</v>
      </c>
      <c r="I103" t="s">
        <v>6</v>
      </c>
    </row>
    <row r="104" spans="2:9" x14ac:dyDescent="0.2">
      <c r="B104" t="s">
        <v>424</v>
      </c>
      <c r="G104">
        <f>G103*0.3</f>
        <v>25350.640826999999</v>
      </c>
    </row>
    <row r="105" spans="2:9" x14ac:dyDescent="0.2">
      <c r="B105" t="s">
        <v>364</v>
      </c>
      <c r="H105">
        <f>G103-G104</f>
        <v>59151.495263000004</v>
      </c>
    </row>
    <row r="107" spans="2:9" x14ac:dyDescent="0.2">
      <c r="B107" t="s">
        <v>190</v>
      </c>
      <c r="H107">
        <f>H105-H101</f>
        <v>18232.745263000004</v>
      </c>
      <c r="I107" t="s">
        <v>352</v>
      </c>
    </row>
    <row r="109" spans="2:9" x14ac:dyDescent="0.2">
      <c r="B109" t="s">
        <v>365</v>
      </c>
    </row>
    <row r="111" spans="2:9" x14ac:dyDescent="0.2">
      <c r="B111" t="s">
        <v>107</v>
      </c>
      <c r="G111">
        <f>H107</f>
        <v>18232.745263000004</v>
      </c>
    </row>
    <row r="112" spans="2:9" x14ac:dyDescent="0.2">
      <c r="B112" t="s">
        <v>419</v>
      </c>
      <c r="G112">
        <f>D91</f>
        <v>90634</v>
      </c>
    </row>
    <row r="113" spans="2:9" x14ac:dyDescent="0.2">
      <c r="B113" t="s">
        <v>349</v>
      </c>
      <c r="G113">
        <f>G111/G112</f>
        <v>0.20116893509058414</v>
      </c>
    </row>
    <row r="116" spans="2:9" x14ac:dyDescent="0.2">
      <c r="I116" t="s">
        <v>439</v>
      </c>
    </row>
    <row r="117" spans="2:9" x14ac:dyDescent="0.2">
      <c r="B117" t="s">
        <v>354</v>
      </c>
      <c r="H117" t="s">
        <v>418</v>
      </c>
      <c r="I117" t="s">
        <v>363</v>
      </c>
    </row>
    <row r="118" spans="2:9" x14ac:dyDescent="0.2">
      <c r="B118" t="s">
        <v>416</v>
      </c>
      <c r="H118">
        <f>E91</f>
        <v>84502.13609</v>
      </c>
      <c r="I118">
        <f>H118*0.5</f>
        <v>42251.068045</v>
      </c>
    </row>
    <row r="119" spans="2:9" x14ac:dyDescent="0.2">
      <c r="B119" t="s">
        <v>420</v>
      </c>
      <c r="H119">
        <f>D91</f>
        <v>90634</v>
      </c>
      <c r="I119">
        <f>H119</f>
        <v>90634</v>
      </c>
    </row>
    <row r="121" spans="2:9" x14ac:dyDescent="0.2">
      <c r="E121" t="s">
        <v>422</v>
      </c>
      <c r="H121">
        <f>H118/H119</f>
        <v>0.93234477227089174</v>
      </c>
      <c r="I121">
        <f>I118/I119</f>
        <v>0.46617238613544587</v>
      </c>
    </row>
    <row r="122" spans="2:9" x14ac:dyDescent="0.2">
      <c r="E122" t="s">
        <v>421</v>
      </c>
      <c r="H122">
        <f>G113</f>
        <v>0.20116893509058414</v>
      </c>
      <c r="I122">
        <f>G113</f>
        <v>0.20116893509058414</v>
      </c>
    </row>
    <row r="123" spans="2:9" x14ac:dyDescent="0.2">
      <c r="F123" t="s">
        <v>361</v>
      </c>
      <c r="H123">
        <f>H121+H122</f>
        <v>1.1335137073614758</v>
      </c>
      <c r="I123">
        <f>SUM(I121:I122)</f>
        <v>0.66734132122602996</v>
      </c>
    </row>
  </sheetData>
  <phoneticPr fontId="6" type="noConversion"/>
  <pageMargins left="0.5" right="0.5" top="0.75" bottom="1" header="0.5" footer="0.5"/>
  <pageSetup scale="85" orientation="portrait" r:id="rId1"/>
  <headerFooter alignWithMargins="0"/>
  <rowBreaks count="1" manualBreakCount="1">
    <brk id="63" max="9"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19"/>
  <sheetViews>
    <sheetView zoomScaleNormal="100" workbookViewId="0"/>
  </sheetViews>
  <sheetFormatPr defaultRowHeight="15" x14ac:dyDescent="0.2"/>
  <cols>
    <col min="1" max="1" width="12" customWidth="1"/>
    <col min="10" max="10" width="9" customWidth="1"/>
  </cols>
  <sheetData>
    <row r="2" spans="1:12" x14ac:dyDescent="0.2">
      <c r="E2" t="s">
        <v>0</v>
      </c>
    </row>
    <row r="3" spans="1:12" x14ac:dyDescent="0.2">
      <c r="E3" t="s">
        <v>1</v>
      </c>
    </row>
    <row r="4" spans="1:12" x14ac:dyDescent="0.2">
      <c r="E4" t="s">
        <v>2</v>
      </c>
    </row>
    <row r="5" spans="1:12" x14ac:dyDescent="0.2">
      <c r="E5" t="s">
        <v>486</v>
      </c>
    </row>
    <row r="7" spans="1:12" x14ac:dyDescent="0.2">
      <c r="B7" t="s">
        <v>81</v>
      </c>
    </row>
    <row r="8" spans="1:12" x14ac:dyDescent="0.2">
      <c r="G8" t="s">
        <v>6</v>
      </c>
      <c r="H8" t="s">
        <v>330</v>
      </c>
      <c r="I8" t="s">
        <v>6</v>
      </c>
    </row>
    <row r="9" spans="1:12" x14ac:dyDescent="0.2">
      <c r="B9" t="s">
        <v>14</v>
      </c>
      <c r="C9" t="s">
        <v>15</v>
      </c>
      <c r="D9" t="s">
        <v>16</v>
      </c>
      <c r="E9" t="s">
        <v>18</v>
      </c>
      <c r="F9" t="s">
        <v>19</v>
      </c>
      <c r="G9" t="s">
        <v>20</v>
      </c>
      <c r="H9" t="s">
        <v>331</v>
      </c>
      <c r="I9" t="s">
        <v>333</v>
      </c>
      <c r="J9" t="s">
        <v>84</v>
      </c>
    </row>
    <row r="10" spans="1:12" x14ac:dyDescent="0.2">
      <c r="A10" t="s">
        <v>9</v>
      </c>
    </row>
    <row r="11" spans="1:12" x14ac:dyDescent="0.2">
      <c r="A11" t="s">
        <v>435</v>
      </c>
      <c r="B11">
        <v>75.88</v>
      </c>
      <c r="C11">
        <v>781.25</v>
      </c>
      <c r="D11">
        <v>76.290000000000006</v>
      </c>
      <c r="E11">
        <v>16.079999999999998</v>
      </c>
      <c r="F11">
        <v>18.559999999999999</v>
      </c>
      <c r="G11">
        <v>12.37</v>
      </c>
      <c r="H11">
        <v>21.65</v>
      </c>
      <c r="I11">
        <v>28.87</v>
      </c>
      <c r="J11">
        <f t="shared" ref="J11:J22" si="0">SUM(B11:I11)</f>
        <v>1030.9499999999998</v>
      </c>
      <c r="K11">
        <f>SUM(B11:D11)</f>
        <v>933.42</v>
      </c>
      <c r="L11">
        <f>SUM(B11:H11)</f>
        <v>1002.0799999999999</v>
      </c>
    </row>
    <row r="12" spans="1:12" x14ac:dyDescent="0.2">
      <c r="A12" t="s">
        <v>72</v>
      </c>
      <c r="B12">
        <v>74.08</v>
      </c>
      <c r="C12">
        <v>762.76</v>
      </c>
      <c r="D12">
        <v>74.48</v>
      </c>
      <c r="E12">
        <v>15.7</v>
      </c>
      <c r="F12">
        <v>18.12</v>
      </c>
      <c r="G12">
        <v>12.08</v>
      </c>
      <c r="H12">
        <v>21.14</v>
      </c>
      <c r="I12">
        <v>28.18</v>
      </c>
      <c r="J12">
        <f t="shared" si="0"/>
        <v>1006.5400000000001</v>
      </c>
      <c r="K12">
        <f t="shared" ref="K12:K22" si="1">SUM(B12:D12)</f>
        <v>911.32</v>
      </c>
      <c r="L12">
        <f t="shared" ref="L12:L22" si="2">SUM(B12:H12)</f>
        <v>978.36000000000013</v>
      </c>
    </row>
    <row r="13" spans="1:12" x14ac:dyDescent="0.2">
      <c r="A13" t="s">
        <v>34</v>
      </c>
      <c r="B13">
        <v>83.32</v>
      </c>
      <c r="C13">
        <v>857.92</v>
      </c>
      <c r="D13">
        <v>83.78</v>
      </c>
      <c r="E13">
        <v>17.66</v>
      </c>
      <c r="F13">
        <v>20.38</v>
      </c>
      <c r="G13">
        <v>13.59</v>
      </c>
      <c r="H13">
        <v>23.77</v>
      </c>
      <c r="I13">
        <v>31.7</v>
      </c>
      <c r="J13">
        <f t="shared" si="0"/>
        <v>1132.1200000000001</v>
      </c>
      <c r="K13">
        <f t="shared" si="1"/>
        <v>1025.02</v>
      </c>
      <c r="L13">
        <f t="shared" si="2"/>
        <v>1100.42</v>
      </c>
    </row>
    <row r="14" spans="1:12" x14ac:dyDescent="0.2">
      <c r="A14" t="s">
        <v>35</v>
      </c>
      <c r="B14">
        <v>86.81</v>
      </c>
      <c r="C14">
        <v>893.86</v>
      </c>
      <c r="D14">
        <v>87.29</v>
      </c>
      <c r="E14">
        <v>18.399999999999999</v>
      </c>
      <c r="F14">
        <v>21.23</v>
      </c>
      <c r="G14">
        <v>14.15</v>
      </c>
      <c r="H14">
        <v>24.77</v>
      </c>
      <c r="I14">
        <v>33.03</v>
      </c>
      <c r="J14">
        <f t="shared" si="0"/>
        <v>1179.5400000000002</v>
      </c>
      <c r="K14">
        <f t="shared" si="1"/>
        <v>1067.96</v>
      </c>
      <c r="L14">
        <f t="shared" si="2"/>
        <v>1146.5100000000002</v>
      </c>
    </row>
    <row r="15" spans="1:12" x14ac:dyDescent="0.2">
      <c r="A15" t="s">
        <v>436</v>
      </c>
      <c r="B15">
        <v>80.010000000000005</v>
      </c>
      <c r="C15">
        <v>823.82</v>
      </c>
      <c r="D15">
        <v>80.45</v>
      </c>
      <c r="E15">
        <v>16.96</v>
      </c>
      <c r="F15">
        <v>19.57</v>
      </c>
      <c r="G15">
        <v>19.45</v>
      </c>
      <c r="H15">
        <v>16.43</v>
      </c>
      <c r="I15">
        <v>30.44</v>
      </c>
      <c r="J15">
        <f t="shared" si="0"/>
        <v>1087.1300000000003</v>
      </c>
      <c r="K15">
        <f t="shared" si="1"/>
        <v>984.28000000000009</v>
      </c>
      <c r="L15">
        <f t="shared" si="2"/>
        <v>1056.6900000000003</v>
      </c>
    </row>
    <row r="16" spans="1:12" x14ac:dyDescent="0.2">
      <c r="A16" t="s">
        <v>37</v>
      </c>
      <c r="B16">
        <v>66.09</v>
      </c>
      <c r="C16">
        <v>680.47</v>
      </c>
      <c r="D16">
        <v>66.45</v>
      </c>
      <c r="E16">
        <v>14.01</v>
      </c>
      <c r="F16">
        <v>16.16</v>
      </c>
      <c r="G16">
        <v>10.78</v>
      </c>
      <c r="H16">
        <v>18.86</v>
      </c>
      <c r="I16">
        <v>25.14</v>
      </c>
      <c r="J16">
        <f t="shared" si="0"/>
        <v>897.96</v>
      </c>
      <c r="K16">
        <f t="shared" si="1"/>
        <v>813.0100000000001</v>
      </c>
      <c r="L16">
        <f t="shared" si="2"/>
        <v>872.82</v>
      </c>
    </row>
    <row r="17" spans="1:12" x14ac:dyDescent="0.2">
      <c r="A17" t="s">
        <v>329</v>
      </c>
      <c r="B17">
        <v>77.03</v>
      </c>
      <c r="C17">
        <v>793.11</v>
      </c>
      <c r="D17">
        <v>77.45</v>
      </c>
      <c r="E17">
        <v>16.329999999999998</v>
      </c>
      <c r="F17">
        <v>18.84</v>
      </c>
      <c r="G17">
        <v>12.56</v>
      </c>
      <c r="H17">
        <v>21.98</v>
      </c>
      <c r="I17">
        <v>29.3</v>
      </c>
      <c r="J17">
        <f t="shared" si="0"/>
        <v>1046.6000000000001</v>
      </c>
      <c r="K17">
        <f t="shared" si="1"/>
        <v>947.59</v>
      </c>
      <c r="L17">
        <f t="shared" si="2"/>
        <v>1017.3000000000001</v>
      </c>
    </row>
    <row r="18" spans="1:12" x14ac:dyDescent="0.2">
      <c r="A18" t="s">
        <v>95</v>
      </c>
      <c r="B18">
        <v>77.12</v>
      </c>
      <c r="C18">
        <v>793.99</v>
      </c>
      <c r="D18">
        <v>77.53</v>
      </c>
      <c r="E18">
        <v>16.350000000000001</v>
      </c>
      <c r="F18">
        <v>18.86</v>
      </c>
      <c r="G18">
        <v>12.57</v>
      </c>
      <c r="H18">
        <v>22</v>
      </c>
      <c r="I18">
        <v>29.34</v>
      </c>
      <c r="J18">
        <f t="shared" si="0"/>
        <v>1047.76</v>
      </c>
      <c r="K18">
        <f t="shared" si="1"/>
        <v>948.64</v>
      </c>
      <c r="L18">
        <f t="shared" si="2"/>
        <v>1018.4200000000001</v>
      </c>
    </row>
    <row r="19" spans="1:12" x14ac:dyDescent="0.2">
      <c r="A19" t="s">
        <v>40</v>
      </c>
      <c r="B19">
        <v>75.349999999999994</v>
      </c>
      <c r="C19">
        <v>775.77</v>
      </c>
      <c r="D19">
        <v>75.75</v>
      </c>
      <c r="E19">
        <v>15.97</v>
      </c>
      <c r="F19">
        <v>18.43</v>
      </c>
      <c r="G19">
        <v>12.28</v>
      </c>
      <c r="H19">
        <v>21.5</v>
      </c>
      <c r="I19">
        <v>28.66</v>
      </c>
      <c r="J19">
        <f t="shared" si="0"/>
        <v>1023.7099999999999</v>
      </c>
      <c r="K19">
        <f t="shared" si="1"/>
        <v>926.87</v>
      </c>
      <c r="L19">
        <f t="shared" si="2"/>
        <v>995.05</v>
      </c>
    </row>
    <row r="20" spans="1:12" x14ac:dyDescent="0.2">
      <c r="A20" t="s">
        <v>41</v>
      </c>
      <c r="B20">
        <v>78.760000000000005</v>
      </c>
      <c r="C20">
        <v>810.96</v>
      </c>
      <c r="D20">
        <v>79.19</v>
      </c>
      <c r="E20">
        <v>16.690000000000001</v>
      </c>
      <c r="F20">
        <v>19.260000000000002</v>
      </c>
      <c r="G20">
        <v>12.84</v>
      </c>
      <c r="H20">
        <v>22.47</v>
      </c>
      <c r="I20">
        <v>29.96</v>
      </c>
      <c r="J20">
        <f t="shared" si="0"/>
        <v>1070.1300000000001</v>
      </c>
      <c r="K20">
        <f t="shared" si="1"/>
        <v>968.91000000000008</v>
      </c>
      <c r="L20">
        <f t="shared" si="2"/>
        <v>1040.17</v>
      </c>
    </row>
    <row r="21" spans="1:12" x14ac:dyDescent="0.2">
      <c r="A21" t="s">
        <v>42</v>
      </c>
      <c r="B21">
        <v>75.41</v>
      </c>
      <c r="C21">
        <v>776.48</v>
      </c>
      <c r="D21">
        <v>75.819999999999993</v>
      </c>
      <c r="E21">
        <v>15.98</v>
      </c>
      <c r="F21">
        <v>18.440000000000001</v>
      </c>
      <c r="G21">
        <v>12.3</v>
      </c>
      <c r="H21">
        <v>21.52</v>
      </c>
      <c r="I21">
        <v>28.69</v>
      </c>
      <c r="J21">
        <f t="shared" si="0"/>
        <v>1024.6400000000001</v>
      </c>
      <c r="K21">
        <f t="shared" si="1"/>
        <v>927.71</v>
      </c>
      <c r="L21">
        <f t="shared" si="2"/>
        <v>995.95</v>
      </c>
    </row>
    <row r="22" spans="1:12" x14ac:dyDescent="0.2">
      <c r="A22" t="s">
        <v>43</v>
      </c>
      <c r="B22">
        <v>77.72</v>
      </c>
      <c r="C22">
        <v>800.21</v>
      </c>
      <c r="D22">
        <v>78.14</v>
      </c>
      <c r="E22">
        <v>16.47</v>
      </c>
      <c r="F22">
        <v>19</v>
      </c>
      <c r="G22">
        <v>12.67</v>
      </c>
      <c r="H22">
        <v>22.18</v>
      </c>
      <c r="I22">
        <v>29.57</v>
      </c>
      <c r="J22">
        <f t="shared" si="0"/>
        <v>1055.96</v>
      </c>
      <c r="K22">
        <f t="shared" si="1"/>
        <v>956.07</v>
      </c>
      <c r="L22">
        <f t="shared" si="2"/>
        <v>1026.3900000000001</v>
      </c>
    </row>
    <row r="23" spans="1:12" x14ac:dyDescent="0.2">
      <c r="A23" t="s">
        <v>22</v>
      </c>
      <c r="B23">
        <f t="shared" ref="B23:J23" si="3">SUM(B11:B22)</f>
        <v>927.57999999999993</v>
      </c>
      <c r="C23">
        <f t="shared" si="3"/>
        <v>9550.5999999999985</v>
      </c>
      <c r="D23">
        <f t="shared" si="3"/>
        <v>932.62</v>
      </c>
      <c r="E23">
        <f t="shared" si="3"/>
        <v>196.6</v>
      </c>
      <c r="F23">
        <f t="shared" si="3"/>
        <v>226.85000000000002</v>
      </c>
      <c r="G23">
        <f t="shared" si="3"/>
        <v>157.64000000000001</v>
      </c>
      <c r="H23">
        <f t="shared" si="3"/>
        <v>258.27</v>
      </c>
      <c r="I23">
        <f t="shared" si="3"/>
        <v>352.88</v>
      </c>
      <c r="J23">
        <f t="shared" si="3"/>
        <v>12603.039999999997</v>
      </c>
      <c r="K23">
        <f>SUM(K11:K22)</f>
        <v>11410.8</v>
      </c>
      <c r="L23">
        <f>SUM(L11:L22)</f>
        <v>12250.160000000002</v>
      </c>
    </row>
    <row r="25" spans="1:12" x14ac:dyDescent="0.2">
      <c r="A25" t="s">
        <v>117</v>
      </c>
      <c r="B25">
        <f>B23/$J$23</f>
        <v>7.3599702928817179E-2</v>
      </c>
      <c r="C25">
        <f t="shared" ref="C25:I25" si="4">C23/$J$23</f>
        <v>0.75780129238659888</v>
      </c>
      <c r="D25">
        <f t="shared" si="4"/>
        <v>7.3999606444159524E-2</v>
      </c>
      <c r="E25">
        <f t="shared" si="4"/>
        <v>1.5599410935774228E-2</v>
      </c>
      <c r="F25">
        <f t="shared" si="4"/>
        <v>1.7999625487184052E-2</v>
      </c>
      <c r="G25">
        <f t="shared" si="4"/>
        <v>1.2508093285429551E-2</v>
      </c>
      <c r="H25">
        <f t="shared" si="4"/>
        <v>2.0492674783226906E-2</v>
      </c>
      <c r="I25">
        <f t="shared" si="4"/>
        <v>2.7999593748809816E-2</v>
      </c>
    </row>
    <row r="27" spans="1:12" x14ac:dyDescent="0.2">
      <c r="A27" t="s">
        <v>86</v>
      </c>
      <c r="B27" t="s">
        <v>6</v>
      </c>
    </row>
    <row r="28" spans="1:12" x14ac:dyDescent="0.2">
      <c r="B28" t="s">
        <v>222</v>
      </c>
    </row>
    <row r="29" spans="1:12" x14ac:dyDescent="0.2">
      <c r="B29" t="s">
        <v>223</v>
      </c>
    </row>
    <row r="30" spans="1:12" x14ac:dyDescent="0.2">
      <c r="A30" t="s">
        <v>435</v>
      </c>
      <c r="B30">
        <f>100-25</f>
        <v>75</v>
      </c>
      <c r="C30">
        <v>102.93</v>
      </c>
      <c r="D30">
        <v>115.37</v>
      </c>
      <c r="E30">
        <v>1085.6099999999999</v>
      </c>
      <c r="F30">
        <v>97.9</v>
      </c>
      <c r="G30">
        <v>360</v>
      </c>
      <c r="H30">
        <v>380</v>
      </c>
      <c r="I30">
        <v>108.74</v>
      </c>
    </row>
    <row r="31" spans="1:12" x14ac:dyDescent="0.2">
      <c r="A31" t="s">
        <v>72</v>
      </c>
      <c r="B31">
        <f>92.01-25</f>
        <v>67.010000000000005</v>
      </c>
      <c r="C31">
        <v>97.5</v>
      </c>
      <c r="D31">
        <v>104.86</v>
      </c>
      <c r="E31">
        <v>1100.46</v>
      </c>
      <c r="F31">
        <v>80.08</v>
      </c>
      <c r="G31">
        <v>315.43</v>
      </c>
      <c r="H31">
        <v>363.37</v>
      </c>
      <c r="I31">
        <v>108.74</v>
      </c>
    </row>
    <row r="32" spans="1:12" x14ac:dyDescent="0.2">
      <c r="A32" t="s">
        <v>34</v>
      </c>
      <c r="B32">
        <f>101-25</f>
        <v>76</v>
      </c>
      <c r="C32">
        <v>98.18</v>
      </c>
      <c r="D32">
        <v>111.97</v>
      </c>
      <c r="E32">
        <v>1140.01</v>
      </c>
      <c r="F32">
        <v>58.02</v>
      </c>
      <c r="G32">
        <v>312.43</v>
      </c>
      <c r="H32">
        <v>330</v>
      </c>
      <c r="I32">
        <v>108.74</v>
      </c>
    </row>
    <row r="33" spans="1:10" x14ac:dyDescent="0.2">
      <c r="A33" t="s">
        <v>35</v>
      </c>
      <c r="B33">
        <f>90-25</f>
        <v>65</v>
      </c>
      <c r="C33">
        <v>96.03</v>
      </c>
      <c r="D33">
        <v>114.5</v>
      </c>
      <c r="E33">
        <v>1203.6300000000001</v>
      </c>
      <c r="F33">
        <v>84.66</v>
      </c>
      <c r="G33">
        <v>359.91</v>
      </c>
      <c r="H33">
        <v>347.34</v>
      </c>
      <c r="I33">
        <v>108.74</v>
      </c>
    </row>
    <row r="34" spans="1:10" x14ac:dyDescent="0.2">
      <c r="A34" t="s">
        <v>436</v>
      </c>
      <c r="B34">
        <f>100-25</f>
        <v>75</v>
      </c>
      <c r="C34">
        <v>99.09</v>
      </c>
      <c r="D34">
        <v>137.13999999999999</v>
      </c>
      <c r="E34">
        <v>1336.1</v>
      </c>
      <c r="F34">
        <v>93.75</v>
      </c>
      <c r="G34">
        <v>385</v>
      </c>
      <c r="H34">
        <v>389.98</v>
      </c>
      <c r="I34">
        <v>108.74</v>
      </c>
    </row>
    <row r="35" spans="1:10" x14ac:dyDescent="0.2">
      <c r="A35" t="s">
        <v>37</v>
      </c>
      <c r="B35">
        <f>110-25</f>
        <v>85</v>
      </c>
      <c r="C35">
        <v>101.35</v>
      </c>
      <c r="D35">
        <v>146.19999999999999</v>
      </c>
      <c r="E35">
        <v>1235.0999999999999</v>
      </c>
      <c r="F35">
        <v>84.82</v>
      </c>
      <c r="G35">
        <v>413.92</v>
      </c>
      <c r="H35">
        <v>404.98</v>
      </c>
      <c r="I35">
        <v>108.74</v>
      </c>
    </row>
    <row r="36" spans="1:10" x14ac:dyDescent="0.2">
      <c r="A36" t="s">
        <v>329</v>
      </c>
      <c r="B36">
        <f>105.68-25</f>
        <v>80.680000000000007</v>
      </c>
      <c r="C36">
        <v>104.43</v>
      </c>
      <c r="D36">
        <v>166.65</v>
      </c>
      <c r="E36">
        <v>1230.26</v>
      </c>
      <c r="F36">
        <v>142.27000000000001</v>
      </c>
      <c r="G36">
        <v>452.56</v>
      </c>
      <c r="H36">
        <v>405</v>
      </c>
      <c r="I36">
        <v>112.94</v>
      </c>
    </row>
    <row r="37" spans="1:10" x14ac:dyDescent="0.2">
      <c r="A37" t="s">
        <v>95</v>
      </c>
      <c r="B37">
        <f>105-25</f>
        <v>80</v>
      </c>
      <c r="C37">
        <v>101.97</v>
      </c>
      <c r="D37">
        <v>150.37</v>
      </c>
      <c r="E37">
        <v>1491.53</v>
      </c>
      <c r="F37">
        <v>156.26</v>
      </c>
      <c r="G37">
        <v>451.68</v>
      </c>
      <c r="H37">
        <v>440.44</v>
      </c>
      <c r="I37">
        <v>112.94</v>
      </c>
    </row>
    <row r="38" spans="1:10" x14ac:dyDescent="0.2">
      <c r="A38" t="s">
        <v>40</v>
      </c>
      <c r="B38">
        <f>87-25</f>
        <v>62</v>
      </c>
      <c r="C38">
        <v>107.75</v>
      </c>
      <c r="D38">
        <v>150.16999999999999</v>
      </c>
      <c r="E38">
        <v>1476.02</v>
      </c>
      <c r="F38">
        <v>151.79</v>
      </c>
      <c r="G38">
        <v>492.51</v>
      </c>
      <c r="H38">
        <v>483.15</v>
      </c>
      <c r="I38">
        <v>112.94</v>
      </c>
    </row>
    <row r="39" spans="1:10" x14ac:dyDescent="0.2">
      <c r="A39" t="s">
        <v>41</v>
      </c>
      <c r="B39">
        <f>90-25</f>
        <v>65</v>
      </c>
      <c r="C39">
        <v>90.85</v>
      </c>
      <c r="D39">
        <v>125.17</v>
      </c>
      <c r="E39">
        <v>1350.3</v>
      </c>
      <c r="F39">
        <v>132.22</v>
      </c>
      <c r="G39">
        <v>423.34</v>
      </c>
      <c r="H39">
        <v>480.11</v>
      </c>
      <c r="I39">
        <v>112.94</v>
      </c>
    </row>
    <row r="40" spans="1:10" x14ac:dyDescent="0.2">
      <c r="A40" t="s">
        <v>42</v>
      </c>
      <c r="B40">
        <f>92-25</f>
        <v>67</v>
      </c>
      <c r="C40">
        <v>93.55</v>
      </c>
      <c r="D40">
        <v>132.08000000000001</v>
      </c>
      <c r="E40">
        <v>1243.71</v>
      </c>
      <c r="F40">
        <v>129.47</v>
      </c>
      <c r="G40">
        <v>456.54</v>
      </c>
      <c r="H40">
        <v>458.5</v>
      </c>
      <c r="I40">
        <v>112.94</v>
      </c>
    </row>
    <row r="41" spans="1:10" x14ac:dyDescent="0.2">
      <c r="A41" t="s">
        <v>43</v>
      </c>
      <c r="B41">
        <f>109-25</f>
        <v>84</v>
      </c>
      <c r="C41">
        <v>95.69</v>
      </c>
      <c r="D41">
        <v>149.65</v>
      </c>
      <c r="E41">
        <v>1323.34</v>
      </c>
      <c r="F41">
        <v>138.37</v>
      </c>
      <c r="G41">
        <v>486.41</v>
      </c>
      <c r="H41">
        <v>371.7</v>
      </c>
      <c r="I41">
        <v>112.94</v>
      </c>
    </row>
    <row r="43" spans="1:10" x14ac:dyDescent="0.2">
      <c r="A43" t="s">
        <v>24</v>
      </c>
      <c r="C43" t="s">
        <v>6</v>
      </c>
      <c r="G43" t="s">
        <v>6</v>
      </c>
      <c r="H43" t="s">
        <v>330</v>
      </c>
      <c r="I43" t="s">
        <v>6</v>
      </c>
    </row>
    <row r="44" spans="1:10" x14ac:dyDescent="0.2">
      <c r="B44" t="s">
        <v>14</v>
      </c>
      <c r="C44" t="s">
        <v>15</v>
      </c>
      <c r="D44" t="s">
        <v>16</v>
      </c>
      <c r="E44" t="s">
        <v>18</v>
      </c>
      <c r="F44" t="s">
        <v>19</v>
      </c>
      <c r="G44" t="s">
        <v>20</v>
      </c>
      <c r="H44" t="s">
        <v>331</v>
      </c>
      <c r="I44" t="s">
        <v>333</v>
      </c>
      <c r="J44" t="s">
        <v>84</v>
      </c>
    </row>
    <row r="46" spans="1:10" x14ac:dyDescent="0.2">
      <c r="A46" t="s">
        <v>435</v>
      </c>
      <c r="B46">
        <f t="shared" ref="B46:H57" si="5">+B11*B30</f>
        <v>5691</v>
      </c>
      <c r="C46">
        <f t="shared" si="5"/>
        <v>80414.0625</v>
      </c>
      <c r="D46">
        <f t="shared" si="5"/>
        <v>8801.5773000000008</v>
      </c>
      <c r="E46">
        <f t="shared" si="5"/>
        <v>17456.608799999998</v>
      </c>
      <c r="F46">
        <f t="shared" si="5"/>
        <v>1817.0239999999999</v>
      </c>
      <c r="G46">
        <f t="shared" si="5"/>
        <v>4453.2</v>
      </c>
      <c r="H46">
        <f t="shared" si="5"/>
        <v>8227</v>
      </c>
      <c r="I46">
        <f t="shared" ref="I46:I57" si="6">+I11*-I30</f>
        <v>-3139.3238000000001</v>
      </c>
      <c r="J46">
        <f>SUM(B46:I46)</f>
        <v>123721.14880000001</v>
      </c>
    </row>
    <row r="47" spans="1:10" x14ac:dyDescent="0.2">
      <c r="A47" t="s">
        <v>72</v>
      </c>
      <c r="B47">
        <f t="shared" si="5"/>
        <v>4964.1008000000002</v>
      </c>
      <c r="C47">
        <f t="shared" si="5"/>
        <v>74369.100000000006</v>
      </c>
      <c r="D47">
        <f t="shared" si="5"/>
        <v>7809.9728000000005</v>
      </c>
      <c r="E47">
        <f t="shared" si="5"/>
        <v>17277.222000000002</v>
      </c>
      <c r="F47">
        <f t="shared" si="5"/>
        <v>1451.0496000000001</v>
      </c>
      <c r="G47">
        <f t="shared" si="5"/>
        <v>3810.3944000000001</v>
      </c>
      <c r="H47">
        <f t="shared" si="5"/>
        <v>7681.6418000000003</v>
      </c>
      <c r="I47">
        <f t="shared" si="6"/>
        <v>-3064.2931999999996</v>
      </c>
      <c r="J47">
        <f t="shared" ref="J47:J57" si="7">SUM(B47:I47)</f>
        <v>114299.18820000002</v>
      </c>
    </row>
    <row r="48" spans="1:10" x14ac:dyDescent="0.2">
      <c r="A48" t="s">
        <v>34</v>
      </c>
      <c r="B48">
        <f t="shared" si="5"/>
        <v>6332.32</v>
      </c>
      <c r="C48">
        <f t="shared" si="5"/>
        <v>84230.585600000006</v>
      </c>
      <c r="D48">
        <f t="shared" si="5"/>
        <v>9380.8466000000008</v>
      </c>
      <c r="E48">
        <f t="shared" si="5"/>
        <v>20132.5766</v>
      </c>
      <c r="F48">
        <f t="shared" si="5"/>
        <v>1182.4476</v>
      </c>
      <c r="G48">
        <f t="shared" si="5"/>
        <v>4245.9237000000003</v>
      </c>
      <c r="H48">
        <f t="shared" si="5"/>
        <v>7844.0999999999995</v>
      </c>
      <c r="I48">
        <f t="shared" si="6"/>
        <v>-3447.0579999999995</v>
      </c>
      <c r="J48">
        <f t="shared" si="7"/>
        <v>129901.74209999999</v>
      </c>
    </row>
    <row r="49" spans="1:10" x14ac:dyDescent="0.2">
      <c r="A49" t="s">
        <v>35</v>
      </c>
      <c r="B49">
        <f t="shared" si="5"/>
        <v>5642.6500000000005</v>
      </c>
      <c r="C49">
        <f t="shared" si="5"/>
        <v>85837.375800000009</v>
      </c>
      <c r="D49">
        <f t="shared" si="5"/>
        <v>9994.7049999999999</v>
      </c>
      <c r="E49">
        <f t="shared" si="5"/>
        <v>22146.792000000001</v>
      </c>
      <c r="F49">
        <f t="shared" si="5"/>
        <v>1797.3317999999999</v>
      </c>
      <c r="G49">
        <f t="shared" si="5"/>
        <v>5092.7265000000007</v>
      </c>
      <c r="H49">
        <f t="shared" si="5"/>
        <v>8603.6117999999988</v>
      </c>
      <c r="I49">
        <f t="shared" si="6"/>
        <v>-3591.6821999999997</v>
      </c>
      <c r="J49">
        <f t="shared" si="7"/>
        <v>135523.51070000001</v>
      </c>
    </row>
    <row r="50" spans="1:10" x14ac:dyDescent="0.2">
      <c r="A50" t="s">
        <v>436</v>
      </c>
      <c r="B50">
        <f t="shared" si="5"/>
        <v>6000.75</v>
      </c>
      <c r="C50">
        <f t="shared" si="5"/>
        <v>81632.323800000013</v>
      </c>
      <c r="D50">
        <f t="shared" si="5"/>
        <v>11032.912999999999</v>
      </c>
      <c r="E50">
        <f t="shared" si="5"/>
        <v>22660.256000000001</v>
      </c>
      <c r="F50">
        <f t="shared" si="5"/>
        <v>1834.6875</v>
      </c>
      <c r="G50">
        <f t="shared" si="5"/>
        <v>7488.25</v>
      </c>
      <c r="H50">
        <f t="shared" si="5"/>
        <v>6407.3714</v>
      </c>
      <c r="I50">
        <f t="shared" si="6"/>
        <v>-3310.0455999999999</v>
      </c>
      <c r="J50">
        <f t="shared" si="7"/>
        <v>133746.5061</v>
      </c>
    </row>
    <row r="51" spans="1:10" x14ac:dyDescent="0.2">
      <c r="A51" t="s">
        <v>37</v>
      </c>
      <c r="B51">
        <f t="shared" si="5"/>
        <v>5617.6500000000005</v>
      </c>
      <c r="C51">
        <f t="shared" si="5"/>
        <v>68965.6345</v>
      </c>
      <c r="D51">
        <f t="shared" si="5"/>
        <v>9714.99</v>
      </c>
      <c r="E51">
        <f t="shared" si="5"/>
        <v>17303.751</v>
      </c>
      <c r="F51">
        <f t="shared" si="5"/>
        <v>1370.6912</v>
      </c>
      <c r="G51">
        <f t="shared" si="5"/>
        <v>4462.0576000000001</v>
      </c>
      <c r="H51">
        <f t="shared" si="5"/>
        <v>7637.9228000000003</v>
      </c>
      <c r="I51">
        <f t="shared" si="6"/>
        <v>-2733.7235999999998</v>
      </c>
      <c r="J51">
        <f t="shared" si="7"/>
        <v>112338.97350000001</v>
      </c>
    </row>
    <row r="52" spans="1:10" x14ac:dyDescent="0.2">
      <c r="A52" t="s">
        <v>329</v>
      </c>
      <c r="B52">
        <f t="shared" si="5"/>
        <v>6214.7804000000006</v>
      </c>
      <c r="C52">
        <f t="shared" si="5"/>
        <v>82824.477300000013</v>
      </c>
      <c r="D52">
        <f t="shared" si="5"/>
        <v>12907.042500000001</v>
      </c>
      <c r="E52">
        <f t="shared" si="5"/>
        <v>20090.145799999998</v>
      </c>
      <c r="F52">
        <f t="shared" si="5"/>
        <v>2680.3668000000002</v>
      </c>
      <c r="G52">
        <f t="shared" si="5"/>
        <v>5684.1536000000006</v>
      </c>
      <c r="H52">
        <f t="shared" si="5"/>
        <v>8901.9</v>
      </c>
      <c r="I52">
        <f t="shared" si="6"/>
        <v>-3309.1419999999998</v>
      </c>
      <c r="J52">
        <f t="shared" si="7"/>
        <v>135993.72440000004</v>
      </c>
    </row>
    <row r="53" spans="1:10" x14ac:dyDescent="0.2">
      <c r="A53" t="s">
        <v>95</v>
      </c>
      <c r="B53">
        <f t="shared" si="5"/>
        <v>6169.6</v>
      </c>
      <c r="C53">
        <f t="shared" si="5"/>
        <v>80963.160300000003</v>
      </c>
      <c r="D53">
        <f t="shared" si="5"/>
        <v>11658.186100000001</v>
      </c>
      <c r="E53">
        <f t="shared" si="5"/>
        <v>24386.515500000001</v>
      </c>
      <c r="F53">
        <f t="shared" si="5"/>
        <v>2947.0636</v>
      </c>
      <c r="G53">
        <f t="shared" si="5"/>
        <v>5677.6176000000005</v>
      </c>
      <c r="H53">
        <f t="shared" si="5"/>
        <v>9689.68</v>
      </c>
      <c r="I53">
        <f t="shared" si="6"/>
        <v>-3313.6596</v>
      </c>
      <c r="J53">
        <f t="shared" si="7"/>
        <v>138178.1635</v>
      </c>
    </row>
    <row r="54" spans="1:10" x14ac:dyDescent="0.2">
      <c r="A54" t="s">
        <v>40</v>
      </c>
      <c r="B54">
        <f t="shared" si="5"/>
        <v>4671.7</v>
      </c>
      <c r="C54">
        <f t="shared" si="5"/>
        <v>83589.217499999999</v>
      </c>
      <c r="D54">
        <f t="shared" si="5"/>
        <v>11375.377499999999</v>
      </c>
      <c r="E54">
        <f t="shared" si="5"/>
        <v>23572.039400000001</v>
      </c>
      <c r="F54">
        <f t="shared" si="5"/>
        <v>2797.4896999999996</v>
      </c>
      <c r="G54">
        <f t="shared" si="5"/>
        <v>6048.0227999999997</v>
      </c>
      <c r="H54">
        <f t="shared" si="5"/>
        <v>10387.725</v>
      </c>
      <c r="I54">
        <f t="shared" si="6"/>
        <v>-3236.8604</v>
      </c>
      <c r="J54">
        <f t="shared" si="7"/>
        <v>139204.7115</v>
      </c>
    </row>
    <row r="55" spans="1:10" x14ac:dyDescent="0.2">
      <c r="A55" t="s">
        <v>41</v>
      </c>
      <c r="B55">
        <f t="shared" si="5"/>
        <v>5119.4000000000005</v>
      </c>
      <c r="C55">
        <f t="shared" si="5"/>
        <v>73675.716</v>
      </c>
      <c r="D55">
        <f t="shared" si="5"/>
        <v>9912.2122999999992</v>
      </c>
      <c r="E55">
        <f t="shared" si="5"/>
        <v>22536.507000000001</v>
      </c>
      <c r="F55">
        <f t="shared" si="5"/>
        <v>2546.5572000000002</v>
      </c>
      <c r="G55">
        <f t="shared" si="5"/>
        <v>5435.6855999999998</v>
      </c>
      <c r="H55">
        <f t="shared" si="5"/>
        <v>10788.0717</v>
      </c>
      <c r="I55">
        <f t="shared" si="6"/>
        <v>-3383.6824000000001</v>
      </c>
      <c r="J55">
        <f t="shared" si="7"/>
        <v>126630.46739999998</v>
      </c>
    </row>
    <row r="56" spans="1:10" x14ac:dyDescent="0.2">
      <c r="A56" t="s">
        <v>42</v>
      </c>
      <c r="B56">
        <f t="shared" si="5"/>
        <v>5052.4699999999993</v>
      </c>
      <c r="C56">
        <f t="shared" si="5"/>
        <v>72639.703999999998</v>
      </c>
      <c r="D56">
        <f t="shared" si="5"/>
        <v>10014.3056</v>
      </c>
      <c r="E56">
        <f t="shared" si="5"/>
        <v>19874.485800000002</v>
      </c>
      <c r="F56">
        <f t="shared" si="5"/>
        <v>2387.4268000000002</v>
      </c>
      <c r="G56">
        <f t="shared" si="5"/>
        <v>5615.4420000000009</v>
      </c>
      <c r="H56">
        <f t="shared" si="5"/>
        <v>9866.92</v>
      </c>
      <c r="I56">
        <f t="shared" si="6"/>
        <v>-3240.2485999999999</v>
      </c>
      <c r="J56">
        <f t="shared" si="7"/>
        <v>122210.50559999997</v>
      </c>
    </row>
    <row r="57" spans="1:10" x14ac:dyDescent="0.2">
      <c r="A57" t="s">
        <v>43</v>
      </c>
      <c r="B57">
        <f t="shared" si="5"/>
        <v>6528.48</v>
      </c>
      <c r="C57">
        <f t="shared" si="5"/>
        <v>76572.094899999996</v>
      </c>
      <c r="D57">
        <f t="shared" si="5"/>
        <v>11693.651</v>
      </c>
      <c r="E57">
        <f t="shared" si="5"/>
        <v>21795.409799999998</v>
      </c>
      <c r="F57">
        <f t="shared" si="5"/>
        <v>2629.03</v>
      </c>
      <c r="G57">
        <f t="shared" si="5"/>
        <v>6162.8146999999999</v>
      </c>
      <c r="H57">
        <f t="shared" si="5"/>
        <v>8244.3060000000005</v>
      </c>
      <c r="I57">
        <f t="shared" si="6"/>
        <v>-3339.6358</v>
      </c>
      <c r="J57">
        <f t="shared" si="7"/>
        <v>130286.15059999998</v>
      </c>
    </row>
    <row r="58" spans="1:10" x14ac:dyDescent="0.2">
      <c r="A58" t="s">
        <v>88</v>
      </c>
      <c r="B58">
        <f>SUM(B46:B57)</f>
        <v>68004.901200000008</v>
      </c>
      <c r="C58">
        <f t="shared" ref="C58:H58" si="8">SUM(C46:C57)</f>
        <v>945713.45220000006</v>
      </c>
      <c r="D58">
        <f t="shared" si="8"/>
        <v>124295.7797</v>
      </c>
      <c r="E58">
        <f t="shared" si="8"/>
        <v>249232.30970000004</v>
      </c>
      <c r="F58">
        <f t="shared" si="8"/>
        <v>25441.165799999995</v>
      </c>
      <c r="G58">
        <f t="shared" si="8"/>
        <v>64176.288500000002</v>
      </c>
      <c r="H58">
        <f t="shared" si="8"/>
        <v>104280.25049999999</v>
      </c>
      <c r="I58">
        <f>SUM(I46:I57)</f>
        <v>-39109.355200000005</v>
      </c>
      <c r="J58">
        <f>SUM(J46:J57)</f>
        <v>1542034.7924000002</v>
      </c>
    </row>
    <row r="60" spans="1:10" x14ac:dyDescent="0.2">
      <c r="A60" t="s">
        <v>89</v>
      </c>
    </row>
    <row r="61" spans="1:10" x14ac:dyDescent="0.2">
      <c r="J61" t="s">
        <v>6</v>
      </c>
    </row>
    <row r="62" spans="1:10" x14ac:dyDescent="0.2">
      <c r="J62" t="s">
        <v>6</v>
      </c>
    </row>
    <row r="63" spans="1:10" x14ac:dyDescent="0.2">
      <c r="F63" t="s">
        <v>0</v>
      </c>
    </row>
    <row r="64" spans="1:10" x14ac:dyDescent="0.2">
      <c r="F64" t="s">
        <v>1</v>
      </c>
    </row>
    <row r="65" spans="1:10" x14ac:dyDescent="0.2">
      <c r="F65" t="s">
        <v>378</v>
      </c>
    </row>
    <row r="66" spans="1:10" x14ac:dyDescent="0.2">
      <c r="F66" t="s">
        <v>437</v>
      </c>
    </row>
    <row r="68" spans="1:10" x14ac:dyDescent="0.2">
      <c r="B68" t="s">
        <v>81</v>
      </c>
    </row>
    <row r="69" spans="1:10" x14ac:dyDescent="0.2">
      <c r="G69" t="s">
        <v>6</v>
      </c>
      <c r="H69" t="s">
        <v>330</v>
      </c>
      <c r="I69" t="s">
        <v>6</v>
      </c>
    </row>
    <row r="70" spans="1:10" x14ac:dyDescent="0.2">
      <c r="A70" t="s">
        <v>9</v>
      </c>
      <c r="B70" t="s">
        <v>14</v>
      </c>
      <c r="C70" t="s">
        <v>15</v>
      </c>
      <c r="D70" t="s">
        <v>16</v>
      </c>
      <c r="E70" t="s">
        <v>18</v>
      </c>
      <c r="F70" t="s">
        <v>19</v>
      </c>
      <c r="G70" t="s">
        <v>20</v>
      </c>
      <c r="H70" t="s">
        <v>331</v>
      </c>
      <c r="I70" t="s">
        <v>333</v>
      </c>
      <c r="J70" t="s">
        <v>84</v>
      </c>
    </row>
    <row r="72" spans="1:10" x14ac:dyDescent="0.2">
      <c r="A72" t="s">
        <v>435</v>
      </c>
      <c r="B72">
        <v>3.38</v>
      </c>
      <c r="C72">
        <v>48.22</v>
      </c>
      <c r="D72">
        <v>10.65</v>
      </c>
      <c r="E72">
        <f>1.25-F72</f>
        <v>0.5</v>
      </c>
      <c r="F72">
        <f>1.25*0.6</f>
        <v>0.75</v>
      </c>
      <c r="G72">
        <f>0.65*0.5</f>
        <v>0.32500000000000001</v>
      </c>
      <c r="H72">
        <v>0.32</v>
      </c>
      <c r="I72">
        <v>8.66</v>
      </c>
      <c r="J72">
        <f>SUM(B72:I72)</f>
        <v>72.804999999999993</v>
      </c>
    </row>
    <row r="73" spans="1:10" x14ac:dyDescent="0.2">
      <c r="A73" t="s">
        <v>72</v>
      </c>
      <c r="B73">
        <v>3.33</v>
      </c>
      <c r="C73">
        <v>51.12</v>
      </c>
      <c r="D73">
        <v>11.99</v>
      </c>
      <c r="E73">
        <f>1.33-F73</f>
        <v>0.53200000000000003</v>
      </c>
      <c r="F73">
        <f>1.33*0.6</f>
        <v>0.79800000000000004</v>
      </c>
      <c r="G73">
        <f>0.69/2</f>
        <v>0.34499999999999997</v>
      </c>
      <c r="H73">
        <v>0.34</v>
      </c>
      <c r="I73">
        <v>9.2100000000000009</v>
      </c>
      <c r="J73">
        <f t="shared" ref="J73:J83" si="9">SUM(B73:I73)</f>
        <v>77.664999999999992</v>
      </c>
    </row>
    <row r="74" spans="1:10" x14ac:dyDescent="0.2">
      <c r="A74" t="s">
        <v>34</v>
      </c>
      <c r="B74">
        <v>3.23</v>
      </c>
      <c r="C74">
        <v>48.66</v>
      </c>
      <c r="D74">
        <v>10.26</v>
      </c>
      <c r="E74">
        <f>1.19-F74</f>
        <v>0.47599999999999998</v>
      </c>
      <c r="F74">
        <f>1.19*0.6</f>
        <v>0.71399999999999997</v>
      </c>
      <c r="G74">
        <v>0.31</v>
      </c>
      <c r="H74">
        <v>0.3</v>
      </c>
      <c r="I74">
        <v>8.19</v>
      </c>
      <c r="J74">
        <f t="shared" si="9"/>
        <v>72.139999999999986</v>
      </c>
    </row>
    <row r="75" spans="1:10" x14ac:dyDescent="0.2">
      <c r="A75" t="s">
        <v>35</v>
      </c>
      <c r="B75">
        <v>3.48</v>
      </c>
      <c r="C75">
        <v>52.08</v>
      </c>
      <c r="D75">
        <v>11.24</v>
      </c>
      <c r="E75">
        <f>1.28-F75</f>
        <v>0.51200000000000001</v>
      </c>
      <c r="F75">
        <f>1.28*0.6</f>
        <v>0.76800000000000002</v>
      </c>
      <c r="G75">
        <v>0.32</v>
      </c>
      <c r="H75">
        <v>0.32</v>
      </c>
      <c r="I75">
        <v>8.9700000000000006</v>
      </c>
      <c r="J75">
        <f t="shared" si="9"/>
        <v>77.689999999999984</v>
      </c>
    </row>
    <row r="76" spans="1:10" x14ac:dyDescent="0.2">
      <c r="A76" t="s">
        <v>436</v>
      </c>
      <c r="B76">
        <v>3.28</v>
      </c>
      <c r="C76">
        <v>49.08</v>
      </c>
      <c r="D76">
        <v>10.210000000000001</v>
      </c>
      <c r="E76">
        <f>1.18-F76</f>
        <v>0.47199999999999998</v>
      </c>
      <c r="F76">
        <f>1.18*0.6</f>
        <v>0.70799999999999996</v>
      </c>
      <c r="G76">
        <f>0.32</f>
        <v>0.32</v>
      </c>
      <c r="H76">
        <v>0.32</v>
      </c>
      <c r="I76">
        <v>8.19</v>
      </c>
      <c r="J76">
        <f t="shared" si="9"/>
        <v>72.579999999999984</v>
      </c>
    </row>
    <row r="77" spans="1:10" x14ac:dyDescent="0.2">
      <c r="A77" t="s">
        <v>37</v>
      </c>
      <c r="B77">
        <v>3.38</v>
      </c>
      <c r="C77">
        <v>48.22</v>
      </c>
      <c r="D77">
        <v>10.65</v>
      </c>
      <c r="E77">
        <f>1.25-F77</f>
        <v>0.5</v>
      </c>
      <c r="F77">
        <f>1.25*0.6</f>
        <v>0.75</v>
      </c>
      <c r="G77">
        <v>0.32</v>
      </c>
      <c r="H77">
        <v>0.33</v>
      </c>
      <c r="I77">
        <v>8.66</v>
      </c>
      <c r="J77">
        <f t="shared" si="9"/>
        <v>72.81</v>
      </c>
    </row>
    <row r="78" spans="1:10" x14ac:dyDescent="0.2">
      <c r="A78" t="s">
        <v>329</v>
      </c>
      <c r="B78">
        <v>3.58</v>
      </c>
      <c r="C78">
        <v>54.23</v>
      </c>
      <c r="D78">
        <v>11.38</v>
      </c>
      <c r="E78">
        <v>0.59</v>
      </c>
      <c r="F78">
        <v>0.63</v>
      </c>
      <c r="G78">
        <v>0.34</v>
      </c>
      <c r="H78">
        <v>0.34</v>
      </c>
      <c r="I78">
        <v>8.6999999999999993</v>
      </c>
      <c r="J78">
        <f t="shared" si="9"/>
        <v>79.790000000000006</v>
      </c>
    </row>
    <row r="79" spans="1:10" x14ac:dyDescent="0.2">
      <c r="A79" t="s">
        <v>95</v>
      </c>
      <c r="B79">
        <v>3.78</v>
      </c>
      <c r="C79">
        <v>54.03</v>
      </c>
      <c r="D79">
        <v>10.98</v>
      </c>
      <c r="E79">
        <v>0.54</v>
      </c>
      <c r="F79">
        <v>0.67</v>
      </c>
      <c r="G79">
        <v>0.35</v>
      </c>
      <c r="H79">
        <v>0.3</v>
      </c>
      <c r="I79">
        <v>8.32</v>
      </c>
      <c r="J79">
        <f t="shared" si="9"/>
        <v>78.97</v>
      </c>
    </row>
    <row r="80" spans="1:10" x14ac:dyDescent="0.2">
      <c r="A80" t="s">
        <v>40</v>
      </c>
      <c r="B80">
        <v>3.82</v>
      </c>
      <c r="C80">
        <v>54.03</v>
      </c>
      <c r="D80">
        <v>10.98</v>
      </c>
      <c r="E80">
        <v>0.54</v>
      </c>
      <c r="F80">
        <v>0.67</v>
      </c>
      <c r="G80">
        <v>0.35</v>
      </c>
      <c r="H80">
        <v>0.31</v>
      </c>
      <c r="I80">
        <v>7.95</v>
      </c>
      <c r="J80">
        <f t="shared" si="9"/>
        <v>78.650000000000006</v>
      </c>
    </row>
    <row r="81" spans="1:10" x14ac:dyDescent="0.2">
      <c r="A81" t="s">
        <v>41</v>
      </c>
      <c r="B81">
        <v>3.92</v>
      </c>
      <c r="C81">
        <v>56.03</v>
      </c>
      <c r="D81">
        <v>11.48</v>
      </c>
      <c r="E81">
        <v>0.6</v>
      </c>
      <c r="F81">
        <v>0.72</v>
      </c>
      <c r="G81">
        <v>0.41</v>
      </c>
      <c r="H81">
        <v>0.34</v>
      </c>
      <c r="I81">
        <v>8.33</v>
      </c>
      <c r="J81">
        <f t="shared" si="9"/>
        <v>81.83</v>
      </c>
    </row>
    <row r="82" spans="1:10" x14ac:dyDescent="0.2">
      <c r="A82" t="s">
        <v>42</v>
      </c>
      <c r="B82">
        <v>3.89</v>
      </c>
      <c r="C82">
        <v>56.8</v>
      </c>
      <c r="D82">
        <v>11.48</v>
      </c>
      <c r="E82">
        <v>0.69</v>
      </c>
      <c r="F82">
        <v>0.73</v>
      </c>
      <c r="G82">
        <v>0.4</v>
      </c>
      <c r="H82">
        <v>0.32</v>
      </c>
      <c r="I82">
        <v>8.43</v>
      </c>
      <c r="J82">
        <f t="shared" si="9"/>
        <v>82.740000000000009</v>
      </c>
    </row>
    <row r="83" spans="1:10" x14ac:dyDescent="0.2">
      <c r="A83" t="s">
        <v>43</v>
      </c>
      <c r="B83">
        <v>3.86</v>
      </c>
      <c r="C83">
        <v>56.1</v>
      </c>
      <c r="D83">
        <v>11.48</v>
      </c>
      <c r="E83">
        <v>0.67</v>
      </c>
      <c r="F83">
        <v>0.7</v>
      </c>
      <c r="G83">
        <v>0.44</v>
      </c>
      <c r="H83">
        <v>0.32</v>
      </c>
      <c r="I83">
        <v>8.57</v>
      </c>
      <c r="J83">
        <f t="shared" si="9"/>
        <v>82.139999999999986</v>
      </c>
    </row>
    <row r="84" spans="1:10" x14ac:dyDescent="0.2">
      <c r="A84" t="s">
        <v>22</v>
      </c>
      <c r="B84">
        <f>SUM(B72:B83)</f>
        <v>42.93</v>
      </c>
      <c r="C84">
        <f t="shared" ref="C84:H84" si="10">SUM(C72:C83)</f>
        <v>628.59999999999991</v>
      </c>
      <c r="D84">
        <f t="shared" si="10"/>
        <v>132.78</v>
      </c>
      <c r="E84">
        <f t="shared" si="10"/>
        <v>6.6219999999999999</v>
      </c>
      <c r="F84">
        <f t="shared" si="10"/>
        <v>8.6079999999999988</v>
      </c>
      <c r="G84">
        <f t="shared" si="10"/>
        <v>4.2300000000000004</v>
      </c>
      <c r="H84">
        <f t="shared" si="10"/>
        <v>3.8599999999999994</v>
      </c>
      <c r="I84">
        <f>SUM(I72:I83)</f>
        <v>102.18</v>
      </c>
      <c r="J84">
        <f>SUM(J72:J83)</f>
        <v>929.81</v>
      </c>
    </row>
    <row r="86" spans="1:10" x14ac:dyDescent="0.2">
      <c r="A86" t="s">
        <v>117</v>
      </c>
      <c r="B86">
        <f>B84/$J$84</f>
        <v>4.6170723050945897E-2</v>
      </c>
      <c r="C86">
        <f t="shared" ref="C86:J86" si="11">C84/$J$84</f>
        <v>0.67605209666490995</v>
      </c>
      <c r="D86">
        <f t="shared" si="11"/>
        <v>0.14280336843010938</v>
      </c>
      <c r="E86">
        <f t="shared" si="11"/>
        <v>7.1218851163140856E-3</v>
      </c>
      <c r="F86">
        <f t="shared" si="11"/>
        <v>9.2578053580839089E-3</v>
      </c>
      <c r="G86">
        <f t="shared" si="11"/>
        <v>4.549316527032405E-3</v>
      </c>
      <c r="H86">
        <f t="shared" si="11"/>
        <v>4.1513857669846525E-3</v>
      </c>
      <c r="I86">
        <f t="shared" si="11"/>
        <v>0.10989341908561966</v>
      </c>
      <c r="J86">
        <f t="shared" si="11"/>
        <v>1</v>
      </c>
    </row>
    <row r="88" spans="1:10" x14ac:dyDescent="0.2">
      <c r="A88" t="s">
        <v>86</v>
      </c>
    </row>
    <row r="89" spans="1:10" x14ac:dyDescent="0.2">
      <c r="B89" t="s">
        <v>222</v>
      </c>
    </row>
    <row r="90" spans="1:10" x14ac:dyDescent="0.2">
      <c r="B90" t="s">
        <v>223</v>
      </c>
    </row>
    <row r="91" spans="1:10" x14ac:dyDescent="0.2">
      <c r="A91" t="s">
        <v>435</v>
      </c>
      <c r="B91">
        <f t="shared" ref="B91:B102" si="12">B30</f>
        <v>75</v>
      </c>
      <c r="C91">
        <f t="shared" ref="C91:I97" si="13">C30</f>
        <v>102.93</v>
      </c>
      <c r="D91">
        <f t="shared" si="13"/>
        <v>115.37</v>
      </c>
      <c r="E91">
        <f t="shared" si="13"/>
        <v>1085.6099999999999</v>
      </c>
      <c r="F91">
        <f t="shared" si="13"/>
        <v>97.9</v>
      </c>
      <c r="G91">
        <f t="shared" si="13"/>
        <v>360</v>
      </c>
      <c r="H91">
        <f t="shared" si="13"/>
        <v>380</v>
      </c>
      <c r="I91">
        <v>108.74</v>
      </c>
    </row>
    <row r="92" spans="1:10" x14ac:dyDescent="0.2">
      <c r="A92" t="s">
        <v>72</v>
      </c>
      <c r="B92">
        <f t="shared" si="12"/>
        <v>67.010000000000005</v>
      </c>
      <c r="C92">
        <f t="shared" si="13"/>
        <v>97.5</v>
      </c>
      <c r="D92">
        <f t="shared" si="13"/>
        <v>104.86</v>
      </c>
      <c r="E92">
        <f t="shared" si="13"/>
        <v>1100.46</v>
      </c>
      <c r="F92">
        <f t="shared" si="13"/>
        <v>80.08</v>
      </c>
      <c r="G92">
        <f t="shared" si="13"/>
        <v>315.43</v>
      </c>
      <c r="H92">
        <f t="shared" si="13"/>
        <v>363.37</v>
      </c>
      <c r="I92">
        <v>108.74</v>
      </c>
    </row>
    <row r="93" spans="1:10" x14ac:dyDescent="0.2">
      <c r="A93" t="s">
        <v>34</v>
      </c>
      <c r="B93">
        <f t="shared" si="12"/>
        <v>76</v>
      </c>
      <c r="C93">
        <f t="shared" si="13"/>
        <v>98.18</v>
      </c>
      <c r="D93">
        <f t="shared" si="13"/>
        <v>111.97</v>
      </c>
      <c r="E93">
        <f t="shared" si="13"/>
        <v>1140.01</v>
      </c>
      <c r="F93">
        <f t="shared" si="13"/>
        <v>58.02</v>
      </c>
      <c r="G93">
        <f t="shared" si="13"/>
        <v>312.43</v>
      </c>
      <c r="H93">
        <f t="shared" si="13"/>
        <v>330</v>
      </c>
      <c r="I93">
        <v>108.74</v>
      </c>
    </row>
    <row r="94" spans="1:10" x14ac:dyDescent="0.2">
      <c r="A94" t="s">
        <v>35</v>
      </c>
      <c r="B94">
        <f t="shared" si="12"/>
        <v>65</v>
      </c>
      <c r="C94">
        <f t="shared" si="13"/>
        <v>96.03</v>
      </c>
      <c r="D94">
        <f t="shared" si="13"/>
        <v>114.5</v>
      </c>
      <c r="E94">
        <f t="shared" si="13"/>
        <v>1203.6300000000001</v>
      </c>
      <c r="F94">
        <f t="shared" si="13"/>
        <v>84.66</v>
      </c>
      <c r="G94">
        <f t="shared" si="13"/>
        <v>359.91</v>
      </c>
      <c r="H94">
        <f t="shared" si="13"/>
        <v>347.34</v>
      </c>
      <c r="I94">
        <v>108.74</v>
      </c>
    </row>
    <row r="95" spans="1:10" x14ac:dyDescent="0.2">
      <c r="A95" t="s">
        <v>436</v>
      </c>
      <c r="B95">
        <f t="shared" si="12"/>
        <v>75</v>
      </c>
      <c r="C95">
        <f t="shared" si="13"/>
        <v>99.09</v>
      </c>
      <c r="D95">
        <f t="shared" si="13"/>
        <v>137.13999999999999</v>
      </c>
      <c r="E95">
        <f t="shared" si="13"/>
        <v>1336.1</v>
      </c>
      <c r="F95">
        <f t="shared" si="13"/>
        <v>93.75</v>
      </c>
      <c r="G95">
        <f t="shared" si="13"/>
        <v>385</v>
      </c>
      <c r="H95">
        <f t="shared" si="13"/>
        <v>389.98</v>
      </c>
      <c r="I95">
        <v>108.74</v>
      </c>
    </row>
    <row r="96" spans="1:10" x14ac:dyDescent="0.2">
      <c r="A96" t="s">
        <v>37</v>
      </c>
      <c r="B96">
        <f t="shared" si="12"/>
        <v>85</v>
      </c>
      <c r="C96">
        <f t="shared" si="13"/>
        <v>101.35</v>
      </c>
      <c r="D96">
        <f t="shared" si="13"/>
        <v>146.19999999999999</v>
      </c>
      <c r="E96">
        <f t="shared" si="13"/>
        <v>1235.0999999999999</v>
      </c>
      <c r="F96">
        <f t="shared" si="13"/>
        <v>84.82</v>
      </c>
      <c r="G96">
        <f t="shared" si="13"/>
        <v>413.92</v>
      </c>
      <c r="H96">
        <f t="shared" si="13"/>
        <v>404.98</v>
      </c>
      <c r="I96">
        <v>108.74</v>
      </c>
    </row>
    <row r="97" spans="1:10" x14ac:dyDescent="0.2">
      <c r="A97" t="s">
        <v>329</v>
      </c>
      <c r="B97">
        <f t="shared" si="12"/>
        <v>80.680000000000007</v>
      </c>
      <c r="C97">
        <f t="shared" si="13"/>
        <v>104.43</v>
      </c>
      <c r="D97">
        <f t="shared" si="13"/>
        <v>166.65</v>
      </c>
      <c r="E97">
        <f t="shared" si="13"/>
        <v>1230.26</v>
      </c>
      <c r="F97">
        <f t="shared" si="13"/>
        <v>142.27000000000001</v>
      </c>
      <c r="G97">
        <f t="shared" si="13"/>
        <v>452.56</v>
      </c>
      <c r="H97">
        <f t="shared" si="13"/>
        <v>405</v>
      </c>
      <c r="I97">
        <f t="shared" si="13"/>
        <v>112.94</v>
      </c>
    </row>
    <row r="98" spans="1:10" x14ac:dyDescent="0.2">
      <c r="A98" t="s">
        <v>95</v>
      </c>
      <c r="B98">
        <f t="shared" si="12"/>
        <v>80</v>
      </c>
      <c r="C98">
        <f t="shared" ref="C98:I102" si="14">C37</f>
        <v>101.97</v>
      </c>
      <c r="D98">
        <f t="shared" si="14"/>
        <v>150.37</v>
      </c>
      <c r="E98">
        <f t="shared" si="14"/>
        <v>1491.53</v>
      </c>
      <c r="F98">
        <f t="shared" si="14"/>
        <v>156.26</v>
      </c>
      <c r="G98">
        <f t="shared" si="14"/>
        <v>451.68</v>
      </c>
      <c r="H98">
        <f t="shared" si="14"/>
        <v>440.44</v>
      </c>
      <c r="I98">
        <f t="shared" si="14"/>
        <v>112.94</v>
      </c>
    </row>
    <row r="99" spans="1:10" x14ac:dyDescent="0.2">
      <c r="A99" t="s">
        <v>40</v>
      </c>
      <c r="B99">
        <f t="shared" si="12"/>
        <v>62</v>
      </c>
      <c r="C99">
        <f t="shared" si="14"/>
        <v>107.75</v>
      </c>
      <c r="D99">
        <f t="shared" si="14"/>
        <v>150.16999999999999</v>
      </c>
      <c r="E99">
        <f t="shared" si="14"/>
        <v>1476.02</v>
      </c>
      <c r="F99">
        <f t="shared" si="14"/>
        <v>151.79</v>
      </c>
      <c r="G99">
        <f t="shared" si="14"/>
        <v>492.51</v>
      </c>
      <c r="H99">
        <f t="shared" si="14"/>
        <v>483.15</v>
      </c>
      <c r="I99">
        <f t="shared" si="14"/>
        <v>112.94</v>
      </c>
    </row>
    <row r="100" spans="1:10" x14ac:dyDescent="0.2">
      <c r="A100" t="s">
        <v>41</v>
      </c>
      <c r="B100">
        <f t="shared" si="12"/>
        <v>65</v>
      </c>
      <c r="C100">
        <f t="shared" si="14"/>
        <v>90.85</v>
      </c>
      <c r="D100">
        <f t="shared" si="14"/>
        <v>125.17</v>
      </c>
      <c r="E100">
        <f t="shared" si="14"/>
        <v>1350.3</v>
      </c>
      <c r="F100">
        <f t="shared" si="14"/>
        <v>132.22</v>
      </c>
      <c r="G100">
        <f t="shared" si="14"/>
        <v>423.34</v>
      </c>
      <c r="H100">
        <f t="shared" si="14"/>
        <v>480.11</v>
      </c>
      <c r="I100">
        <f t="shared" si="14"/>
        <v>112.94</v>
      </c>
    </row>
    <row r="101" spans="1:10" x14ac:dyDescent="0.2">
      <c r="A101" t="s">
        <v>42</v>
      </c>
      <c r="B101">
        <f t="shared" si="12"/>
        <v>67</v>
      </c>
      <c r="C101">
        <f t="shared" si="14"/>
        <v>93.55</v>
      </c>
      <c r="D101">
        <f t="shared" si="14"/>
        <v>132.08000000000001</v>
      </c>
      <c r="E101">
        <f t="shared" si="14"/>
        <v>1243.71</v>
      </c>
      <c r="F101">
        <f t="shared" si="14"/>
        <v>129.47</v>
      </c>
      <c r="G101">
        <f t="shared" si="14"/>
        <v>456.54</v>
      </c>
      <c r="H101">
        <f t="shared" si="14"/>
        <v>458.5</v>
      </c>
      <c r="I101">
        <f t="shared" si="14"/>
        <v>112.94</v>
      </c>
    </row>
    <row r="102" spans="1:10" x14ac:dyDescent="0.2">
      <c r="A102" t="s">
        <v>43</v>
      </c>
      <c r="B102">
        <f t="shared" si="12"/>
        <v>84</v>
      </c>
      <c r="C102">
        <f t="shared" si="14"/>
        <v>95.69</v>
      </c>
      <c r="D102">
        <f t="shared" si="14"/>
        <v>149.65</v>
      </c>
      <c r="E102">
        <f t="shared" si="14"/>
        <v>1323.34</v>
      </c>
      <c r="F102">
        <f t="shared" si="14"/>
        <v>138.37</v>
      </c>
      <c r="G102">
        <f t="shared" si="14"/>
        <v>486.41</v>
      </c>
      <c r="H102">
        <f t="shared" si="14"/>
        <v>371.7</v>
      </c>
      <c r="I102">
        <f t="shared" si="14"/>
        <v>112.94</v>
      </c>
    </row>
    <row r="105" spans="1:10" x14ac:dyDescent="0.2">
      <c r="A105" t="s">
        <v>24</v>
      </c>
      <c r="B105" t="s">
        <v>14</v>
      </c>
      <c r="C105" t="s">
        <v>15</v>
      </c>
      <c r="D105" t="s">
        <v>16</v>
      </c>
      <c r="E105" t="s">
        <v>18</v>
      </c>
      <c r="F105" t="s">
        <v>19</v>
      </c>
      <c r="G105" t="s">
        <v>20</v>
      </c>
      <c r="H105" t="s">
        <v>331</v>
      </c>
      <c r="I105" t="s">
        <v>333</v>
      </c>
      <c r="J105" t="s">
        <v>84</v>
      </c>
    </row>
    <row r="107" spans="1:10" x14ac:dyDescent="0.2">
      <c r="A107" t="s">
        <v>435</v>
      </c>
      <c r="B107">
        <f t="shared" ref="B107:H118" si="15">B72*B91</f>
        <v>253.5</v>
      </c>
      <c r="C107">
        <f t="shared" si="15"/>
        <v>4963.2846</v>
      </c>
      <c r="D107">
        <f t="shared" si="15"/>
        <v>1228.6905000000002</v>
      </c>
      <c r="E107">
        <f>E72*E91</f>
        <v>542.80499999999995</v>
      </c>
      <c r="F107">
        <f>F72*F91</f>
        <v>73.425000000000011</v>
      </c>
      <c r="G107">
        <f>G72*G91</f>
        <v>117</v>
      </c>
      <c r="H107">
        <f>H72*H91</f>
        <v>121.60000000000001</v>
      </c>
      <c r="I107">
        <f>I72*-I91</f>
        <v>-941.6884</v>
      </c>
      <c r="J107">
        <f>SUM(B107:I107)</f>
        <v>6358.6167000000005</v>
      </c>
    </row>
    <row r="108" spans="1:10" x14ac:dyDescent="0.2">
      <c r="A108" t="s">
        <v>72</v>
      </c>
      <c r="B108">
        <f t="shared" si="15"/>
        <v>223.14330000000001</v>
      </c>
      <c r="C108">
        <f t="shared" si="15"/>
        <v>4984.2</v>
      </c>
      <c r="D108">
        <f t="shared" si="15"/>
        <v>1257.2714000000001</v>
      </c>
      <c r="E108">
        <f t="shared" si="15"/>
        <v>585.44472000000007</v>
      </c>
      <c r="F108">
        <f t="shared" si="15"/>
        <v>63.903840000000002</v>
      </c>
      <c r="G108">
        <f t="shared" si="15"/>
        <v>108.82334999999999</v>
      </c>
      <c r="H108">
        <f t="shared" si="15"/>
        <v>123.54580000000001</v>
      </c>
      <c r="I108">
        <f t="shared" ref="I108:I118" si="16">I73*-I92</f>
        <v>-1001.4954</v>
      </c>
      <c r="J108">
        <f t="shared" ref="J108:J118" si="17">SUM(B108:I108)</f>
        <v>6344.8370100000002</v>
      </c>
    </row>
    <row r="109" spans="1:10" x14ac:dyDescent="0.2">
      <c r="A109" t="s">
        <v>34</v>
      </c>
      <c r="B109">
        <f t="shared" si="15"/>
        <v>245.48</v>
      </c>
      <c r="C109">
        <f t="shared" si="15"/>
        <v>4777.4387999999999</v>
      </c>
      <c r="D109">
        <f t="shared" si="15"/>
        <v>1148.8122000000001</v>
      </c>
      <c r="E109">
        <f t="shared" si="15"/>
        <v>542.64476000000002</v>
      </c>
      <c r="F109">
        <f t="shared" si="15"/>
        <v>41.426279999999998</v>
      </c>
      <c r="G109">
        <f t="shared" si="15"/>
        <v>96.853300000000004</v>
      </c>
      <c r="H109">
        <f t="shared" si="15"/>
        <v>99</v>
      </c>
      <c r="I109">
        <f t="shared" si="16"/>
        <v>-890.58059999999989</v>
      </c>
      <c r="J109">
        <f t="shared" si="17"/>
        <v>6061.0747399999991</v>
      </c>
    </row>
    <row r="110" spans="1:10" x14ac:dyDescent="0.2">
      <c r="A110" t="s">
        <v>35</v>
      </c>
      <c r="B110">
        <f t="shared" si="15"/>
        <v>226.2</v>
      </c>
      <c r="C110">
        <f t="shared" si="15"/>
        <v>5001.2424000000001</v>
      </c>
      <c r="D110">
        <f t="shared" si="15"/>
        <v>1286.98</v>
      </c>
      <c r="E110">
        <f t="shared" si="15"/>
        <v>616.2585600000001</v>
      </c>
      <c r="F110">
        <f t="shared" si="15"/>
        <v>65.018879999999996</v>
      </c>
      <c r="G110">
        <f t="shared" si="15"/>
        <v>115.17120000000001</v>
      </c>
      <c r="H110">
        <f t="shared" si="15"/>
        <v>111.14879999999999</v>
      </c>
      <c r="I110">
        <f t="shared" si="16"/>
        <v>-975.39780000000007</v>
      </c>
      <c r="J110">
        <f t="shared" si="17"/>
        <v>6446.6220399999993</v>
      </c>
    </row>
    <row r="111" spans="1:10" x14ac:dyDescent="0.2">
      <c r="A111" t="s">
        <v>436</v>
      </c>
      <c r="B111">
        <f t="shared" si="15"/>
        <v>245.99999999999997</v>
      </c>
      <c r="C111">
        <f t="shared" si="15"/>
        <v>4863.3371999999999</v>
      </c>
      <c r="D111">
        <f t="shared" si="15"/>
        <v>1400.1994</v>
      </c>
      <c r="E111">
        <f t="shared" si="15"/>
        <v>630.63919999999996</v>
      </c>
      <c r="F111">
        <f t="shared" si="15"/>
        <v>66.375</v>
      </c>
      <c r="G111">
        <f t="shared" si="15"/>
        <v>123.2</v>
      </c>
      <c r="H111">
        <f t="shared" si="15"/>
        <v>124.79360000000001</v>
      </c>
      <c r="I111">
        <f t="shared" si="16"/>
        <v>-890.58059999999989</v>
      </c>
      <c r="J111">
        <f t="shared" si="17"/>
        <v>6563.9637999999986</v>
      </c>
    </row>
    <row r="112" spans="1:10" x14ac:dyDescent="0.2">
      <c r="A112" t="s">
        <v>37</v>
      </c>
      <c r="B112">
        <f t="shared" si="15"/>
        <v>287.3</v>
      </c>
      <c r="C112">
        <f t="shared" si="15"/>
        <v>4887.0969999999998</v>
      </c>
      <c r="D112">
        <f t="shared" si="15"/>
        <v>1557.03</v>
      </c>
      <c r="E112">
        <f t="shared" si="15"/>
        <v>617.54999999999995</v>
      </c>
      <c r="F112">
        <f t="shared" si="15"/>
        <v>63.614999999999995</v>
      </c>
      <c r="G112">
        <f t="shared" si="15"/>
        <v>132.45440000000002</v>
      </c>
      <c r="H112">
        <f t="shared" si="15"/>
        <v>133.64340000000001</v>
      </c>
      <c r="I112">
        <f t="shared" si="16"/>
        <v>-941.6884</v>
      </c>
      <c r="J112">
        <f t="shared" si="17"/>
        <v>6737.0013999999992</v>
      </c>
    </row>
    <row r="113" spans="1:10" x14ac:dyDescent="0.2">
      <c r="A113" t="s">
        <v>329</v>
      </c>
      <c r="B113">
        <f t="shared" si="15"/>
        <v>288.83440000000002</v>
      </c>
      <c r="C113">
        <f t="shared" si="15"/>
        <v>5663.2389000000003</v>
      </c>
      <c r="D113">
        <f t="shared" si="15"/>
        <v>1896.4770000000001</v>
      </c>
      <c r="E113">
        <f t="shared" si="15"/>
        <v>725.85339999999997</v>
      </c>
      <c r="F113">
        <f t="shared" si="15"/>
        <v>89.630100000000013</v>
      </c>
      <c r="G113">
        <f t="shared" si="15"/>
        <v>153.87040000000002</v>
      </c>
      <c r="H113">
        <f t="shared" si="15"/>
        <v>137.70000000000002</v>
      </c>
      <c r="I113">
        <f t="shared" si="16"/>
        <v>-982.57799999999986</v>
      </c>
      <c r="J113">
        <f t="shared" si="17"/>
        <v>7973.0262000000002</v>
      </c>
    </row>
    <row r="114" spans="1:10" x14ac:dyDescent="0.2">
      <c r="A114" t="s">
        <v>95</v>
      </c>
      <c r="B114">
        <f t="shared" si="15"/>
        <v>302.39999999999998</v>
      </c>
      <c r="C114">
        <f t="shared" si="15"/>
        <v>5509.4391000000005</v>
      </c>
      <c r="D114">
        <f t="shared" si="15"/>
        <v>1651.0626000000002</v>
      </c>
      <c r="E114">
        <f t="shared" si="15"/>
        <v>805.42619999999999</v>
      </c>
      <c r="F114">
        <f t="shared" si="15"/>
        <v>104.6942</v>
      </c>
      <c r="G114">
        <f t="shared" si="15"/>
        <v>158.08799999999999</v>
      </c>
      <c r="H114">
        <f t="shared" si="15"/>
        <v>132.13200000000001</v>
      </c>
      <c r="I114">
        <f t="shared" si="16"/>
        <v>-939.66079999999999</v>
      </c>
      <c r="J114">
        <f t="shared" si="17"/>
        <v>7723.5812999999998</v>
      </c>
    </row>
    <row r="115" spans="1:10" x14ac:dyDescent="0.2">
      <c r="A115" t="s">
        <v>40</v>
      </c>
      <c r="B115">
        <f t="shared" si="15"/>
        <v>236.84</v>
      </c>
      <c r="C115">
        <f t="shared" si="15"/>
        <v>5821.7325000000001</v>
      </c>
      <c r="D115">
        <f t="shared" si="15"/>
        <v>1648.8665999999998</v>
      </c>
      <c r="E115">
        <f t="shared" si="15"/>
        <v>797.05080000000009</v>
      </c>
      <c r="F115">
        <f t="shared" si="15"/>
        <v>101.69929999999999</v>
      </c>
      <c r="G115">
        <f t="shared" si="15"/>
        <v>172.37849999999997</v>
      </c>
      <c r="H115">
        <f t="shared" si="15"/>
        <v>149.7765</v>
      </c>
      <c r="I115">
        <f t="shared" si="16"/>
        <v>-897.87300000000005</v>
      </c>
      <c r="J115">
        <f t="shared" si="17"/>
        <v>8030.4712000000018</v>
      </c>
    </row>
    <row r="116" spans="1:10" x14ac:dyDescent="0.2">
      <c r="A116" t="s">
        <v>41</v>
      </c>
      <c r="B116">
        <f t="shared" si="15"/>
        <v>254.79999999999998</v>
      </c>
      <c r="C116">
        <f t="shared" si="15"/>
        <v>5090.3254999999999</v>
      </c>
      <c r="D116">
        <f t="shared" si="15"/>
        <v>1436.9516000000001</v>
      </c>
      <c r="E116">
        <f t="shared" si="15"/>
        <v>810.18</v>
      </c>
      <c r="F116">
        <f t="shared" si="15"/>
        <v>95.198399999999992</v>
      </c>
      <c r="G116">
        <f t="shared" si="15"/>
        <v>173.56939999999997</v>
      </c>
      <c r="H116">
        <f t="shared" si="15"/>
        <v>163.23740000000001</v>
      </c>
      <c r="I116">
        <f t="shared" si="16"/>
        <v>-940.79020000000003</v>
      </c>
      <c r="J116">
        <f t="shared" si="17"/>
        <v>7083.4721000000009</v>
      </c>
    </row>
    <row r="117" spans="1:10" x14ac:dyDescent="0.2">
      <c r="A117" t="s">
        <v>42</v>
      </c>
      <c r="B117">
        <f t="shared" si="15"/>
        <v>260.63</v>
      </c>
      <c r="C117">
        <f t="shared" si="15"/>
        <v>5313.6399999999994</v>
      </c>
      <c r="D117">
        <f t="shared" si="15"/>
        <v>1516.2784000000001</v>
      </c>
      <c r="E117">
        <f t="shared" si="15"/>
        <v>858.15989999999999</v>
      </c>
      <c r="F117">
        <f t="shared" si="15"/>
        <v>94.513099999999994</v>
      </c>
      <c r="G117">
        <f t="shared" si="15"/>
        <v>182.61600000000001</v>
      </c>
      <c r="H117">
        <f t="shared" si="15"/>
        <v>146.72</v>
      </c>
      <c r="I117">
        <f t="shared" si="16"/>
        <v>-952.0841999999999</v>
      </c>
      <c r="J117">
        <f t="shared" si="17"/>
        <v>7420.4731999999995</v>
      </c>
    </row>
    <row r="118" spans="1:10" x14ac:dyDescent="0.2">
      <c r="A118" t="s">
        <v>43</v>
      </c>
      <c r="B118">
        <f t="shared" si="15"/>
        <v>324.24</v>
      </c>
      <c r="C118">
        <f t="shared" si="15"/>
        <v>5368.2089999999998</v>
      </c>
      <c r="D118">
        <f t="shared" si="15"/>
        <v>1717.9820000000002</v>
      </c>
      <c r="E118">
        <f t="shared" si="15"/>
        <v>886.63779999999997</v>
      </c>
      <c r="F118">
        <f t="shared" si="15"/>
        <v>96.858999999999995</v>
      </c>
      <c r="G118">
        <f t="shared" si="15"/>
        <v>214.02040000000002</v>
      </c>
      <c r="H118">
        <f t="shared" si="15"/>
        <v>118.944</v>
      </c>
      <c r="I118">
        <f t="shared" si="16"/>
        <v>-967.89580000000001</v>
      </c>
      <c r="J118">
        <f t="shared" si="17"/>
        <v>7758.9963999999982</v>
      </c>
    </row>
    <row r="119" spans="1:10" x14ac:dyDescent="0.2">
      <c r="A119" t="s">
        <v>88</v>
      </c>
      <c r="B119">
        <f t="shared" ref="B119:H119" si="18">SUM(B107:B118)</f>
        <v>3149.3677000000007</v>
      </c>
      <c r="C119">
        <f t="shared" si="18"/>
        <v>62243.185000000005</v>
      </c>
      <c r="D119">
        <f t="shared" si="18"/>
        <v>17746.601699999999</v>
      </c>
      <c r="E119">
        <f t="shared" si="18"/>
        <v>8418.6503400000001</v>
      </c>
      <c r="F119">
        <f t="shared" si="18"/>
        <v>956.35810000000004</v>
      </c>
      <c r="G119">
        <f t="shared" si="18"/>
        <v>1748.0449500000002</v>
      </c>
      <c r="H119">
        <f t="shared" si="18"/>
        <v>1562.2415000000001</v>
      </c>
      <c r="I119">
        <f>SUM(I107:I118)</f>
        <v>-11322.313199999999</v>
      </c>
      <c r="J119">
        <f>SUM(J107:J118)</f>
        <v>84502.13609</v>
      </c>
    </row>
  </sheetData>
  <phoneticPr fontId="6" type="noConversion"/>
  <pageMargins left="0.75" right="0.75" top="1" bottom="1" header="0.5" footer="0.5"/>
  <pageSetup scale="81" orientation="portrait" r:id="rId1"/>
  <headerFooter alignWithMargins="0"/>
  <rowBreaks count="1" manualBreakCount="1">
    <brk id="62" max="9"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23"/>
  <sheetViews>
    <sheetView topLeftCell="A17" zoomScaleNormal="100" workbookViewId="0">
      <selection activeCell="I60" sqref="I60"/>
    </sheetView>
  </sheetViews>
  <sheetFormatPr defaultRowHeight="15" x14ac:dyDescent="0.2"/>
  <cols>
    <col min="1" max="1" width="4.109375" customWidth="1"/>
    <col min="2" max="2" width="10.88671875" customWidth="1"/>
    <col min="5" max="5" width="9.77734375" customWidth="1"/>
    <col min="8" max="8" width="9.109375" bestFit="1" customWidth="1"/>
    <col min="9" max="9" width="9.44140625" customWidth="1"/>
    <col min="10" max="10" width="6.44140625" customWidth="1"/>
  </cols>
  <sheetData>
    <row r="1" spans="2:6" x14ac:dyDescent="0.2">
      <c r="F1" t="s">
        <v>0</v>
      </c>
    </row>
    <row r="2" spans="2:6" x14ac:dyDescent="0.2">
      <c r="F2" t="s">
        <v>1</v>
      </c>
    </row>
    <row r="3" spans="2:6" x14ac:dyDescent="0.2">
      <c r="F3" t="s">
        <v>2</v>
      </c>
    </row>
    <row r="6" spans="2:6" x14ac:dyDescent="0.2">
      <c r="B6" t="s">
        <v>480</v>
      </c>
    </row>
    <row r="8" spans="2:6" x14ac:dyDescent="0.2">
      <c r="B8" t="s">
        <v>423</v>
      </c>
    </row>
    <row r="9" spans="2:6" x14ac:dyDescent="0.2">
      <c r="B9" t="s">
        <v>443</v>
      </c>
      <c r="D9" t="s">
        <v>463</v>
      </c>
    </row>
    <row r="10" spans="2:6" x14ac:dyDescent="0.2">
      <c r="B10" t="s">
        <v>6</v>
      </c>
    </row>
    <row r="12" spans="2:6" x14ac:dyDescent="0.2">
      <c r="D12" t="s">
        <v>30</v>
      </c>
      <c r="E12" t="s">
        <v>31</v>
      </c>
    </row>
    <row r="13" spans="2:6" x14ac:dyDescent="0.2">
      <c r="B13" t="s">
        <v>92</v>
      </c>
      <c r="D13" t="s">
        <v>26</v>
      </c>
      <c r="E13" t="s">
        <v>32</v>
      </c>
    </row>
    <row r="15" spans="2:6" x14ac:dyDescent="0.2">
      <c r="B15" t="s">
        <v>444</v>
      </c>
      <c r="D15">
        <f>35104+16740</f>
        <v>51844</v>
      </c>
      <c r="E15">
        <f>'12th year actual'!J46</f>
        <v>115902.35890000002</v>
      </c>
    </row>
    <row r="16" spans="2:6" x14ac:dyDescent="0.2">
      <c r="B16" t="s">
        <v>116</v>
      </c>
      <c r="D16">
        <f>35032+16703</f>
        <v>51735</v>
      </c>
      <c r="E16">
        <f>'12th year actual'!J47</f>
        <v>120869.826</v>
      </c>
    </row>
    <row r="17" spans="2:10" x14ac:dyDescent="0.2">
      <c r="B17" t="s">
        <v>34</v>
      </c>
      <c r="D17">
        <f>34927+16640</f>
        <v>51567</v>
      </c>
      <c r="E17">
        <f>'12th year actual'!J48</f>
        <v>141547.73409999997</v>
      </c>
    </row>
    <row r="18" spans="2:10" x14ac:dyDescent="0.2">
      <c r="B18" t="s">
        <v>35</v>
      </c>
      <c r="D18">
        <f>34779+16496</f>
        <v>51275</v>
      </c>
      <c r="E18">
        <f>'12th year actual'!J49</f>
        <v>180884.88389999999</v>
      </c>
    </row>
    <row r="19" spans="2:10" x14ac:dyDescent="0.2">
      <c r="B19" t="s">
        <v>445</v>
      </c>
      <c r="D19">
        <f>34747+16483</f>
        <v>51230</v>
      </c>
      <c r="E19">
        <f>'12th year actual'!J50</f>
        <v>159770.52840000001</v>
      </c>
    </row>
    <row r="20" spans="2:10" x14ac:dyDescent="0.2">
      <c r="B20" t="s">
        <v>37</v>
      </c>
      <c r="D20">
        <f>34728+16484</f>
        <v>51212</v>
      </c>
      <c r="E20">
        <f>'12th year actual'!J51</f>
        <v>126026.2308</v>
      </c>
    </row>
    <row r="21" spans="2:10" x14ac:dyDescent="0.2">
      <c r="B21" t="s">
        <v>38</v>
      </c>
      <c r="D21">
        <f>34726+16439</f>
        <v>51165</v>
      </c>
      <c r="E21">
        <f>'12th year actual'!J52</f>
        <v>159006.85469999997</v>
      </c>
    </row>
    <row r="22" spans="2:10" x14ac:dyDescent="0.2">
      <c r="B22" t="s">
        <v>95</v>
      </c>
      <c r="D22">
        <f>35144+16620</f>
        <v>51764</v>
      </c>
      <c r="E22">
        <f>'12th year actual'!J53</f>
        <v>156011.5337</v>
      </c>
    </row>
    <row r="23" spans="2:10" x14ac:dyDescent="0.2">
      <c r="B23" t="s">
        <v>40</v>
      </c>
      <c r="D23">
        <f>35076+16778</f>
        <v>51854</v>
      </c>
      <c r="E23">
        <f>'12th year actual'!J54</f>
        <v>166741.5699</v>
      </c>
    </row>
    <row r="24" spans="2:10" x14ac:dyDescent="0.2">
      <c r="B24" t="s">
        <v>41</v>
      </c>
      <c r="D24">
        <f>34508+16754</f>
        <v>51262</v>
      </c>
      <c r="E24">
        <f>'12th year actual'!J55</f>
        <v>168486.74239999999</v>
      </c>
    </row>
    <row r="25" spans="2:10" x14ac:dyDescent="0.2">
      <c r="B25" t="s">
        <v>42</v>
      </c>
      <c r="D25">
        <f>34493+16827</f>
        <v>51320</v>
      </c>
      <c r="E25">
        <f>'12th year actual'!J56</f>
        <v>166502.23310000001</v>
      </c>
    </row>
    <row r="26" spans="2:10" x14ac:dyDescent="0.2">
      <c r="B26" t="s">
        <v>43</v>
      </c>
      <c r="D26">
        <f>34624+16871</f>
        <v>51495</v>
      </c>
      <c r="E26">
        <f>'12th year actual'!J57</f>
        <v>176505.65609999999</v>
      </c>
    </row>
    <row r="27" spans="2:10" x14ac:dyDescent="0.2">
      <c r="B27" t="s">
        <v>96</v>
      </c>
      <c r="D27">
        <f>SUM(D14:D26)</f>
        <v>617723</v>
      </c>
      <c r="E27">
        <f>SUM(E14:E26)</f>
        <v>1838256.1520000002</v>
      </c>
    </row>
    <row r="29" spans="2:10" x14ac:dyDescent="0.2">
      <c r="B29" t="s">
        <v>450</v>
      </c>
    </row>
    <row r="31" spans="2:10" x14ac:dyDescent="0.2">
      <c r="B31" t="s">
        <v>446</v>
      </c>
      <c r="J31" t="s">
        <v>6</v>
      </c>
    </row>
    <row r="34" spans="2:9" x14ac:dyDescent="0.2">
      <c r="B34" t="s">
        <v>101</v>
      </c>
      <c r="E34" t="s">
        <v>447</v>
      </c>
      <c r="F34">
        <v>1.45</v>
      </c>
    </row>
    <row r="35" spans="2:9" x14ac:dyDescent="0.2">
      <c r="B35" t="s">
        <v>101</v>
      </c>
      <c r="E35" t="s">
        <v>448</v>
      </c>
      <c r="F35">
        <v>1.25</v>
      </c>
    </row>
    <row r="38" spans="2:9" x14ac:dyDescent="0.2">
      <c r="B38" t="s">
        <v>454</v>
      </c>
      <c r="H38">
        <f>(SUM(D15:D16)*F34)+SUM(D17:D26)*F35</f>
        <v>792869.55</v>
      </c>
    </row>
    <row r="40" spans="2:9" x14ac:dyDescent="0.2">
      <c r="B40" t="s">
        <v>50</v>
      </c>
      <c r="G40">
        <f>E27</f>
        <v>1838256.1520000002</v>
      </c>
    </row>
    <row r="41" spans="2:9" x14ac:dyDescent="0.2">
      <c r="B41" t="s">
        <v>449</v>
      </c>
      <c r="G41">
        <f>G40*0.5</f>
        <v>919128.07600000012</v>
      </c>
    </row>
    <row r="42" spans="2:9" x14ac:dyDescent="0.2">
      <c r="B42" t="s">
        <v>350</v>
      </c>
      <c r="H42">
        <f>G40-G41</f>
        <v>919128.07600000012</v>
      </c>
    </row>
    <row r="44" spans="2:9" x14ac:dyDescent="0.2">
      <c r="B44" t="s">
        <v>351</v>
      </c>
      <c r="H44">
        <f>H42-H38</f>
        <v>126258.52600000007</v>
      </c>
      <c r="I44" t="s">
        <v>352</v>
      </c>
    </row>
    <row r="46" spans="2:9" x14ac:dyDescent="0.2">
      <c r="B46" t="s">
        <v>106</v>
      </c>
    </row>
    <row r="48" spans="2:9" x14ac:dyDescent="0.2">
      <c r="B48" t="s">
        <v>107</v>
      </c>
      <c r="G48">
        <f>H44</f>
        <v>126258.52600000007</v>
      </c>
    </row>
    <row r="49" spans="2:9" x14ac:dyDescent="0.2">
      <c r="B49" t="s">
        <v>415</v>
      </c>
      <c r="G49">
        <f>D27</f>
        <v>617723</v>
      </c>
    </row>
    <row r="50" spans="2:9" x14ac:dyDescent="0.2">
      <c r="B50" t="s">
        <v>108</v>
      </c>
      <c r="G50">
        <f>G48/G49</f>
        <v>0.20439343524524758</v>
      </c>
    </row>
    <row r="54" spans="2:9" x14ac:dyDescent="0.2">
      <c r="I54" t="s">
        <v>439</v>
      </c>
    </row>
    <row r="55" spans="2:9" x14ac:dyDescent="0.2">
      <c r="B55" t="s">
        <v>354</v>
      </c>
      <c r="H55" t="s">
        <v>418</v>
      </c>
      <c r="I55" t="s">
        <v>363</v>
      </c>
    </row>
    <row r="56" spans="2:9" x14ac:dyDescent="0.2">
      <c r="B56" t="s">
        <v>416</v>
      </c>
      <c r="H56">
        <f>E27</f>
        <v>1838256.1520000002</v>
      </c>
      <c r="I56">
        <f>H56*0.5</f>
        <v>919128.07600000012</v>
      </c>
    </row>
    <row r="57" spans="2:9" x14ac:dyDescent="0.2">
      <c r="B57" t="s">
        <v>417</v>
      </c>
      <c r="H57">
        <f>D27</f>
        <v>617723</v>
      </c>
      <c r="I57">
        <f>H57</f>
        <v>617723</v>
      </c>
    </row>
    <row r="59" spans="2:9" x14ac:dyDescent="0.2">
      <c r="E59" t="s">
        <v>359</v>
      </c>
      <c r="H59">
        <f>H56/H57</f>
        <v>2.9758583572248405</v>
      </c>
      <c r="I59">
        <f>I56/I57</f>
        <v>1.4879291786124202</v>
      </c>
    </row>
    <row r="60" spans="2:9" x14ac:dyDescent="0.2">
      <c r="E60" t="s">
        <v>360</v>
      </c>
      <c r="H60">
        <f>G50</f>
        <v>0.20439343524524758</v>
      </c>
      <c r="I60">
        <f>G50</f>
        <v>0.20439343524524758</v>
      </c>
    </row>
    <row r="61" spans="2:9" x14ac:dyDescent="0.2">
      <c r="F61" t="s">
        <v>361</v>
      </c>
      <c r="H61">
        <f>H59+H60</f>
        <v>3.1802517924700879</v>
      </c>
      <c r="I61">
        <f>SUM(I59:I60)</f>
        <v>1.6923226138576679</v>
      </c>
    </row>
    <row r="65" spans="2:6" x14ac:dyDescent="0.2">
      <c r="F65" t="s">
        <v>0</v>
      </c>
    </row>
    <row r="66" spans="2:6" x14ac:dyDescent="0.2">
      <c r="F66" t="s">
        <v>1</v>
      </c>
    </row>
    <row r="67" spans="2:6" x14ac:dyDescent="0.2">
      <c r="F67" t="s">
        <v>342</v>
      </c>
    </row>
    <row r="70" spans="2:6" x14ac:dyDescent="0.2">
      <c r="B70" t="str">
        <f>B6</f>
        <v>After Twelfth Year Commodity Adjustment</v>
      </c>
    </row>
    <row r="72" spans="2:6" x14ac:dyDescent="0.2">
      <c r="B72" t="s">
        <v>423</v>
      </c>
    </row>
    <row r="73" spans="2:6" x14ac:dyDescent="0.2">
      <c r="B73" t="s">
        <v>443</v>
      </c>
    </row>
    <row r="74" spans="2:6" x14ac:dyDescent="0.2">
      <c r="B74" t="s">
        <v>6</v>
      </c>
    </row>
    <row r="76" spans="2:6" x14ac:dyDescent="0.2">
      <c r="B76" t="s">
        <v>344</v>
      </c>
      <c r="D76" t="s">
        <v>30</v>
      </c>
      <c r="E76" t="s">
        <v>31</v>
      </c>
    </row>
    <row r="77" spans="2:6" x14ac:dyDescent="0.2">
      <c r="B77" t="s">
        <v>92</v>
      </c>
      <c r="D77" t="s">
        <v>145</v>
      </c>
      <c r="E77" t="s">
        <v>32</v>
      </c>
    </row>
    <row r="79" spans="2:6" x14ac:dyDescent="0.2">
      <c r="B79" t="s">
        <v>444</v>
      </c>
      <c r="D79">
        <f>5909+1714</f>
        <v>7623</v>
      </c>
      <c r="E79">
        <f>'12th year actual'!J107</f>
        <v>6934.7048000000004</v>
      </c>
    </row>
    <row r="80" spans="2:6" x14ac:dyDescent="0.2">
      <c r="B80" t="s">
        <v>116</v>
      </c>
      <c r="D80">
        <f>1304+170+4642+1553</f>
        <v>7669</v>
      </c>
      <c r="E80">
        <f>'12th year actual'!J108</f>
        <v>7669.0933999999997</v>
      </c>
    </row>
    <row r="81" spans="2:5" x14ac:dyDescent="0.2">
      <c r="B81" t="s">
        <v>34</v>
      </c>
      <c r="D81">
        <f>7667</f>
        <v>7667</v>
      </c>
      <c r="E81">
        <f>'12th year actual'!J109</f>
        <v>8153.7157999999981</v>
      </c>
    </row>
    <row r="82" spans="2:5" x14ac:dyDescent="0.2">
      <c r="B82" t="s">
        <v>35</v>
      </c>
      <c r="D82">
        <v>7645</v>
      </c>
      <c r="E82">
        <f>'12th year actual'!J110</f>
        <v>8812.5581000000002</v>
      </c>
    </row>
    <row r="83" spans="2:5" x14ac:dyDescent="0.2">
      <c r="B83" t="s">
        <v>445</v>
      </c>
      <c r="D83">
        <f>6168+1465</f>
        <v>7633</v>
      </c>
      <c r="E83">
        <f>'12th year actual'!J111</f>
        <v>8878.3492000000006</v>
      </c>
    </row>
    <row r="84" spans="2:5" x14ac:dyDescent="0.2">
      <c r="B84" t="s">
        <v>37</v>
      </c>
      <c r="D84">
        <f>7597</f>
        <v>7597</v>
      </c>
      <c r="E84">
        <f>'12th year actual'!J112</f>
        <v>9223.0376000000015</v>
      </c>
    </row>
    <row r="85" spans="2:5" x14ac:dyDescent="0.2">
      <c r="B85" t="s">
        <v>38</v>
      </c>
      <c r="D85">
        <f>7600</f>
        <v>7600</v>
      </c>
      <c r="E85">
        <f>'12th year actual'!J113</f>
        <v>9628.0869000000002</v>
      </c>
    </row>
    <row r="86" spans="2:5" x14ac:dyDescent="0.2">
      <c r="B86" t="s">
        <v>95</v>
      </c>
      <c r="D86">
        <v>7651</v>
      </c>
      <c r="E86">
        <f>'12th year actual'!J114</f>
        <v>9756.1841999999997</v>
      </c>
    </row>
    <row r="87" spans="2:5" x14ac:dyDescent="0.2">
      <c r="B87" t="s">
        <v>40</v>
      </c>
      <c r="D87">
        <v>7287</v>
      </c>
      <c r="E87">
        <f>'12th year actual'!J115</f>
        <v>9681.2593000000015</v>
      </c>
    </row>
    <row r="88" spans="2:5" x14ac:dyDescent="0.2">
      <c r="B88" t="s">
        <v>41</v>
      </c>
      <c r="D88">
        <v>7255</v>
      </c>
      <c r="E88">
        <f>'12th year actual'!J116</f>
        <v>10193.961399999998</v>
      </c>
    </row>
    <row r="89" spans="2:5" x14ac:dyDescent="0.2">
      <c r="B89" t="s">
        <v>42</v>
      </c>
      <c r="D89">
        <v>7361</v>
      </c>
      <c r="E89">
        <f>'12th year actual'!J117</f>
        <v>10788.700299999997</v>
      </c>
    </row>
    <row r="90" spans="2:5" x14ac:dyDescent="0.2">
      <c r="B90" t="s">
        <v>43</v>
      </c>
      <c r="D90">
        <f>5800+1576</f>
        <v>7376</v>
      </c>
      <c r="E90">
        <f>'12th year actual'!J118</f>
        <v>10695.178400000001</v>
      </c>
    </row>
    <row r="91" spans="2:5" x14ac:dyDescent="0.2">
      <c r="B91" t="s">
        <v>96</v>
      </c>
      <c r="D91">
        <f>SUM(D78:D90)</f>
        <v>90364</v>
      </c>
      <c r="E91">
        <f>SUM(E78:E90)</f>
        <v>110414.82940000002</v>
      </c>
    </row>
    <row r="93" spans="2:5" x14ac:dyDescent="0.2">
      <c r="B93" t="s">
        <v>450</v>
      </c>
    </row>
    <row r="95" spans="2:5" x14ac:dyDescent="0.2">
      <c r="B95" t="s">
        <v>451</v>
      </c>
    </row>
    <row r="97" spans="2:9" x14ac:dyDescent="0.2">
      <c r="B97" t="s">
        <v>343</v>
      </c>
      <c r="E97" t="s">
        <v>447</v>
      </c>
      <c r="F97">
        <v>0.42</v>
      </c>
    </row>
    <row r="98" spans="2:9" x14ac:dyDescent="0.2">
      <c r="B98" t="s">
        <v>343</v>
      </c>
      <c r="E98" t="s">
        <v>448</v>
      </c>
      <c r="F98">
        <v>0.47</v>
      </c>
    </row>
    <row r="101" spans="2:9" x14ac:dyDescent="0.2">
      <c r="B101" t="s">
        <v>452</v>
      </c>
      <c r="H101">
        <f>(SUM(D79:D80)*F97)+SUM(D81:D90)*F98</f>
        <v>41706.479999999996</v>
      </c>
      <c r="I101" t="s">
        <v>6</v>
      </c>
    </row>
    <row r="102" spans="2:9" x14ac:dyDescent="0.2">
      <c r="I102" t="s">
        <v>6</v>
      </c>
    </row>
    <row r="103" spans="2:9" x14ac:dyDescent="0.2">
      <c r="B103" t="s">
        <v>50</v>
      </c>
      <c r="G103">
        <f>SUM(E78:E90)</f>
        <v>110414.82940000002</v>
      </c>
      <c r="I103" t="s">
        <v>6</v>
      </c>
    </row>
    <row r="104" spans="2:9" x14ac:dyDescent="0.2">
      <c r="B104" t="s">
        <v>453</v>
      </c>
      <c r="G104">
        <f>G103*0.5</f>
        <v>55207.414700000008</v>
      </c>
    </row>
    <row r="105" spans="2:9" x14ac:dyDescent="0.2">
      <c r="B105" t="s">
        <v>364</v>
      </c>
      <c r="H105">
        <f>G103-G104</f>
        <v>55207.414700000008</v>
      </c>
    </row>
    <row r="107" spans="2:9" x14ac:dyDescent="0.2">
      <c r="B107" t="s">
        <v>190</v>
      </c>
      <c r="H107">
        <f>H105-H101</f>
        <v>13500.934700000013</v>
      </c>
      <c r="I107" t="s">
        <v>352</v>
      </c>
    </row>
    <row r="109" spans="2:9" x14ac:dyDescent="0.2">
      <c r="B109" t="s">
        <v>365</v>
      </c>
    </row>
    <row r="111" spans="2:9" x14ac:dyDescent="0.2">
      <c r="B111" t="s">
        <v>107</v>
      </c>
      <c r="G111">
        <f>H107</f>
        <v>13500.934700000013</v>
      </c>
    </row>
    <row r="112" spans="2:9" x14ac:dyDescent="0.2">
      <c r="B112" t="s">
        <v>419</v>
      </c>
      <c r="G112">
        <f>D91</f>
        <v>90364</v>
      </c>
    </row>
    <row r="113" spans="2:9" x14ac:dyDescent="0.2">
      <c r="B113" t="s">
        <v>349</v>
      </c>
      <c r="G113">
        <f>G111/G112</f>
        <v>0.14940612080031884</v>
      </c>
    </row>
    <row r="116" spans="2:9" x14ac:dyDescent="0.2">
      <c r="I116" t="s">
        <v>439</v>
      </c>
    </row>
    <row r="117" spans="2:9" x14ac:dyDescent="0.2">
      <c r="B117" t="s">
        <v>354</v>
      </c>
      <c r="H117" t="s">
        <v>418</v>
      </c>
      <c r="I117" t="s">
        <v>363</v>
      </c>
    </row>
    <row r="118" spans="2:9" x14ac:dyDescent="0.2">
      <c r="B118" t="s">
        <v>416</v>
      </c>
      <c r="H118">
        <f>E91</f>
        <v>110414.82940000002</v>
      </c>
      <c r="I118">
        <f>H118*0.5</f>
        <v>55207.414700000008</v>
      </c>
    </row>
    <row r="119" spans="2:9" x14ac:dyDescent="0.2">
      <c r="B119" t="s">
        <v>420</v>
      </c>
      <c r="H119">
        <f>D91</f>
        <v>90364</v>
      </c>
      <c r="I119">
        <f>H119</f>
        <v>90364</v>
      </c>
    </row>
    <row r="121" spans="2:9" x14ac:dyDescent="0.2">
      <c r="E121" t="s">
        <v>422</v>
      </c>
      <c r="H121">
        <f>H118/H119</f>
        <v>1.2218895732813955</v>
      </c>
      <c r="I121">
        <f>I118/I119</f>
        <v>0.61094478664069773</v>
      </c>
    </row>
    <row r="122" spans="2:9" x14ac:dyDescent="0.2">
      <c r="E122" t="s">
        <v>421</v>
      </c>
      <c r="H122">
        <f>G113</f>
        <v>0.14940612080031884</v>
      </c>
      <c r="I122">
        <f>G113</f>
        <v>0.14940612080031884</v>
      </c>
    </row>
    <row r="123" spans="2:9" x14ac:dyDescent="0.2">
      <c r="F123" t="s">
        <v>361</v>
      </c>
      <c r="H123">
        <f>H121+H122</f>
        <v>1.3712956940817143</v>
      </c>
      <c r="I123">
        <f>SUM(I121:I122)</f>
        <v>0.76035090744101663</v>
      </c>
    </row>
  </sheetData>
  <phoneticPr fontId="6" type="noConversion"/>
  <pageMargins left="0.75" right="0.75" top="1" bottom="1" header="0.5" footer="0.5"/>
  <pageSetup scale="94" orientation="portrait" r:id="rId1"/>
  <headerFooter alignWithMargins="0"/>
  <colBreaks count="1" manualBreakCount="1">
    <brk id="9" max="1048575"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19"/>
  <sheetViews>
    <sheetView workbookViewId="0"/>
  </sheetViews>
  <sheetFormatPr defaultRowHeight="15" x14ac:dyDescent="0.2"/>
  <cols>
    <col min="1" max="1" width="12" customWidth="1"/>
    <col min="10" max="10" width="9" customWidth="1"/>
  </cols>
  <sheetData>
    <row r="2" spans="1:12" x14ac:dyDescent="0.2">
      <c r="E2" t="s">
        <v>0</v>
      </c>
    </row>
    <row r="3" spans="1:12" x14ac:dyDescent="0.2">
      <c r="E3" t="s">
        <v>1</v>
      </c>
    </row>
    <row r="4" spans="1:12" x14ac:dyDescent="0.2">
      <c r="E4" t="s">
        <v>2</v>
      </c>
    </row>
    <row r="5" spans="1:12" x14ac:dyDescent="0.2">
      <c r="E5" t="s">
        <v>479</v>
      </c>
    </row>
    <row r="7" spans="1:12" x14ac:dyDescent="0.2">
      <c r="B7" t="s">
        <v>81</v>
      </c>
    </row>
    <row r="8" spans="1:12" x14ac:dyDescent="0.2">
      <c r="G8" t="s">
        <v>6</v>
      </c>
      <c r="H8" t="s">
        <v>330</v>
      </c>
      <c r="I8" t="s">
        <v>6</v>
      </c>
    </row>
    <row r="9" spans="1:12" x14ac:dyDescent="0.2">
      <c r="B9" t="s">
        <v>14</v>
      </c>
      <c r="C9" t="s">
        <v>15</v>
      </c>
      <c r="D9" t="s">
        <v>16</v>
      </c>
      <c r="E9" t="s">
        <v>18</v>
      </c>
      <c r="F9" t="s">
        <v>19</v>
      </c>
      <c r="G9" t="s">
        <v>20</v>
      </c>
      <c r="H9" t="s">
        <v>331</v>
      </c>
      <c r="I9" t="s">
        <v>333</v>
      </c>
      <c r="J9" t="s">
        <v>84</v>
      </c>
    </row>
    <row r="10" spans="1:12" x14ac:dyDescent="0.2">
      <c r="A10" t="s">
        <v>9</v>
      </c>
    </row>
    <row r="11" spans="1:12" x14ac:dyDescent="0.2">
      <c r="A11" t="s">
        <v>441</v>
      </c>
      <c r="B11">
        <v>77.17</v>
      </c>
      <c r="C11">
        <v>794.55</v>
      </c>
      <c r="D11">
        <v>77.59</v>
      </c>
      <c r="E11">
        <v>16.36</v>
      </c>
      <c r="F11">
        <v>18.87</v>
      </c>
      <c r="G11">
        <v>12.58</v>
      </c>
      <c r="H11">
        <v>22.02</v>
      </c>
      <c r="I11">
        <v>29.36</v>
      </c>
      <c r="J11">
        <f t="shared" ref="J11:J22" si="0">SUM(B11:I11)</f>
        <v>1048.5</v>
      </c>
    </row>
    <row r="12" spans="1:12" x14ac:dyDescent="0.2">
      <c r="A12" t="s">
        <v>72</v>
      </c>
      <c r="B12">
        <v>73.89</v>
      </c>
      <c r="C12">
        <v>760.78</v>
      </c>
      <c r="D12">
        <v>74.290000000000006</v>
      </c>
      <c r="E12">
        <v>15.66</v>
      </c>
      <c r="F12">
        <v>18.07</v>
      </c>
      <c r="G12">
        <v>12.05</v>
      </c>
      <c r="H12">
        <v>21.08</v>
      </c>
      <c r="I12">
        <v>28.11</v>
      </c>
      <c r="J12">
        <f t="shared" si="0"/>
        <v>1003.93</v>
      </c>
    </row>
    <row r="13" spans="1:12" x14ac:dyDescent="0.2">
      <c r="A13" t="s">
        <v>34</v>
      </c>
      <c r="B13">
        <v>80.64</v>
      </c>
      <c r="C13">
        <v>830.24</v>
      </c>
      <c r="D13">
        <v>81.069999999999993</v>
      </c>
      <c r="E13">
        <v>17.09</v>
      </c>
      <c r="F13">
        <v>19.72</v>
      </c>
      <c r="G13">
        <v>13.15</v>
      </c>
      <c r="H13">
        <v>23.01</v>
      </c>
      <c r="I13">
        <v>30.68</v>
      </c>
      <c r="J13">
        <f t="shared" si="0"/>
        <v>1095.6000000000001</v>
      </c>
    </row>
    <row r="14" spans="1:12" x14ac:dyDescent="0.2">
      <c r="A14" t="s">
        <v>35</v>
      </c>
      <c r="B14">
        <v>96.25</v>
      </c>
      <c r="C14">
        <v>991.04</v>
      </c>
      <c r="D14">
        <v>96.78</v>
      </c>
      <c r="E14">
        <v>20.399999999999999</v>
      </c>
      <c r="F14">
        <v>23.54</v>
      </c>
      <c r="G14">
        <v>15.69</v>
      </c>
      <c r="H14">
        <v>27.46</v>
      </c>
      <c r="I14">
        <v>36.619999999999997</v>
      </c>
      <c r="J14">
        <f t="shared" si="0"/>
        <v>1307.78</v>
      </c>
      <c r="L14">
        <f>SUM(K11:K14)</f>
        <v>0</v>
      </c>
    </row>
    <row r="15" spans="1:12" x14ac:dyDescent="0.2">
      <c r="A15" t="s">
        <v>442</v>
      </c>
      <c r="B15">
        <v>83.62</v>
      </c>
      <c r="C15">
        <v>860.94</v>
      </c>
      <c r="D15">
        <v>84.07</v>
      </c>
      <c r="E15">
        <v>17.72</v>
      </c>
      <c r="F15">
        <v>20.45</v>
      </c>
      <c r="G15">
        <v>13.63</v>
      </c>
      <c r="H15">
        <v>23.86</v>
      </c>
      <c r="I15">
        <v>31.81</v>
      </c>
      <c r="J15">
        <f t="shared" si="0"/>
        <v>1136.1000000000001</v>
      </c>
    </row>
    <row r="16" spans="1:12" x14ac:dyDescent="0.2">
      <c r="A16" t="s">
        <v>37</v>
      </c>
      <c r="B16">
        <v>63.78</v>
      </c>
      <c r="C16">
        <v>656.73</v>
      </c>
      <c r="D16">
        <v>64.13</v>
      </c>
      <c r="E16">
        <v>13.52</v>
      </c>
      <c r="F16">
        <v>15.8</v>
      </c>
      <c r="G16">
        <v>10.4</v>
      </c>
      <c r="H16">
        <v>18.2</v>
      </c>
      <c r="I16">
        <v>24.27</v>
      </c>
      <c r="J16">
        <f t="shared" si="0"/>
        <v>866.82999999999993</v>
      </c>
    </row>
    <row r="17" spans="1:12" x14ac:dyDescent="0.2">
      <c r="A17" t="s">
        <v>329</v>
      </c>
      <c r="B17">
        <v>76.8</v>
      </c>
      <c r="C17">
        <v>790.75</v>
      </c>
      <c r="D17">
        <v>77.22</v>
      </c>
      <c r="E17">
        <v>16.28</v>
      </c>
      <c r="F17">
        <v>18.78</v>
      </c>
      <c r="G17">
        <v>12.52</v>
      </c>
      <c r="H17">
        <v>21.91</v>
      </c>
      <c r="I17">
        <v>29.22</v>
      </c>
      <c r="J17">
        <f t="shared" si="0"/>
        <v>1043.4799999999998</v>
      </c>
    </row>
    <row r="18" spans="1:12" x14ac:dyDescent="0.2">
      <c r="A18" t="s">
        <v>95</v>
      </c>
      <c r="B18">
        <v>74.650000000000006</v>
      </c>
      <c r="C18">
        <v>768.57</v>
      </c>
      <c r="D18">
        <v>75.05</v>
      </c>
      <c r="E18">
        <v>15.82</v>
      </c>
      <c r="F18">
        <v>18.260000000000002</v>
      </c>
      <c r="G18">
        <v>12.17</v>
      </c>
      <c r="H18">
        <v>21.3</v>
      </c>
      <c r="I18">
        <v>28.4</v>
      </c>
      <c r="J18">
        <f t="shared" si="0"/>
        <v>1014.2199999999999</v>
      </c>
    </row>
    <row r="19" spans="1:12" x14ac:dyDescent="0.2">
      <c r="A19" t="s">
        <v>40</v>
      </c>
      <c r="B19">
        <v>79.510000000000005</v>
      </c>
      <c r="C19">
        <v>818.66</v>
      </c>
      <c r="D19">
        <v>79.94</v>
      </c>
      <c r="E19">
        <v>16.850000000000001</v>
      </c>
      <c r="F19">
        <v>19.45</v>
      </c>
      <c r="G19">
        <v>12.96</v>
      </c>
      <c r="H19">
        <v>22.69</v>
      </c>
      <c r="I19">
        <v>30.25</v>
      </c>
      <c r="J19">
        <f t="shared" si="0"/>
        <v>1080.31</v>
      </c>
    </row>
    <row r="20" spans="1:12" x14ac:dyDescent="0.2">
      <c r="A20" t="s">
        <v>41</v>
      </c>
      <c r="B20">
        <v>77.010000000000005</v>
      </c>
      <c r="C20">
        <v>792.88</v>
      </c>
      <c r="D20">
        <v>77.430000000000007</v>
      </c>
      <c r="E20">
        <v>16.32</v>
      </c>
      <c r="F20">
        <v>18.829999999999998</v>
      </c>
      <c r="G20">
        <v>12.56</v>
      </c>
      <c r="H20">
        <v>21.97</v>
      </c>
      <c r="I20">
        <v>29.3</v>
      </c>
      <c r="J20">
        <f t="shared" si="0"/>
        <v>1046.3</v>
      </c>
      <c r="L20">
        <f>SUM(K15:K20)</f>
        <v>0</v>
      </c>
    </row>
    <row r="21" spans="1:12" x14ac:dyDescent="0.2">
      <c r="A21" t="s">
        <v>42</v>
      </c>
      <c r="B21">
        <v>73.72</v>
      </c>
      <c r="C21">
        <v>759.07</v>
      </c>
      <c r="D21">
        <v>74.12</v>
      </c>
      <c r="E21">
        <v>15.63</v>
      </c>
      <c r="F21">
        <v>18.03</v>
      </c>
      <c r="G21">
        <v>12.02</v>
      </c>
      <c r="H21">
        <v>21.04</v>
      </c>
      <c r="I21">
        <v>28.05</v>
      </c>
      <c r="J21">
        <f t="shared" si="0"/>
        <v>1001.68</v>
      </c>
    </row>
    <row r="22" spans="1:12" x14ac:dyDescent="0.2">
      <c r="A22" t="s">
        <v>43</v>
      </c>
      <c r="B22">
        <v>78.47</v>
      </c>
      <c r="C22">
        <v>807.92</v>
      </c>
      <c r="D22">
        <v>78.89</v>
      </c>
      <c r="E22">
        <v>16.63</v>
      </c>
      <c r="F22">
        <v>19.190000000000001</v>
      </c>
      <c r="G22">
        <v>12.79</v>
      </c>
      <c r="H22">
        <v>22.39</v>
      </c>
      <c r="I22">
        <v>29.85</v>
      </c>
      <c r="J22">
        <f t="shared" si="0"/>
        <v>1066.1299999999999</v>
      </c>
    </row>
    <row r="23" spans="1:12" x14ac:dyDescent="0.2">
      <c r="A23" t="s">
        <v>22</v>
      </c>
      <c r="B23">
        <f t="shared" ref="B23:J23" si="1">SUM(B11:B22)</f>
        <v>935.51</v>
      </c>
      <c r="C23">
        <f t="shared" si="1"/>
        <v>9632.1299999999992</v>
      </c>
      <c r="D23">
        <f t="shared" si="1"/>
        <v>940.57999999999993</v>
      </c>
      <c r="E23">
        <f t="shared" si="1"/>
        <v>198.27999999999997</v>
      </c>
      <c r="F23">
        <f t="shared" si="1"/>
        <v>228.98999999999998</v>
      </c>
      <c r="G23">
        <f t="shared" si="1"/>
        <v>152.52000000000001</v>
      </c>
      <c r="H23">
        <f t="shared" si="1"/>
        <v>266.93</v>
      </c>
      <c r="I23">
        <f t="shared" si="1"/>
        <v>355.92000000000007</v>
      </c>
      <c r="J23">
        <f t="shared" si="1"/>
        <v>12710.859999999997</v>
      </c>
    </row>
    <row r="25" spans="1:12" x14ac:dyDescent="0.2">
      <c r="A25" t="s">
        <v>117</v>
      </c>
      <c r="B25">
        <f>B23/$J$23</f>
        <v>7.3599268656880823E-2</v>
      </c>
      <c r="C25">
        <f t="shared" ref="C25:I25" si="2">C23/$J$23</f>
        <v>0.75778743531122217</v>
      </c>
      <c r="D25">
        <f t="shared" si="2"/>
        <v>7.3998140173048885E-2</v>
      </c>
      <c r="E25">
        <f t="shared" si="2"/>
        <v>1.5599259216134866E-2</v>
      </c>
      <c r="F25">
        <f t="shared" si="2"/>
        <v>1.8015303449176533E-2</v>
      </c>
      <c r="G25">
        <f t="shared" si="2"/>
        <v>1.199918809584875E-2</v>
      </c>
      <c r="H25">
        <f t="shared" si="2"/>
        <v>2.100015262539278E-2</v>
      </c>
      <c r="I25">
        <f t="shared" si="2"/>
        <v>2.8001252472295356E-2</v>
      </c>
    </row>
    <row r="27" spans="1:12" x14ac:dyDescent="0.2">
      <c r="A27" t="s">
        <v>86</v>
      </c>
      <c r="B27" t="s">
        <v>6</v>
      </c>
    </row>
    <row r="28" spans="1:12" x14ac:dyDescent="0.2">
      <c r="A28" t="s">
        <v>455</v>
      </c>
    </row>
    <row r="30" spans="1:12" x14ac:dyDescent="0.2">
      <c r="A30" t="str">
        <f>A11</f>
        <v>September 10</v>
      </c>
      <c r="B30">
        <v>80</v>
      </c>
      <c r="C30">
        <v>89.92</v>
      </c>
      <c r="D30">
        <v>127.87</v>
      </c>
      <c r="E30">
        <v>1147.82</v>
      </c>
      <c r="F30">
        <v>125</v>
      </c>
      <c r="G30">
        <v>339.99</v>
      </c>
      <c r="H30">
        <v>284.43</v>
      </c>
      <c r="I30">
        <v>112.94</v>
      </c>
    </row>
    <row r="31" spans="1:12" x14ac:dyDescent="0.2">
      <c r="A31" t="s">
        <v>72</v>
      </c>
      <c r="B31">
        <v>100.8</v>
      </c>
      <c r="C31">
        <v>99.4</v>
      </c>
      <c r="D31">
        <v>141.27000000000001</v>
      </c>
      <c r="E31">
        <v>1100.6600000000001</v>
      </c>
      <c r="F31">
        <v>112.61</v>
      </c>
      <c r="G31">
        <v>407.72</v>
      </c>
      <c r="H31">
        <v>298.66000000000003</v>
      </c>
      <c r="I31">
        <v>112.94</v>
      </c>
    </row>
    <row r="32" spans="1:12" x14ac:dyDescent="0.2">
      <c r="A32" t="s">
        <v>34</v>
      </c>
      <c r="B32">
        <v>108</v>
      </c>
      <c r="C32">
        <v>104.97</v>
      </c>
      <c r="D32">
        <v>142.06</v>
      </c>
      <c r="E32">
        <v>1221.1300000000001</v>
      </c>
      <c r="F32">
        <v>114.28</v>
      </c>
      <c r="G32">
        <v>470.98</v>
      </c>
      <c r="H32">
        <v>361.6</v>
      </c>
      <c r="I32">
        <v>112.94</v>
      </c>
    </row>
    <row r="33" spans="1:10" x14ac:dyDescent="0.2">
      <c r="A33" t="s">
        <v>35</v>
      </c>
      <c r="B33">
        <v>126.01</v>
      </c>
      <c r="C33">
        <v>112.1</v>
      </c>
      <c r="D33">
        <v>156.34</v>
      </c>
      <c r="E33">
        <v>1281.3</v>
      </c>
      <c r="F33">
        <v>144.63999999999999</v>
      </c>
      <c r="G33">
        <v>461.26</v>
      </c>
      <c r="H33">
        <v>360</v>
      </c>
      <c r="I33">
        <v>112.94</v>
      </c>
    </row>
    <row r="34" spans="1:10" x14ac:dyDescent="0.2">
      <c r="A34" t="str">
        <f>A15</f>
        <v>January 11</v>
      </c>
      <c r="B34">
        <v>121.6</v>
      </c>
      <c r="C34">
        <v>113.27</v>
      </c>
      <c r="D34">
        <v>145.02000000000001</v>
      </c>
      <c r="E34">
        <v>1387.8</v>
      </c>
      <c r="F34">
        <v>171.43</v>
      </c>
      <c r="G34">
        <v>479.97</v>
      </c>
      <c r="H34">
        <v>370.7</v>
      </c>
      <c r="I34">
        <v>112.94</v>
      </c>
    </row>
    <row r="35" spans="1:10" x14ac:dyDescent="0.2">
      <c r="A35" t="s">
        <v>37</v>
      </c>
      <c r="B35">
        <v>108</v>
      </c>
      <c r="C35">
        <v>118.01</v>
      </c>
      <c r="D35">
        <v>145.37</v>
      </c>
      <c r="E35">
        <v>1419.81</v>
      </c>
      <c r="F35">
        <v>176.44</v>
      </c>
      <c r="G35">
        <v>598.94000000000005</v>
      </c>
      <c r="H35">
        <v>376</v>
      </c>
      <c r="I35">
        <v>112.94</v>
      </c>
    </row>
    <row r="36" spans="1:10" x14ac:dyDescent="0.2">
      <c r="A36" t="s">
        <v>329</v>
      </c>
      <c r="B36">
        <v>127.2</v>
      </c>
      <c r="C36">
        <v>125.02</v>
      </c>
      <c r="D36">
        <v>150.24</v>
      </c>
      <c r="E36">
        <v>1455.66</v>
      </c>
      <c r="F36">
        <v>182.14</v>
      </c>
      <c r="G36">
        <v>524.9</v>
      </c>
      <c r="H36">
        <v>396.57</v>
      </c>
      <c r="I36">
        <v>123.29</v>
      </c>
    </row>
    <row r="37" spans="1:10" x14ac:dyDescent="0.2">
      <c r="A37" t="s">
        <v>95</v>
      </c>
      <c r="B37">
        <v>127.2</v>
      </c>
      <c r="C37">
        <v>124.72</v>
      </c>
      <c r="D37">
        <v>150.51</v>
      </c>
      <c r="E37">
        <v>1528.6</v>
      </c>
      <c r="F37">
        <v>178.16</v>
      </c>
      <c r="G37">
        <v>521.05999999999995</v>
      </c>
      <c r="H37">
        <v>426.7</v>
      </c>
      <c r="I37">
        <v>123.29</v>
      </c>
    </row>
    <row r="38" spans="1:10" x14ac:dyDescent="0.2">
      <c r="A38" t="s">
        <v>40</v>
      </c>
      <c r="B38">
        <v>126.4</v>
      </c>
      <c r="C38">
        <v>123.74</v>
      </c>
      <c r="D38">
        <v>147.77000000000001</v>
      </c>
      <c r="E38">
        <v>1595.81</v>
      </c>
      <c r="F38">
        <v>160.71</v>
      </c>
      <c r="G38">
        <v>558.64</v>
      </c>
      <c r="H38">
        <v>443.02</v>
      </c>
      <c r="I38">
        <v>123.29</v>
      </c>
    </row>
    <row r="39" spans="1:10" x14ac:dyDescent="0.2">
      <c r="A39" t="s">
        <v>41</v>
      </c>
      <c r="B39">
        <v>136</v>
      </c>
      <c r="C39">
        <v>132.03</v>
      </c>
      <c r="D39">
        <v>153.11000000000001</v>
      </c>
      <c r="E39">
        <v>1480.38</v>
      </c>
      <c r="F39">
        <v>185.71</v>
      </c>
      <c r="G39">
        <v>604.08000000000004</v>
      </c>
      <c r="H39">
        <v>448</v>
      </c>
      <c r="I39">
        <v>123.29</v>
      </c>
    </row>
    <row r="40" spans="1:10" x14ac:dyDescent="0.2">
      <c r="A40" t="s">
        <v>42</v>
      </c>
      <c r="B40">
        <v>136</v>
      </c>
      <c r="C40">
        <v>139.81</v>
      </c>
      <c r="D40">
        <v>163.51</v>
      </c>
      <c r="E40">
        <v>1493.42</v>
      </c>
      <c r="F40">
        <v>185.71</v>
      </c>
      <c r="G40">
        <v>575.69000000000005</v>
      </c>
      <c r="H40">
        <v>384</v>
      </c>
      <c r="I40">
        <v>123.29</v>
      </c>
    </row>
    <row r="41" spans="1:10" x14ac:dyDescent="0.2">
      <c r="A41" t="s">
        <v>43</v>
      </c>
      <c r="B41">
        <v>137.6</v>
      </c>
      <c r="C41">
        <v>140.43</v>
      </c>
      <c r="D41">
        <v>161.54</v>
      </c>
      <c r="E41">
        <v>1475.52</v>
      </c>
      <c r="F41">
        <v>192</v>
      </c>
      <c r="G41">
        <v>553.91999999999996</v>
      </c>
      <c r="H41">
        <v>352</v>
      </c>
      <c r="I41">
        <v>123.29</v>
      </c>
    </row>
    <row r="43" spans="1:10" x14ac:dyDescent="0.2">
      <c r="A43" t="s">
        <v>24</v>
      </c>
      <c r="C43" t="s">
        <v>6</v>
      </c>
      <c r="G43" t="s">
        <v>6</v>
      </c>
      <c r="H43" t="s">
        <v>330</v>
      </c>
      <c r="I43" t="s">
        <v>6</v>
      </c>
    </row>
    <row r="44" spans="1:10" x14ac:dyDescent="0.2">
      <c r="B44" t="s">
        <v>14</v>
      </c>
      <c r="C44" t="s">
        <v>15</v>
      </c>
      <c r="D44" t="s">
        <v>16</v>
      </c>
      <c r="E44" t="s">
        <v>18</v>
      </c>
      <c r="F44" t="s">
        <v>19</v>
      </c>
      <c r="G44" t="s">
        <v>20</v>
      </c>
      <c r="H44" t="s">
        <v>331</v>
      </c>
      <c r="I44" t="s">
        <v>333</v>
      </c>
      <c r="J44" t="s">
        <v>84</v>
      </c>
    </row>
    <row r="46" spans="1:10" x14ac:dyDescent="0.2">
      <c r="A46" t="str">
        <f>A30</f>
        <v>September 10</v>
      </c>
      <c r="B46">
        <f t="shared" ref="B46:H57" si="3">+B11*B30</f>
        <v>6173.6</v>
      </c>
      <c r="C46">
        <f t="shared" si="3"/>
        <v>71445.936000000002</v>
      </c>
      <c r="D46">
        <f t="shared" si="3"/>
        <v>9921.4333000000006</v>
      </c>
      <c r="E46">
        <f t="shared" si="3"/>
        <v>18778.335199999998</v>
      </c>
      <c r="F46">
        <f t="shared" si="3"/>
        <v>2358.75</v>
      </c>
      <c r="G46">
        <f t="shared" si="3"/>
        <v>4277.0742</v>
      </c>
      <c r="H46">
        <f t="shared" si="3"/>
        <v>6263.1486000000004</v>
      </c>
      <c r="I46">
        <f t="shared" ref="I46:I57" si="4">+I11*-I30</f>
        <v>-3315.9184</v>
      </c>
      <c r="J46">
        <f>SUM(B46:I46)</f>
        <v>115902.35890000002</v>
      </c>
    </row>
    <row r="47" spans="1:10" x14ac:dyDescent="0.2">
      <c r="A47" t="s">
        <v>72</v>
      </c>
      <c r="B47">
        <f t="shared" si="3"/>
        <v>7448.1120000000001</v>
      </c>
      <c r="C47">
        <f t="shared" si="3"/>
        <v>75621.532000000007</v>
      </c>
      <c r="D47">
        <f t="shared" si="3"/>
        <v>10494.948300000002</v>
      </c>
      <c r="E47">
        <f t="shared" si="3"/>
        <v>17236.335600000002</v>
      </c>
      <c r="F47">
        <f t="shared" si="3"/>
        <v>2034.8627000000001</v>
      </c>
      <c r="G47">
        <f t="shared" si="3"/>
        <v>4913.0260000000007</v>
      </c>
      <c r="H47">
        <f t="shared" si="3"/>
        <v>6295.7528000000002</v>
      </c>
      <c r="I47">
        <f t="shared" si="4"/>
        <v>-3174.7433999999998</v>
      </c>
      <c r="J47">
        <f>SUM(B47:I47)</f>
        <v>120869.826</v>
      </c>
    </row>
    <row r="48" spans="1:10" x14ac:dyDescent="0.2">
      <c r="A48" t="s">
        <v>34</v>
      </c>
      <c r="B48">
        <f t="shared" si="3"/>
        <v>8709.1200000000008</v>
      </c>
      <c r="C48">
        <f t="shared" si="3"/>
        <v>87150.292799999996</v>
      </c>
      <c r="D48">
        <f t="shared" si="3"/>
        <v>11516.804199999999</v>
      </c>
      <c r="E48">
        <f t="shared" si="3"/>
        <v>20869.111700000001</v>
      </c>
      <c r="F48">
        <f t="shared" si="3"/>
        <v>2253.6016</v>
      </c>
      <c r="G48">
        <f t="shared" si="3"/>
        <v>6193.3870000000006</v>
      </c>
      <c r="H48">
        <f t="shared" si="3"/>
        <v>8320.4160000000011</v>
      </c>
      <c r="I48">
        <f t="shared" si="4"/>
        <v>-3464.9991999999997</v>
      </c>
      <c r="J48">
        <f t="shared" ref="J48:J57" si="5">SUM(B48:I48)</f>
        <v>141547.73409999997</v>
      </c>
    </row>
    <row r="49" spans="1:10" x14ac:dyDescent="0.2">
      <c r="A49" t="s">
        <v>35</v>
      </c>
      <c r="B49">
        <f t="shared" si="3"/>
        <v>12128.4625</v>
      </c>
      <c r="C49">
        <f t="shared" si="3"/>
        <v>111095.58399999999</v>
      </c>
      <c r="D49">
        <f t="shared" si="3"/>
        <v>15130.585200000001</v>
      </c>
      <c r="E49">
        <f t="shared" si="3"/>
        <v>26138.519999999997</v>
      </c>
      <c r="F49">
        <f t="shared" si="3"/>
        <v>3404.8255999999997</v>
      </c>
      <c r="G49">
        <f t="shared" si="3"/>
        <v>7237.1693999999998</v>
      </c>
      <c r="H49">
        <f t="shared" si="3"/>
        <v>9885.6</v>
      </c>
      <c r="I49">
        <f t="shared" si="4"/>
        <v>-4135.8627999999999</v>
      </c>
      <c r="J49">
        <f t="shared" si="5"/>
        <v>180884.88389999999</v>
      </c>
    </row>
    <row r="50" spans="1:10" x14ac:dyDescent="0.2">
      <c r="A50" t="str">
        <f>A34</f>
        <v>January 11</v>
      </c>
      <c r="B50">
        <f t="shared" si="3"/>
        <v>10168.192000000001</v>
      </c>
      <c r="C50">
        <f t="shared" si="3"/>
        <v>97518.673800000004</v>
      </c>
      <c r="D50">
        <f t="shared" si="3"/>
        <v>12191.831399999999</v>
      </c>
      <c r="E50">
        <f t="shared" si="3"/>
        <v>24591.815999999999</v>
      </c>
      <c r="F50">
        <f t="shared" si="3"/>
        <v>3505.7435</v>
      </c>
      <c r="G50">
        <f t="shared" si="3"/>
        <v>6541.9911000000011</v>
      </c>
      <c r="H50">
        <f t="shared" si="3"/>
        <v>8844.902</v>
      </c>
      <c r="I50">
        <f t="shared" si="4"/>
        <v>-3592.6214</v>
      </c>
      <c r="J50">
        <f t="shared" si="5"/>
        <v>159770.52840000001</v>
      </c>
    </row>
    <row r="51" spans="1:10" x14ac:dyDescent="0.2">
      <c r="A51" t="s">
        <v>37</v>
      </c>
      <c r="B51">
        <f t="shared" si="3"/>
        <v>6888.24</v>
      </c>
      <c r="C51">
        <f t="shared" si="3"/>
        <v>77500.707300000009</v>
      </c>
      <c r="D51">
        <f t="shared" si="3"/>
        <v>9322.5780999999988</v>
      </c>
      <c r="E51">
        <f t="shared" si="3"/>
        <v>19195.831199999997</v>
      </c>
      <c r="F51">
        <f t="shared" si="3"/>
        <v>2787.752</v>
      </c>
      <c r="G51">
        <f t="shared" si="3"/>
        <v>6228.9760000000006</v>
      </c>
      <c r="H51">
        <f t="shared" si="3"/>
        <v>6843.2</v>
      </c>
      <c r="I51">
        <f t="shared" si="4"/>
        <v>-2741.0537999999997</v>
      </c>
      <c r="J51">
        <f t="shared" si="5"/>
        <v>126026.2308</v>
      </c>
    </row>
    <row r="52" spans="1:10" x14ac:dyDescent="0.2">
      <c r="A52" t="s">
        <v>329</v>
      </c>
      <c r="B52">
        <f t="shared" si="3"/>
        <v>9768.9599999999991</v>
      </c>
      <c r="C52">
        <f t="shared" si="3"/>
        <v>98859.565000000002</v>
      </c>
      <c r="D52">
        <f t="shared" si="3"/>
        <v>11601.532800000001</v>
      </c>
      <c r="E52">
        <f t="shared" si="3"/>
        <v>23698.144800000002</v>
      </c>
      <c r="F52">
        <f t="shared" si="3"/>
        <v>3420.5891999999999</v>
      </c>
      <c r="G52">
        <f t="shared" si="3"/>
        <v>6571.7479999999996</v>
      </c>
      <c r="H52">
        <f t="shared" si="3"/>
        <v>8688.8487000000005</v>
      </c>
      <c r="I52">
        <f t="shared" si="4"/>
        <v>-3602.5338000000002</v>
      </c>
      <c r="J52">
        <f t="shared" si="5"/>
        <v>159006.85469999997</v>
      </c>
    </row>
    <row r="53" spans="1:10" x14ac:dyDescent="0.2">
      <c r="A53" t="s">
        <v>95</v>
      </c>
      <c r="B53">
        <f t="shared" si="3"/>
        <v>9495.4800000000014</v>
      </c>
      <c r="C53">
        <f t="shared" si="3"/>
        <v>95856.050400000007</v>
      </c>
      <c r="D53">
        <f t="shared" si="3"/>
        <v>11295.7755</v>
      </c>
      <c r="E53">
        <f t="shared" si="3"/>
        <v>24182.451999999997</v>
      </c>
      <c r="F53">
        <f t="shared" si="3"/>
        <v>3253.2016000000003</v>
      </c>
      <c r="G53">
        <f t="shared" si="3"/>
        <v>6341.3001999999997</v>
      </c>
      <c r="H53">
        <f t="shared" si="3"/>
        <v>9088.7100000000009</v>
      </c>
      <c r="I53">
        <f t="shared" si="4"/>
        <v>-3501.4360000000001</v>
      </c>
      <c r="J53">
        <f t="shared" si="5"/>
        <v>156011.5337</v>
      </c>
    </row>
    <row r="54" spans="1:10" x14ac:dyDescent="0.2">
      <c r="A54" t="s">
        <v>40</v>
      </c>
      <c r="B54">
        <f t="shared" si="3"/>
        <v>10050.064</v>
      </c>
      <c r="C54">
        <f t="shared" si="3"/>
        <v>101300.98839999999</v>
      </c>
      <c r="D54">
        <f t="shared" si="3"/>
        <v>11812.7338</v>
      </c>
      <c r="E54">
        <f t="shared" si="3"/>
        <v>26889.398500000003</v>
      </c>
      <c r="F54">
        <f t="shared" si="3"/>
        <v>3125.8094999999998</v>
      </c>
      <c r="G54">
        <f t="shared" si="3"/>
        <v>7239.9744000000001</v>
      </c>
      <c r="H54">
        <f t="shared" si="3"/>
        <v>10052.123799999999</v>
      </c>
      <c r="I54">
        <f t="shared" si="4"/>
        <v>-3729.5225</v>
      </c>
      <c r="J54">
        <f t="shared" si="5"/>
        <v>166741.5699</v>
      </c>
    </row>
    <row r="55" spans="1:10" x14ac:dyDescent="0.2">
      <c r="A55" t="s">
        <v>41</v>
      </c>
      <c r="B55">
        <f t="shared" si="3"/>
        <v>10473.36</v>
      </c>
      <c r="C55">
        <f t="shared" si="3"/>
        <v>104683.9464</v>
      </c>
      <c r="D55">
        <f t="shared" si="3"/>
        <v>11855.307300000002</v>
      </c>
      <c r="E55">
        <f t="shared" si="3"/>
        <v>24159.801600000003</v>
      </c>
      <c r="F55">
        <f t="shared" si="3"/>
        <v>3496.9193</v>
      </c>
      <c r="G55">
        <f t="shared" si="3"/>
        <v>7587.2448000000004</v>
      </c>
      <c r="H55">
        <f t="shared" si="3"/>
        <v>9842.56</v>
      </c>
      <c r="I55">
        <f t="shared" si="4"/>
        <v>-3612.3970000000004</v>
      </c>
      <c r="J55">
        <f t="shared" si="5"/>
        <v>168486.74239999999</v>
      </c>
    </row>
    <row r="56" spans="1:10" x14ac:dyDescent="0.2">
      <c r="A56" t="s">
        <v>42</v>
      </c>
      <c r="B56">
        <f t="shared" si="3"/>
        <v>10025.92</v>
      </c>
      <c r="C56">
        <f t="shared" si="3"/>
        <v>106125.57670000001</v>
      </c>
      <c r="D56">
        <f t="shared" si="3"/>
        <v>12119.361199999999</v>
      </c>
      <c r="E56">
        <f t="shared" si="3"/>
        <v>23342.154600000002</v>
      </c>
      <c r="F56">
        <f t="shared" si="3"/>
        <v>3348.3513000000003</v>
      </c>
      <c r="G56">
        <f t="shared" si="3"/>
        <v>6919.7938000000004</v>
      </c>
      <c r="H56">
        <f t="shared" si="3"/>
        <v>8079.36</v>
      </c>
      <c r="I56">
        <f t="shared" si="4"/>
        <v>-3458.2845000000002</v>
      </c>
      <c r="J56">
        <f t="shared" si="5"/>
        <v>166502.23310000001</v>
      </c>
    </row>
    <row r="57" spans="1:10" x14ac:dyDescent="0.2">
      <c r="A57" t="s">
        <v>43</v>
      </c>
      <c r="B57">
        <f t="shared" si="3"/>
        <v>10797.472</v>
      </c>
      <c r="C57">
        <f t="shared" si="3"/>
        <v>113456.2056</v>
      </c>
      <c r="D57">
        <f t="shared" si="3"/>
        <v>12743.890599999999</v>
      </c>
      <c r="E57">
        <f t="shared" si="3"/>
        <v>24537.897599999997</v>
      </c>
      <c r="F57">
        <f t="shared" si="3"/>
        <v>3684.4800000000005</v>
      </c>
      <c r="G57">
        <f t="shared" si="3"/>
        <v>7084.6367999999993</v>
      </c>
      <c r="H57">
        <f t="shared" si="3"/>
        <v>7881.2800000000007</v>
      </c>
      <c r="I57">
        <f t="shared" si="4"/>
        <v>-3680.2065000000002</v>
      </c>
      <c r="J57">
        <f t="shared" si="5"/>
        <v>176505.65609999999</v>
      </c>
    </row>
    <row r="58" spans="1:10" x14ac:dyDescent="0.2">
      <c r="A58" t="s">
        <v>88</v>
      </c>
      <c r="B58">
        <f>SUM(B46:B57)</f>
        <v>112126.9825</v>
      </c>
      <c r="C58">
        <f t="shared" ref="C58:H58" si="6">SUM(C46:C57)</f>
        <v>1140615.0584</v>
      </c>
      <c r="D58">
        <f t="shared" si="6"/>
        <v>140006.78169999999</v>
      </c>
      <c r="E58">
        <f t="shared" si="6"/>
        <v>273619.79879999999</v>
      </c>
      <c r="F58">
        <f t="shared" si="6"/>
        <v>36674.886300000006</v>
      </c>
      <c r="G58">
        <f t="shared" si="6"/>
        <v>77136.3217</v>
      </c>
      <c r="H58">
        <f t="shared" si="6"/>
        <v>100085.9019</v>
      </c>
      <c r="I58">
        <f>SUM(I46:I57)</f>
        <v>-42009.579300000005</v>
      </c>
      <c r="J58">
        <f>SUM(J46:J57)</f>
        <v>1838256.1520000002</v>
      </c>
    </row>
    <row r="60" spans="1:10" x14ac:dyDescent="0.2">
      <c r="A60" t="s">
        <v>89</v>
      </c>
    </row>
    <row r="61" spans="1:10" x14ac:dyDescent="0.2">
      <c r="J61" t="s">
        <v>6</v>
      </c>
    </row>
    <row r="62" spans="1:10" x14ac:dyDescent="0.2">
      <c r="J62" t="s">
        <v>6</v>
      </c>
    </row>
    <row r="63" spans="1:10" x14ac:dyDescent="0.2">
      <c r="F63" t="s">
        <v>0</v>
      </c>
    </row>
    <row r="64" spans="1:10" x14ac:dyDescent="0.2">
      <c r="F64" t="s">
        <v>1</v>
      </c>
    </row>
    <row r="65" spans="1:10" x14ac:dyDescent="0.2">
      <c r="F65" t="s">
        <v>378</v>
      </c>
    </row>
    <row r="66" spans="1:10" x14ac:dyDescent="0.2">
      <c r="F66" t="str">
        <f>E5</f>
        <v>After Twelfth Year</v>
      </c>
    </row>
    <row r="68" spans="1:10" x14ac:dyDescent="0.2">
      <c r="B68" t="s">
        <v>81</v>
      </c>
    </row>
    <row r="69" spans="1:10" x14ac:dyDescent="0.2">
      <c r="G69" t="s">
        <v>6</v>
      </c>
      <c r="H69" t="s">
        <v>330</v>
      </c>
      <c r="I69" t="s">
        <v>6</v>
      </c>
    </row>
    <row r="70" spans="1:10" x14ac:dyDescent="0.2">
      <c r="A70" t="s">
        <v>9</v>
      </c>
      <c r="B70" t="s">
        <v>14</v>
      </c>
      <c r="C70" t="s">
        <v>15</v>
      </c>
      <c r="D70" t="s">
        <v>16</v>
      </c>
      <c r="E70" t="s">
        <v>18</v>
      </c>
      <c r="F70" t="s">
        <v>19</v>
      </c>
      <c r="G70" t="s">
        <v>20</v>
      </c>
      <c r="H70" t="s">
        <v>331</v>
      </c>
      <c r="I70" t="s">
        <v>333</v>
      </c>
      <c r="J70" t="s">
        <v>84</v>
      </c>
    </row>
    <row r="72" spans="1:10" x14ac:dyDescent="0.2">
      <c r="A72" t="s">
        <v>441</v>
      </c>
      <c r="B72">
        <v>3.86</v>
      </c>
      <c r="C72">
        <v>56.1</v>
      </c>
      <c r="D72">
        <v>11.48</v>
      </c>
      <c r="E72">
        <v>0.67</v>
      </c>
      <c r="F72">
        <v>0.7</v>
      </c>
      <c r="G72">
        <v>0.44</v>
      </c>
      <c r="H72">
        <v>0.32</v>
      </c>
      <c r="I72">
        <v>8.7100000000000009</v>
      </c>
      <c r="J72">
        <f>SUM(B72:I72)</f>
        <v>82.28</v>
      </c>
    </row>
    <row r="73" spans="1:10" x14ac:dyDescent="0.2">
      <c r="A73" t="s">
        <v>72</v>
      </c>
      <c r="B73">
        <v>3.81</v>
      </c>
      <c r="C73">
        <v>56.1</v>
      </c>
      <c r="D73">
        <v>11.4</v>
      </c>
      <c r="E73">
        <v>0.64</v>
      </c>
      <c r="F73">
        <v>0.7</v>
      </c>
      <c r="G73">
        <v>0.44</v>
      </c>
      <c r="H73">
        <v>0.32</v>
      </c>
      <c r="I73">
        <v>8.5</v>
      </c>
      <c r="J73">
        <f t="shared" ref="J73:J83" si="7">SUM(B73:I73)</f>
        <v>81.91</v>
      </c>
    </row>
    <row r="74" spans="1:10" x14ac:dyDescent="0.2">
      <c r="A74" t="s">
        <v>34</v>
      </c>
      <c r="B74">
        <v>3.81</v>
      </c>
      <c r="C74">
        <v>56.1</v>
      </c>
      <c r="D74">
        <v>11.4</v>
      </c>
      <c r="E74">
        <v>0.64</v>
      </c>
      <c r="F74">
        <v>0.7</v>
      </c>
      <c r="G74">
        <v>0.32</v>
      </c>
      <c r="H74">
        <v>0.44</v>
      </c>
      <c r="I74">
        <v>8.3000000000000007</v>
      </c>
      <c r="J74">
        <f t="shared" si="7"/>
        <v>81.709999999999994</v>
      </c>
    </row>
    <row r="75" spans="1:10" x14ac:dyDescent="0.2">
      <c r="A75" t="s">
        <v>35</v>
      </c>
      <c r="B75">
        <v>3.81</v>
      </c>
      <c r="C75">
        <v>56.1</v>
      </c>
      <c r="D75">
        <v>11.4</v>
      </c>
      <c r="E75">
        <v>0.64</v>
      </c>
      <c r="F75">
        <v>0.7</v>
      </c>
      <c r="G75">
        <v>0.44</v>
      </c>
      <c r="H75">
        <v>0.32</v>
      </c>
      <c r="I75">
        <v>8.66</v>
      </c>
      <c r="J75">
        <f t="shared" si="7"/>
        <v>82.07</v>
      </c>
    </row>
    <row r="76" spans="1:10" x14ac:dyDescent="0.2">
      <c r="A76" t="s">
        <v>442</v>
      </c>
      <c r="B76">
        <v>3.81</v>
      </c>
      <c r="C76">
        <v>56.1</v>
      </c>
      <c r="D76">
        <v>11.4</v>
      </c>
      <c r="E76">
        <v>0.64</v>
      </c>
      <c r="F76">
        <v>0.7</v>
      </c>
      <c r="G76">
        <v>0.44</v>
      </c>
      <c r="H76">
        <v>0.32</v>
      </c>
      <c r="I76">
        <v>8.24</v>
      </c>
      <c r="J76">
        <f t="shared" si="7"/>
        <v>81.649999999999991</v>
      </c>
    </row>
    <row r="77" spans="1:10" x14ac:dyDescent="0.2">
      <c r="A77" t="s">
        <v>37</v>
      </c>
      <c r="B77">
        <v>3.81</v>
      </c>
      <c r="C77">
        <v>56.1</v>
      </c>
      <c r="D77">
        <v>11.4</v>
      </c>
      <c r="E77">
        <v>0.64</v>
      </c>
      <c r="F77">
        <v>0.7</v>
      </c>
      <c r="G77">
        <v>0.44</v>
      </c>
      <c r="H77">
        <v>0.32</v>
      </c>
      <c r="I77">
        <v>7.81</v>
      </c>
      <c r="J77">
        <f t="shared" si="7"/>
        <v>81.22</v>
      </c>
    </row>
    <row r="78" spans="1:10" x14ac:dyDescent="0.2">
      <c r="A78" t="s">
        <v>329</v>
      </c>
      <c r="B78">
        <v>3.81</v>
      </c>
      <c r="C78">
        <v>56.1</v>
      </c>
      <c r="D78">
        <v>11.4</v>
      </c>
      <c r="E78">
        <v>0.64</v>
      </c>
      <c r="F78">
        <v>0.7</v>
      </c>
      <c r="G78">
        <v>0.44</v>
      </c>
      <c r="H78">
        <v>0.32</v>
      </c>
      <c r="I78">
        <v>8.11</v>
      </c>
      <c r="J78">
        <f t="shared" si="7"/>
        <v>81.52</v>
      </c>
    </row>
    <row r="79" spans="1:10" x14ac:dyDescent="0.2">
      <c r="A79" t="s">
        <v>95</v>
      </c>
      <c r="B79">
        <v>3.81</v>
      </c>
      <c r="C79">
        <v>56.1</v>
      </c>
      <c r="D79">
        <v>11.4</v>
      </c>
      <c r="E79">
        <v>0.64</v>
      </c>
      <c r="F79">
        <v>0.7</v>
      </c>
      <c r="G79">
        <v>0.44</v>
      </c>
      <c r="H79">
        <v>0.32</v>
      </c>
      <c r="I79">
        <v>7.38</v>
      </c>
      <c r="J79">
        <f t="shared" si="7"/>
        <v>80.789999999999992</v>
      </c>
    </row>
    <row r="80" spans="1:10" x14ac:dyDescent="0.2">
      <c r="A80" t="s">
        <v>40</v>
      </c>
      <c r="B80">
        <v>3.81</v>
      </c>
      <c r="C80">
        <v>56.1</v>
      </c>
      <c r="D80">
        <v>11.4</v>
      </c>
      <c r="E80">
        <v>0.64</v>
      </c>
      <c r="F80">
        <v>0.7</v>
      </c>
      <c r="G80">
        <v>0.44</v>
      </c>
      <c r="H80">
        <v>0.32</v>
      </c>
      <c r="I80">
        <v>7.69</v>
      </c>
      <c r="J80">
        <f t="shared" si="7"/>
        <v>81.099999999999994</v>
      </c>
    </row>
    <row r="81" spans="1:10" x14ac:dyDescent="0.2">
      <c r="A81" t="s">
        <v>41</v>
      </c>
      <c r="B81">
        <v>3.81</v>
      </c>
      <c r="C81">
        <v>56.1</v>
      </c>
      <c r="D81">
        <v>11.4</v>
      </c>
      <c r="E81">
        <v>0.64</v>
      </c>
      <c r="F81">
        <v>0.7</v>
      </c>
      <c r="G81">
        <v>0.32</v>
      </c>
      <c r="H81">
        <v>0.44</v>
      </c>
      <c r="I81">
        <v>7.66</v>
      </c>
      <c r="J81">
        <f t="shared" si="7"/>
        <v>81.069999999999993</v>
      </c>
    </row>
    <row r="82" spans="1:10" x14ac:dyDescent="0.2">
      <c r="A82" t="s">
        <v>42</v>
      </c>
      <c r="B82">
        <v>3.81</v>
      </c>
      <c r="C82">
        <v>56.1</v>
      </c>
      <c r="D82">
        <v>11.4</v>
      </c>
      <c r="E82">
        <v>0.64</v>
      </c>
      <c r="F82">
        <v>0.7</v>
      </c>
      <c r="G82">
        <v>0.44</v>
      </c>
      <c r="H82">
        <v>0.32</v>
      </c>
      <c r="I82">
        <v>7.29</v>
      </c>
      <c r="J82">
        <f t="shared" si="7"/>
        <v>80.7</v>
      </c>
    </row>
    <row r="83" spans="1:10" x14ac:dyDescent="0.2">
      <c r="A83" t="s">
        <v>43</v>
      </c>
      <c r="B83">
        <v>3.81</v>
      </c>
      <c r="C83">
        <v>56.1</v>
      </c>
      <c r="D83">
        <v>11.4</v>
      </c>
      <c r="E83">
        <v>0.64</v>
      </c>
      <c r="F83">
        <v>0.7</v>
      </c>
      <c r="G83">
        <v>0.44</v>
      </c>
      <c r="H83">
        <v>0.32</v>
      </c>
      <c r="I83">
        <v>7.98</v>
      </c>
      <c r="J83">
        <f t="shared" si="7"/>
        <v>81.39</v>
      </c>
    </row>
    <row r="84" spans="1:10" x14ac:dyDescent="0.2">
      <c r="A84" t="s">
        <v>22</v>
      </c>
      <c r="B84">
        <f>SUM(B72:B83)</f>
        <v>45.77</v>
      </c>
      <c r="C84">
        <f t="shared" ref="C84:H84" si="8">SUM(C72:C83)</f>
        <v>673.20000000000016</v>
      </c>
      <c r="D84">
        <f t="shared" si="8"/>
        <v>136.88000000000002</v>
      </c>
      <c r="E84">
        <f t="shared" si="8"/>
        <v>7.7099999999999991</v>
      </c>
      <c r="F84">
        <f t="shared" si="8"/>
        <v>8.4</v>
      </c>
      <c r="G84">
        <f t="shared" si="8"/>
        <v>5.0400000000000009</v>
      </c>
      <c r="H84">
        <f t="shared" si="8"/>
        <v>4.0799999999999992</v>
      </c>
      <c r="I84">
        <f>SUM(I72:I83)</f>
        <v>96.330000000000013</v>
      </c>
      <c r="J84">
        <f>SUM(J72:J83)</f>
        <v>977.41</v>
      </c>
    </row>
    <row r="86" spans="1:10" x14ac:dyDescent="0.2">
      <c r="A86" t="s">
        <v>117</v>
      </c>
      <c r="B86">
        <f>B84/$J$84</f>
        <v>4.6827840926530327E-2</v>
      </c>
      <c r="C86">
        <f t="shared" ref="C86:J86" si="9">C84/$J$84</f>
        <v>0.68875906733100767</v>
      </c>
      <c r="D86">
        <f t="shared" si="9"/>
        <v>0.14004358457556199</v>
      </c>
      <c r="E86">
        <f t="shared" si="9"/>
        <v>7.8881943094504855E-3</v>
      </c>
      <c r="F86">
        <f t="shared" si="9"/>
        <v>8.5941416601016986E-3</v>
      </c>
      <c r="G86">
        <f t="shared" si="9"/>
        <v>5.1564849960610195E-3</v>
      </c>
      <c r="H86">
        <f t="shared" si="9"/>
        <v>4.174297377763681E-3</v>
      </c>
      <c r="I86">
        <f t="shared" si="9"/>
        <v>9.8556388823523411E-2</v>
      </c>
      <c r="J86">
        <f t="shared" si="9"/>
        <v>1</v>
      </c>
    </row>
    <row r="88" spans="1:10" x14ac:dyDescent="0.2">
      <c r="A88" t="s">
        <v>86</v>
      </c>
    </row>
    <row r="89" spans="1:10" x14ac:dyDescent="0.2">
      <c r="A89" t="str">
        <f>A28</f>
        <v>Stated at 80% of Market</v>
      </c>
    </row>
    <row r="91" spans="1:10" x14ac:dyDescent="0.2">
      <c r="A91" t="s">
        <v>441</v>
      </c>
      <c r="B91">
        <f t="shared" ref="B91:I102" si="10">B30</f>
        <v>80</v>
      </c>
      <c r="C91">
        <f t="shared" si="10"/>
        <v>89.92</v>
      </c>
      <c r="D91">
        <f t="shared" si="10"/>
        <v>127.87</v>
      </c>
      <c r="E91">
        <f t="shared" si="10"/>
        <v>1147.82</v>
      </c>
      <c r="F91">
        <f t="shared" si="10"/>
        <v>125</v>
      </c>
      <c r="G91">
        <f t="shared" si="10"/>
        <v>339.99</v>
      </c>
      <c r="H91">
        <f t="shared" si="10"/>
        <v>284.43</v>
      </c>
      <c r="I91">
        <v>112.94</v>
      </c>
    </row>
    <row r="92" spans="1:10" x14ac:dyDescent="0.2">
      <c r="A92" t="s">
        <v>72</v>
      </c>
      <c r="B92">
        <f t="shared" si="10"/>
        <v>100.8</v>
      </c>
      <c r="C92">
        <f t="shared" si="10"/>
        <v>99.4</v>
      </c>
      <c r="D92">
        <f t="shared" si="10"/>
        <v>141.27000000000001</v>
      </c>
      <c r="E92">
        <f t="shared" si="10"/>
        <v>1100.6600000000001</v>
      </c>
      <c r="F92">
        <f t="shared" si="10"/>
        <v>112.61</v>
      </c>
      <c r="G92">
        <f t="shared" si="10"/>
        <v>407.72</v>
      </c>
      <c r="H92">
        <f t="shared" si="10"/>
        <v>298.66000000000003</v>
      </c>
      <c r="I92">
        <v>112.94</v>
      </c>
    </row>
    <row r="93" spans="1:10" x14ac:dyDescent="0.2">
      <c r="A93" t="s">
        <v>34</v>
      </c>
      <c r="B93">
        <f t="shared" si="10"/>
        <v>108</v>
      </c>
      <c r="C93">
        <f t="shared" si="10"/>
        <v>104.97</v>
      </c>
      <c r="D93">
        <f t="shared" si="10"/>
        <v>142.06</v>
      </c>
      <c r="E93">
        <f t="shared" si="10"/>
        <v>1221.1300000000001</v>
      </c>
      <c r="F93">
        <f t="shared" si="10"/>
        <v>114.28</v>
      </c>
      <c r="G93">
        <f t="shared" si="10"/>
        <v>470.98</v>
      </c>
      <c r="H93">
        <f t="shared" si="10"/>
        <v>361.6</v>
      </c>
      <c r="I93">
        <v>112.94</v>
      </c>
    </row>
    <row r="94" spans="1:10" x14ac:dyDescent="0.2">
      <c r="A94" t="s">
        <v>35</v>
      </c>
      <c r="B94">
        <f t="shared" si="10"/>
        <v>126.01</v>
      </c>
      <c r="C94">
        <f t="shared" si="10"/>
        <v>112.1</v>
      </c>
      <c r="D94">
        <f t="shared" si="10"/>
        <v>156.34</v>
      </c>
      <c r="E94">
        <f t="shared" si="10"/>
        <v>1281.3</v>
      </c>
      <c r="F94">
        <f t="shared" si="10"/>
        <v>144.63999999999999</v>
      </c>
      <c r="G94">
        <f t="shared" si="10"/>
        <v>461.26</v>
      </c>
      <c r="H94">
        <f t="shared" si="10"/>
        <v>360</v>
      </c>
      <c r="I94">
        <v>112.94</v>
      </c>
    </row>
    <row r="95" spans="1:10" x14ac:dyDescent="0.2">
      <c r="A95" t="s">
        <v>442</v>
      </c>
      <c r="B95">
        <f t="shared" si="10"/>
        <v>121.6</v>
      </c>
      <c r="C95">
        <f t="shared" si="10"/>
        <v>113.27</v>
      </c>
      <c r="D95">
        <f t="shared" si="10"/>
        <v>145.02000000000001</v>
      </c>
      <c r="E95">
        <f t="shared" si="10"/>
        <v>1387.8</v>
      </c>
      <c r="F95">
        <f t="shared" si="10"/>
        <v>171.43</v>
      </c>
      <c r="G95">
        <f t="shared" si="10"/>
        <v>479.97</v>
      </c>
      <c r="H95">
        <f t="shared" si="10"/>
        <v>370.7</v>
      </c>
      <c r="I95">
        <v>112.94</v>
      </c>
    </row>
    <row r="96" spans="1:10" x14ac:dyDescent="0.2">
      <c r="A96" t="s">
        <v>37</v>
      </c>
      <c r="B96">
        <f t="shared" si="10"/>
        <v>108</v>
      </c>
      <c r="C96">
        <f t="shared" si="10"/>
        <v>118.01</v>
      </c>
      <c r="D96">
        <f t="shared" si="10"/>
        <v>145.37</v>
      </c>
      <c r="E96">
        <f t="shared" si="10"/>
        <v>1419.81</v>
      </c>
      <c r="F96">
        <f t="shared" si="10"/>
        <v>176.44</v>
      </c>
      <c r="G96">
        <f t="shared" si="10"/>
        <v>598.94000000000005</v>
      </c>
      <c r="H96">
        <f t="shared" si="10"/>
        <v>376</v>
      </c>
      <c r="I96">
        <v>112.94</v>
      </c>
    </row>
    <row r="97" spans="1:10" x14ac:dyDescent="0.2">
      <c r="A97" t="s">
        <v>329</v>
      </c>
      <c r="B97">
        <f t="shared" si="10"/>
        <v>127.2</v>
      </c>
      <c r="C97">
        <f t="shared" si="10"/>
        <v>125.02</v>
      </c>
      <c r="D97">
        <f t="shared" si="10"/>
        <v>150.24</v>
      </c>
      <c r="E97">
        <f t="shared" si="10"/>
        <v>1455.66</v>
      </c>
      <c r="F97">
        <f t="shared" si="10"/>
        <v>182.14</v>
      </c>
      <c r="G97">
        <f t="shared" si="10"/>
        <v>524.9</v>
      </c>
      <c r="H97">
        <f t="shared" si="10"/>
        <v>396.57</v>
      </c>
      <c r="I97">
        <f t="shared" si="10"/>
        <v>123.29</v>
      </c>
    </row>
    <row r="98" spans="1:10" x14ac:dyDescent="0.2">
      <c r="A98" t="s">
        <v>95</v>
      </c>
      <c r="B98">
        <f t="shared" si="10"/>
        <v>127.2</v>
      </c>
      <c r="C98">
        <f t="shared" si="10"/>
        <v>124.72</v>
      </c>
      <c r="D98">
        <f t="shared" si="10"/>
        <v>150.51</v>
      </c>
      <c r="E98">
        <f t="shared" si="10"/>
        <v>1528.6</v>
      </c>
      <c r="F98">
        <f t="shared" si="10"/>
        <v>178.16</v>
      </c>
      <c r="G98">
        <f t="shared" si="10"/>
        <v>521.05999999999995</v>
      </c>
      <c r="H98">
        <f t="shared" si="10"/>
        <v>426.7</v>
      </c>
      <c r="I98">
        <f t="shared" si="10"/>
        <v>123.29</v>
      </c>
    </row>
    <row r="99" spans="1:10" x14ac:dyDescent="0.2">
      <c r="A99" t="s">
        <v>40</v>
      </c>
      <c r="B99">
        <f t="shared" si="10"/>
        <v>126.4</v>
      </c>
      <c r="C99">
        <f t="shared" si="10"/>
        <v>123.74</v>
      </c>
      <c r="D99">
        <f t="shared" si="10"/>
        <v>147.77000000000001</v>
      </c>
      <c r="E99">
        <f t="shared" si="10"/>
        <v>1595.81</v>
      </c>
      <c r="F99">
        <f t="shared" si="10"/>
        <v>160.71</v>
      </c>
      <c r="G99">
        <f t="shared" si="10"/>
        <v>558.64</v>
      </c>
      <c r="H99">
        <f t="shared" si="10"/>
        <v>443.02</v>
      </c>
      <c r="I99">
        <f t="shared" si="10"/>
        <v>123.29</v>
      </c>
    </row>
    <row r="100" spans="1:10" x14ac:dyDescent="0.2">
      <c r="A100" t="s">
        <v>41</v>
      </c>
      <c r="B100">
        <f t="shared" si="10"/>
        <v>136</v>
      </c>
      <c r="C100">
        <f t="shared" si="10"/>
        <v>132.03</v>
      </c>
      <c r="D100">
        <f t="shared" si="10"/>
        <v>153.11000000000001</v>
      </c>
      <c r="E100">
        <f t="shared" si="10"/>
        <v>1480.38</v>
      </c>
      <c r="F100">
        <f t="shared" si="10"/>
        <v>185.71</v>
      </c>
      <c r="G100">
        <f t="shared" si="10"/>
        <v>604.08000000000004</v>
      </c>
      <c r="H100">
        <f t="shared" si="10"/>
        <v>448</v>
      </c>
      <c r="I100">
        <f t="shared" si="10"/>
        <v>123.29</v>
      </c>
    </row>
    <row r="101" spans="1:10" x14ac:dyDescent="0.2">
      <c r="A101" t="s">
        <v>42</v>
      </c>
      <c r="B101">
        <f t="shared" si="10"/>
        <v>136</v>
      </c>
      <c r="C101">
        <f t="shared" si="10"/>
        <v>139.81</v>
      </c>
      <c r="D101">
        <f t="shared" si="10"/>
        <v>163.51</v>
      </c>
      <c r="E101">
        <f t="shared" si="10"/>
        <v>1493.42</v>
      </c>
      <c r="F101">
        <f t="shared" si="10"/>
        <v>185.71</v>
      </c>
      <c r="G101">
        <f t="shared" si="10"/>
        <v>575.69000000000005</v>
      </c>
      <c r="H101">
        <f t="shared" si="10"/>
        <v>384</v>
      </c>
      <c r="I101">
        <f t="shared" si="10"/>
        <v>123.29</v>
      </c>
    </row>
    <row r="102" spans="1:10" x14ac:dyDescent="0.2">
      <c r="A102" t="s">
        <v>43</v>
      </c>
      <c r="B102">
        <f t="shared" si="10"/>
        <v>137.6</v>
      </c>
      <c r="C102">
        <f t="shared" si="10"/>
        <v>140.43</v>
      </c>
      <c r="D102">
        <f t="shared" si="10"/>
        <v>161.54</v>
      </c>
      <c r="E102">
        <f t="shared" si="10"/>
        <v>1475.52</v>
      </c>
      <c r="F102">
        <f t="shared" si="10"/>
        <v>192</v>
      </c>
      <c r="G102">
        <f t="shared" si="10"/>
        <v>553.91999999999996</v>
      </c>
      <c r="H102">
        <f t="shared" si="10"/>
        <v>352</v>
      </c>
      <c r="I102">
        <f t="shared" si="10"/>
        <v>123.29</v>
      </c>
    </row>
    <row r="105" spans="1:10" x14ac:dyDescent="0.2">
      <c r="A105" t="s">
        <v>24</v>
      </c>
      <c r="B105" t="s">
        <v>14</v>
      </c>
      <c r="C105" t="s">
        <v>15</v>
      </c>
      <c r="D105" t="s">
        <v>16</v>
      </c>
      <c r="E105" t="s">
        <v>18</v>
      </c>
      <c r="F105" t="s">
        <v>19</v>
      </c>
      <c r="G105" t="s">
        <v>20</v>
      </c>
      <c r="H105" t="s">
        <v>331</v>
      </c>
      <c r="I105" t="s">
        <v>333</v>
      </c>
      <c r="J105" t="s">
        <v>84</v>
      </c>
    </row>
    <row r="107" spans="1:10" x14ac:dyDescent="0.2">
      <c r="A107" t="s">
        <v>441</v>
      </c>
      <c r="B107">
        <f t="shared" ref="B107:H118" si="11">B72*B91</f>
        <v>308.8</v>
      </c>
      <c r="C107">
        <f t="shared" si="11"/>
        <v>5044.5120000000006</v>
      </c>
      <c r="D107">
        <f t="shared" si="11"/>
        <v>1467.9476000000002</v>
      </c>
      <c r="E107">
        <f>E72*E91</f>
        <v>769.0394</v>
      </c>
      <c r="F107">
        <f>F72*F91</f>
        <v>87.5</v>
      </c>
      <c r="G107">
        <f>G72*G91</f>
        <v>149.59560000000002</v>
      </c>
      <c r="H107">
        <f>H72*H91</f>
        <v>91.017600000000002</v>
      </c>
      <c r="I107">
        <f>I72*-I91</f>
        <v>-983.70740000000012</v>
      </c>
      <c r="J107">
        <f>SUM(B107:I107)</f>
        <v>6934.7048000000004</v>
      </c>
    </row>
    <row r="108" spans="1:10" x14ac:dyDescent="0.2">
      <c r="A108" t="s">
        <v>72</v>
      </c>
      <c r="B108">
        <f t="shared" si="11"/>
        <v>384.048</v>
      </c>
      <c r="C108">
        <f t="shared" si="11"/>
        <v>5576.34</v>
      </c>
      <c r="D108">
        <f t="shared" si="11"/>
        <v>1610.4780000000001</v>
      </c>
      <c r="E108">
        <f t="shared" si="11"/>
        <v>704.42240000000004</v>
      </c>
      <c r="F108">
        <f t="shared" si="11"/>
        <v>78.826999999999998</v>
      </c>
      <c r="G108">
        <f t="shared" si="11"/>
        <v>179.39680000000001</v>
      </c>
      <c r="H108">
        <f t="shared" si="11"/>
        <v>95.571200000000005</v>
      </c>
      <c r="I108">
        <f t="shared" ref="I108:I118" si="12">I73*-I92</f>
        <v>-959.99</v>
      </c>
      <c r="J108">
        <f t="shared" ref="J108:J118" si="13">SUM(B108:I108)</f>
        <v>7669.0933999999997</v>
      </c>
    </row>
    <row r="109" spans="1:10" x14ac:dyDescent="0.2">
      <c r="A109" t="s">
        <v>34</v>
      </c>
      <c r="B109">
        <f t="shared" si="11"/>
        <v>411.48</v>
      </c>
      <c r="C109">
        <f t="shared" si="11"/>
        <v>5888.817</v>
      </c>
      <c r="D109">
        <f t="shared" si="11"/>
        <v>1619.4840000000002</v>
      </c>
      <c r="E109">
        <f t="shared" si="11"/>
        <v>781.52320000000009</v>
      </c>
      <c r="F109">
        <f t="shared" si="11"/>
        <v>79.995999999999995</v>
      </c>
      <c r="G109">
        <f t="shared" si="11"/>
        <v>150.71360000000001</v>
      </c>
      <c r="H109">
        <f t="shared" si="11"/>
        <v>159.10400000000001</v>
      </c>
      <c r="I109">
        <f t="shared" si="12"/>
        <v>-937.40200000000004</v>
      </c>
      <c r="J109">
        <f t="shared" si="13"/>
        <v>8153.7157999999981</v>
      </c>
    </row>
    <row r="110" spans="1:10" x14ac:dyDescent="0.2">
      <c r="A110" t="s">
        <v>35</v>
      </c>
      <c r="B110">
        <f t="shared" si="11"/>
        <v>480.09810000000004</v>
      </c>
      <c r="C110">
        <f t="shared" si="11"/>
        <v>6288.8099999999995</v>
      </c>
      <c r="D110">
        <f t="shared" si="11"/>
        <v>1782.2760000000001</v>
      </c>
      <c r="E110">
        <f t="shared" si="11"/>
        <v>820.03200000000004</v>
      </c>
      <c r="F110">
        <f t="shared" si="11"/>
        <v>101.24799999999999</v>
      </c>
      <c r="G110">
        <f t="shared" si="11"/>
        <v>202.95439999999999</v>
      </c>
      <c r="H110">
        <f t="shared" si="11"/>
        <v>115.2</v>
      </c>
      <c r="I110">
        <f t="shared" si="12"/>
        <v>-978.06039999999996</v>
      </c>
      <c r="J110">
        <f t="shared" si="13"/>
        <v>8812.5581000000002</v>
      </c>
    </row>
    <row r="111" spans="1:10" x14ac:dyDescent="0.2">
      <c r="A111" t="s">
        <v>442</v>
      </c>
      <c r="B111">
        <f t="shared" si="11"/>
        <v>463.29599999999999</v>
      </c>
      <c r="C111">
        <f t="shared" si="11"/>
        <v>6354.4470000000001</v>
      </c>
      <c r="D111">
        <f t="shared" si="11"/>
        <v>1653.2280000000001</v>
      </c>
      <c r="E111">
        <f t="shared" si="11"/>
        <v>888.19200000000001</v>
      </c>
      <c r="F111">
        <f t="shared" si="11"/>
        <v>120.00099999999999</v>
      </c>
      <c r="G111">
        <f t="shared" si="11"/>
        <v>211.18680000000001</v>
      </c>
      <c r="H111">
        <f t="shared" si="11"/>
        <v>118.624</v>
      </c>
      <c r="I111">
        <f t="shared" si="12"/>
        <v>-930.62559999999996</v>
      </c>
      <c r="J111">
        <f t="shared" si="13"/>
        <v>8878.3492000000006</v>
      </c>
    </row>
    <row r="112" spans="1:10" x14ac:dyDescent="0.2">
      <c r="A112" t="s">
        <v>37</v>
      </c>
      <c r="B112">
        <f t="shared" si="11"/>
        <v>411.48</v>
      </c>
      <c r="C112">
        <f t="shared" si="11"/>
        <v>6620.3610000000008</v>
      </c>
      <c r="D112">
        <f t="shared" si="11"/>
        <v>1657.2180000000001</v>
      </c>
      <c r="E112">
        <f t="shared" si="11"/>
        <v>908.67840000000001</v>
      </c>
      <c r="F112">
        <f t="shared" si="11"/>
        <v>123.508</v>
      </c>
      <c r="G112">
        <f t="shared" si="11"/>
        <v>263.53360000000004</v>
      </c>
      <c r="H112">
        <f t="shared" si="11"/>
        <v>120.32000000000001</v>
      </c>
      <c r="I112">
        <f t="shared" si="12"/>
        <v>-882.06139999999994</v>
      </c>
      <c r="J112">
        <f t="shared" si="13"/>
        <v>9223.0376000000015</v>
      </c>
    </row>
    <row r="113" spans="1:10" x14ac:dyDescent="0.2">
      <c r="A113" t="s">
        <v>329</v>
      </c>
      <c r="B113">
        <f t="shared" si="11"/>
        <v>484.63200000000001</v>
      </c>
      <c r="C113">
        <f t="shared" si="11"/>
        <v>7013.6220000000003</v>
      </c>
      <c r="D113">
        <f t="shared" si="11"/>
        <v>1712.7360000000001</v>
      </c>
      <c r="E113">
        <f t="shared" si="11"/>
        <v>931.62240000000008</v>
      </c>
      <c r="F113">
        <f t="shared" si="11"/>
        <v>127.49799999999998</v>
      </c>
      <c r="G113">
        <f t="shared" si="11"/>
        <v>230.95599999999999</v>
      </c>
      <c r="H113">
        <f t="shared" si="11"/>
        <v>126.9024</v>
      </c>
      <c r="I113">
        <f t="shared" si="12"/>
        <v>-999.88189999999997</v>
      </c>
      <c r="J113">
        <f t="shared" si="13"/>
        <v>9628.0869000000002</v>
      </c>
    </row>
    <row r="114" spans="1:10" x14ac:dyDescent="0.2">
      <c r="A114" t="s">
        <v>95</v>
      </c>
      <c r="B114">
        <f t="shared" si="11"/>
        <v>484.63200000000001</v>
      </c>
      <c r="C114">
        <f t="shared" si="11"/>
        <v>6996.7920000000004</v>
      </c>
      <c r="D114">
        <f t="shared" si="11"/>
        <v>1715.8139999999999</v>
      </c>
      <c r="E114">
        <f t="shared" si="11"/>
        <v>978.30399999999997</v>
      </c>
      <c r="F114">
        <f t="shared" si="11"/>
        <v>124.71199999999999</v>
      </c>
      <c r="G114">
        <f t="shared" si="11"/>
        <v>229.26639999999998</v>
      </c>
      <c r="H114">
        <f t="shared" si="11"/>
        <v>136.54400000000001</v>
      </c>
      <c r="I114">
        <f t="shared" si="12"/>
        <v>-909.88020000000006</v>
      </c>
      <c r="J114">
        <f t="shared" si="13"/>
        <v>9756.1841999999997</v>
      </c>
    </row>
    <row r="115" spans="1:10" x14ac:dyDescent="0.2">
      <c r="A115" t="s">
        <v>40</v>
      </c>
      <c r="B115">
        <f t="shared" si="11"/>
        <v>481.584</v>
      </c>
      <c r="C115">
        <f t="shared" si="11"/>
        <v>6941.8140000000003</v>
      </c>
      <c r="D115">
        <f t="shared" si="11"/>
        <v>1684.5780000000002</v>
      </c>
      <c r="E115">
        <f t="shared" si="11"/>
        <v>1021.3184</v>
      </c>
      <c r="F115">
        <f t="shared" si="11"/>
        <v>112.497</v>
      </c>
      <c r="G115">
        <f t="shared" si="11"/>
        <v>245.80160000000001</v>
      </c>
      <c r="H115">
        <f t="shared" si="11"/>
        <v>141.7664</v>
      </c>
      <c r="I115">
        <f t="shared" si="12"/>
        <v>-948.10010000000011</v>
      </c>
      <c r="J115">
        <f t="shared" si="13"/>
        <v>9681.2593000000015</v>
      </c>
    </row>
    <row r="116" spans="1:10" x14ac:dyDescent="0.2">
      <c r="A116" t="s">
        <v>41</v>
      </c>
      <c r="B116">
        <f t="shared" si="11"/>
        <v>518.16</v>
      </c>
      <c r="C116">
        <f t="shared" si="11"/>
        <v>7406.8829999999998</v>
      </c>
      <c r="D116">
        <f t="shared" si="11"/>
        <v>1745.4540000000002</v>
      </c>
      <c r="E116">
        <f t="shared" si="11"/>
        <v>947.44320000000005</v>
      </c>
      <c r="F116">
        <f t="shared" si="11"/>
        <v>129.99699999999999</v>
      </c>
      <c r="G116">
        <f t="shared" si="11"/>
        <v>193.30560000000003</v>
      </c>
      <c r="H116">
        <f t="shared" si="11"/>
        <v>197.12</v>
      </c>
      <c r="I116">
        <f t="shared" si="12"/>
        <v>-944.40140000000008</v>
      </c>
      <c r="J116">
        <f t="shared" si="13"/>
        <v>10193.961399999998</v>
      </c>
    </row>
    <row r="117" spans="1:10" x14ac:dyDescent="0.2">
      <c r="A117" t="s">
        <v>42</v>
      </c>
      <c r="B117">
        <f t="shared" si="11"/>
        <v>518.16</v>
      </c>
      <c r="C117">
        <f t="shared" si="11"/>
        <v>7843.3410000000003</v>
      </c>
      <c r="D117">
        <f t="shared" si="11"/>
        <v>1864.0139999999999</v>
      </c>
      <c r="E117">
        <f t="shared" si="11"/>
        <v>955.78880000000004</v>
      </c>
      <c r="F117">
        <f t="shared" si="11"/>
        <v>129.99699999999999</v>
      </c>
      <c r="G117">
        <f t="shared" si="11"/>
        <v>253.30360000000002</v>
      </c>
      <c r="H117">
        <f t="shared" si="11"/>
        <v>122.88</v>
      </c>
      <c r="I117">
        <f t="shared" si="12"/>
        <v>-898.78410000000008</v>
      </c>
      <c r="J117">
        <f t="shared" si="13"/>
        <v>10788.700299999997</v>
      </c>
    </row>
    <row r="118" spans="1:10" x14ac:dyDescent="0.2">
      <c r="A118" t="s">
        <v>43</v>
      </c>
      <c r="B118">
        <f t="shared" si="11"/>
        <v>524.25599999999997</v>
      </c>
      <c r="C118">
        <f t="shared" si="11"/>
        <v>7878.1230000000005</v>
      </c>
      <c r="D118">
        <f t="shared" si="11"/>
        <v>1841.556</v>
      </c>
      <c r="E118">
        <f t="shared" si="11"/>
        <v>944.33280000000002</v>
      </c>
      <c r="F118">
        <f t="shared" si="11"/>
        <v>134.39999999999998</v>
      </c>
      <c r="G118">
        <f t="shared" si="11"/>
        <v>243.72479999999999</v>
      </c>
      <c r="H118">
        <f t="shared" si="11"/>
        <v>112.64</v>
      </c>
      <c r="I118">
        <f t="shared" si="12"/>
        <v>-983.85420000000011</v>
      </c>
      <c r="J118">
        <f t="shared" si="13"/>
        <v>10695.178400000001</v>
      </c>
    </row>
    <row r="119" spans="1:10" x14ac:dyDescent="0.2">
      <c r="A119" t="s">
        <v>88</v>
      </c>
      <c r="B119">
        <f t="shared" ref="B119:H119" si="14">SUM(B107:B118)</f>
        <v>5470.6261000000004</v>
      </c>
      <c r="C119">
        <f t="shared" si="14"/>
        <v>79853.862000000008</v>
      </c>
      <c r="D119">
        <f t="shared" si="14"/>
        <v>20354.783600000002</v>
      </c>
      <c r="E119">
        <f t="shared" si="14"/>
        <v>10650.697000000002</v>
      </c>
      <c r="F119">
        <f t="shared" si="14"/>
        <v>1350.181</v>
      </c>
      <c r="G119">
        <f t="shared" si="14"/>
        <v>2553.7388000000001</v>
      </c>
      <c r="H119">
        <f t="shared" si="14"/>
        <v>1537.6896000000004</v>
      </c>
      <c r="I119">
        <f>SUM(I107:I118)</f>
        <v>-11356.7487</v>
      </c>
      <c r="J119">
        <f>SUM(J107:J118)</f>
        <v>110414.82940000002</v>
      </c>
    </row>
  </sheetData>
  <phoneticPr fontId="6" type="noConversion"/>
  <pageMargins left="0.75" right="0.75" top="1" bottom="1" header="0.5" footer="0.5"/>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9"/>
  <sheetViews>
    <sheetView zoomScaleNormal="100" workbookViewId="0">
      <selection activeCell="H54" sqref="H54"/>
    </sheetView>
  </sheetViews>
  <sheetFormatPr defaultRowHeight="15" x14ac:dyDescent="0.2"/>
  <cols>
    <col min="1" max="1" width="11" customWidth="1"/>
    <col min="2" max="2" width="3.109375" customWidth="1"/>
    <col min="8" max="8" width="9.33203125" customWidth="1"/>
  </cols>
  <sheetData>
    <row r="1" spans="1:5" x14ac:dyDescent="0.2">
      <c r="E1" t="s">
        <v>0</v>
      </c>
    </row>
    <row r="2" spans="1:5" x14ac:dyDescent="0.2">
      <c r="E2" t="s">
        <v>1</v>
      </c>
    </row>
    <row r="3" spans="1:5" x14ac:dyDescent="0.2">
      <c r="E3" t="s">
        <v>2</v>
      </c>
    </row>
    <row r="6" spans="1:5" x14ac:dyDescent="0.2">
      <c r="A6" t="s">
        <v>477</v>
      </c>
    </row>
    <row r="8" spans="1:5" x14ac:dyDescent="0.2">
      <c r="A8" t="s">
        <v>473</v>
      </c>
    </row>
    <row r="9" spans="1:5" x14ac:dyDescent="0.2">
      <c r="A9" t="s">
        <v>472</v>
      </c>
    </row>
    <row r="10" spans="1:5" x14ac:dyDescent="0.2">
      <c r="A10" t="s">
        <v>496</v>
      </c>
    </row>
    <row r="12" spans="1:5" x14ac:dyDescent="0.2">
      <c r="C12" t="s">
        <v>30</v>
      </c>
      <c r="D12" t="s">
        <v>31</v>
      </c>
    </row>
    <row r="13" spans="1:5" x14ac:dyDescent="0.2">
      <c r="A13" t="s">
        <v>92</v>
      </c>
      <c r="C13" t="s">
        <v>26</v>
      </c>
      <c r="D13" t="s">
        <v>32</v>
      </c>
    </row>
    <row r="15" spans="1:5" x14ac:dyDescent="0.2">
      <c r="A15" t="s">
        <v>458</v>
      </c>
      <c r="C15">
        <f>34656+16902</f>
        <v>51558</v>
      </c>
      <c r="D15">
        <f>'13th year actual'!J52</f>
        <v>208467.03199999998</v>
      </c>
    </row>
    <row r="16" spans="1:5" x14ac:dyDescent="0.2">
      <c r="A16" t="s">
        <v>116</v>
      </c>
      <c r="C16">
        <f>34687+16897</f>
        <v>51584</v>
      </c>
      <c r="D16">
        <f>'13th year actual'!J53</f>
        <v>196703.21179999999</v>
      </c>
    </row>
    <row r="17" spans="1:4" x14ac:dyDescent="0.2">
      <c r="A17" t="s">
        <v>34</v>
      </c>
      <c r="C17">
        <f>34608+16741</f>
        <v>51349</v>
      </c>
      <c r="D17">
        <f>'13th year actual'!J54</f>
        <v>142448.11709999997</v>
      </c>
    </row>
    <row r="18" spans="1:4" x14ac:dyDescent="0.2">
      <c r="A18" t="s">
        <v>35</v>
      </c>
      <c r="C18">
        <f>34544+16624</f>
        <v>51168</v>
      </c>
      <c r="D18">
        <f>'13th year actual'!J55</f>
        <v>162124.77979999999</v>
      </c>
    </row>
    <row r="19" spans="1:4" x14ac:dyDescent="0.2">
      <c r="A19" t="s">
        <v>459</v>
      </c>
      <c r="C19">
        <f>34480+16483</f>
        <v>50963</v>
      </c>
      <c r="D19">
        <f>'13th year actual'!J56</f>
        <v>154870.99969999999</v>
      </c>
    </row>
    <row r="20" spans="1:4" x14ac:dyDescent="0.2">
      <c r="A20" t="s">
        <v>37</v>
      </c>
      <c r="C20">
        <f>34016+16484</f>
        <v>50500</v>
      </c>
      <c r="D20">
        <f>'13th year actual'!J57</f>
        <v>167920.0949</v>
      </c>
    </row>
    <row r="21" spans="1:4" x14ac:dyDescent="0.2">
      <c r="A21" t="s">
        <v>38</v>
      </c>
      <c r="B21" t="s">
        <v>464</v>
      </c>
      <c r="C21">
        <f>33124+16566</f>
        <v>49690</v>
      </c>
      <c r="D21">
        <f>'13th year actual'!J58</f>
        <v>153037.59710000001</v>
      </c>
    </row>
    <row r="22" spans="1:4" x14ac:dyDescent="0.2">
      <c r="A22" t="s">
        <v>95</v>
      </c>
      <c r="C22">
        <f>32970+16765</f>
        <v>49735</v>
      </c>
      <c r="D22">
        <f>'13th year actual'!J59</f>
        <v>160989.39530000006</v>
      </c>
    </row>
    <row r="23" spans="1:4" x14ac:dyDescent="0.2">
      <c r="A23" t="s">
        <v>40</v>
      </c>
      <c r="C23">
        <f>33228+16937</f>
        <v>50165</v>
      </c>
      <c r="D23">
        <f>'13th year actual'!J60</f>
        <v>160311.68479999999</v>
      </c>
    </row>
    <row r="24" spans="1:4" x14ac:dyDescent="0.2">
      <c r="A24" t="s">
        <v>41</v>
      </c>
      <c r="C24">
        <f>33203+16941</f>
        <v>50144</v>
      </c>
      <c r="D24">
        <f>'13th year actual'!J61</f>
        <v>138105.8095</v>
      </c>
    </row>
    <row r="25" spans="1:4" x14ac:dyDescent="0.2">
      <c r="A25" t="s">
        <v>42</v>
      </c>
      <c r="C25">
        <f>32942+17011</f>
        <v>49953</v>
      </c>
      <c r="D25">
        <f>'13th year actual'!J62</f>
        <v>137470.03149999998</v>
      </c>
    </row>
    <row r="26" spans="1:4" x14ac:dyDescent="0.2">
      <c r="A26" t="s">
        <v>43</v>
      </c>
      <c r="C26">
        <f>33258+17044</f>
        <v>50302</v>
      </c>
      <c r="D26">
        <f>'13th year actual'!J63</f>
        <v>109069.66590000001</v>
      </c>
    </row>
    <row r="27" spans="1:4" x14ac:dyDescent="0.2">
      <c r="A27" t="s">
        <v>44</v>
      </c>
      <c r="C27">
        <f>33163+17034</f>
        <v>50197</v>
      </c>
      <c r="D27">
        <f>'13th year actual'!J64</f>
        <v>96334.551200000002</v>
      </c>
    </row>
    <row r="28" spans="1:4" x14ac:dyDescent="0.2">
      <c r="A28" t="s">
        <v>72</v>
      </c>
      <c r="C28">
        <f>33065+17095</f>
        <v>50160</v>
      </c>
      <c r="D28">
        <f>'13th year actual'!J65</f>
        <v>135552.99269999997</v>
      </c>
    </row>
    <row r="29" spans="1:4" x14ac:dyDescent="0.2">
      <c r="A29" t="s">
        <v>34</v>
      </c>
      <c r="C29">
        <f>32940+16895</f>
        <v>49835</v>
      </c>
      <c r="D29">
        <f>'13th year actual'!J66</f>
        <v>166922.92310000001</v>
      </c>
    </row>
    <row r="30" spans="1:4" x14ac:dyDescent="0.2">
      <c r="A30" t="s">
        <v>96</v>
      </c>
      <c r="C30">
        <f>SUM(C14:C29)</f>
        <v>757303</v>
      </c>
      <c r="D30">
        <f>SUM(D14:D29)</f>
        <v>2290328.8864000002</v>
      </c>
    </row>
    <row r="32" spans="1:4" x14ac:dyDescent="0.2">
      <c r="A32" t="s">
        <v>470</v>
      </c>
    </row>
    <row r="34" spans="1:9" x14ac:dyDescent="0.2">
      <c r="A34" t="s">
        <v>471</v>
      </c>
      <c r="I34" t="s">
        <v>6</v>
      </c>
    </row>
    <row r="37" spans="1:9" x14ac:dyDescent="0.2">
      <c r="A37" t="s">
        <v>101</v>
      </c>
      <c r="D37" t="s">
        <v>460</v>
      </c>
      <c r="E37">
        <v>1.25</v>
      </c>
    </row>
    <row r="38" spans="1:9" x14ac:dyDescent="0.2">
      <c r="A38" t="s">
        <v>101</v>
      </c>
      <c r="D38" t="s">
        <v>475</v>
      </c>
      <c r="E38">
        <v>1.49</v>
      </c>
    </row>
    <row r="39" spans="1:9" x14ac:dyDescent="0.2">
      <c r="A39" t="s">
        <v>488</v>
      </c>
      <c r="D39" t="s">
        <v>487</v>
      </c>
      <c r="E39">
        <v>0.2</v>
      </c>
    </row>
    <row r="41" spans="1:9" x14ac:dyDescent="0.2">
      <c r="A41" t="s">
        <v>461</v>
      </c>
      <c r="G41">
        <f>(SUM(C15:C16)*E37)+SUM(C17:C29)*E38+SUM(C27:C29)*E39</f>
        <v>1133665.79</v>
      </c>
    </row>
    <row r="43" spans="1:9" x14ac:dyDescent="0.2">
      <c r="A43" t="s">
        <v>50</v>
      </c>
      <c r="F43">
        <f>D30</f>
        <v>2290328.8864000002</v>
      </c>
    </row>
    <row r="44" spans="1:9" x14ac:dyDescent="0.2">
      <c r="A44" t="s">
        <v>449</v>
      </c>
    </row>
    <row r="45" spans="1:9" x14ac:dyDescent="0.2">
      <c r="A45" t="s">
        <v>350</v>
      </c>
      <c r="G45">
        <f>F43-F44</f>
        <v>2290328.8864000002</v>
      </c>
    </row>
    <row r="47" spans="1:9" x14ac:dyDescent="0.2">
      <c r="A47" t="s">
        <v>351</v>
      </c>
      <c r="G47">
        <f>G45-G41</f>
        <v>1156663.0964000002</v>
      </c>
      <c r="H47" t="s">
        <v>352</v>
      </c>
    </row>
    <row r="49" spans="1:8" x14ac:dyDescent="0.2">
      <c r="A49" t="s">
        <v>106</v>
      </c>
    </row>
    <row r="50" spans="1:8" x14ac:dyDescent="0.2">
      <c r="H50" t="s">
        <v>497</v>
      </c>
    </row>
    <row r="51" spans="1:8" x14ac:dyDescent="0.2">
      <c r="A51" t="s">
        <v>107</v>
      </c>
      <c r="F51">
        <f>G47</f>
        <v>1156663.0964000002</v>
      </c>
      <c r="H51">
        <f>F51</f>
        <v>1156663.0964000002</v>
      </c>
    </row>
    <row r="52" spans="1:8" x14ac:dyDescent="0.2">
      <c r="A52" t="s">
        <v>415</v>
      </c>
      <c r="F52">
        <f>SUM(C18:C29)</f>
        <v>602812</v>
      </c>
      <c r="H52">
        <f>F52/12*13</f>
        <v>653046.33333333337</v>
      </c>
    </row>
    <row r="53" spans="1:8" x14ac:dyDescent="0.2">
      <c r="A53" t="s">
        <v>108</v>
      </c>
      <c r="F53">
        <f>F51/F52</f>
        <v>1.9187791490547637</v>
      </c>
      <c r="H53">
        <f>F51/H52</f>
        <v>1.7711807529736279</v>
      </c>
    </row>
    <row r="54" spans="1:8" x14ac:dyDescent="0.2">
      <c r="H54">
        <f>F53-H53</f>
        <v>0.14759839608113579</v>
      </c>
    </row>
    <row r="55" spans="1:8" x14ac:dyDescent="0.2">
      <c r="H55" t="s">
        <v>498</v>
      </c>
    </row>
    <row r="58" spans="1:8" x14ac:dyDescent="0.2">
      <c r="A58" t="s">
        <v>354</v>
      </c>
      <c r="G58" t="s">
        <v>418</v>
      </c>
    </row>
    <row r="59" spans="1:8" x14ac:dyDescent="0.2">
      <c r="A59" t="s">
        <v>416</v>
      </c>
      <c r="G59">
        <f>SUM(D18:D29)</f>
        <v>1742710.5255000002</v>
      </c>
    </row>
    <row r="60" spans="1:8" x14ac:dyDescent="0.2">
      <c r="A60" t="s">
        <v>417</v>
      </c>
      <c r="G60">
        <f>SUM(C18:C29)</f>
        <v>602812</v>
      </c>
    </row>
    <row r="62" spans="1:8" x14ac:dyDescent="0.2">
      <c r="D62" t="s">
        <v>359</v>
      </c>
      <c r="G62">
        <f>G59/G60</f>
        <v>2.8909685366250177</v>
      </c>
    </row>
    <row r="63" spans="1:8" x14ac:dyDescent="0.2">
      <c r="D63" t="s">
        <v>360</v>
      </c>
      <c r="G63">
        <f>F53</f>
        <v>1.9187791490547637</v>
      </c>
    </row>
    <row r="64" spans="1:8" x14ac:dyDescent="0.2">
      <c r="E64" t="s">
        <v>361</v>
      </c>
      <c r="G64">
        <f>G62+G63</f>
        <v>4.8097476856797812</v>
      </c>
    </row>
    <row r="68" spans="1:5" x14ac:dyDescent="0.2">
      <c r="E68" t="s">
        <v>0</v>
      </c>
    </row>
    <row r="69" spans="1:5" x14ac:dyDescent="0.2">
      <c r="E69" t="s">
        <v>1</v>
      </c>
    </row>
    <row r="70" spans="1:5" x14ac:dyDescent="0.2">
      <c r="E70" t="s">
        <v>342</v>
      </c>
    </row>
    <row r="73" spans="1:5" x14ac:dyDescent="0.2">
      <c r="A73" t="str">
        <f>A6</f>
        <v>After Thirteenth Year Commodity Adjustment</v>
      </c>
    </row>
    <row r="75" spans="1:5" x14ac:dyDescent="0.2">
      <c r="A75" t="s">
        <v>473</v>
      </c>
    </row>
    <row r="76" spans="1:5" x14ac:dyDescent="0.2">
      <c r="A76" t="s">
        <v>472</v>
      </c>
    </row>
    <row r="77" spans="1:5" x14ac:dyDescent="0.2">
      <c r="A77" t="s">
        <v>6</v>
      </c>
    </row>
    <row r="79" spans="1:5" x14ac:dyDescent="0.2">
      <c r="A79" t="s">
        <v>344</v>
      </c>
      <c r="C79" t="s">
        <v>30</v>
      </c>
      <c r="D79" t="s">
        <v>31</v>
      </c>
    </row>
    <row r="80" spans="1:5" x14ac:dyDescent="0.2">
      <c r="A80" t="s">
        <v>92</v>
      </c>
      <c r="C80" t="s">
        <v>145</v>
      </c>
      <c r="D80" t="s">
        <v>32</v>
      </c>
    </row>
    <row r="82" spans="1:4" x14ac:dyDescent="0.2">
      <c r="A82" t="s">
        <v>458</v>
      </c>
      <c r="C82">
        <f>5604+1739</f>
        <v>7343</v>
      </c>
      <c r="D82">
        <f>'13th year actual'!J121</f>
        <v>13611.282499999999</v>
      </c>
    </row>
    <row r="83" spans="1:4" x14ac:dyDescent="0.2">
      <c r="A83" t="s">
        <v>116</v>
      </c>
      <c r="C83">
        <f>5636+1723</f>
        <v>7359</v>
      </c>
      <c r="D83">
        <f>'13th year actual'!J122</f>
        <v>12192.405699999999</v>
      </c>
    </row>
    <row r="84" spans="1:4" x14ac:dyDescent="0.2">
      <c r="A84" t="s">
        <v>34</v>
      </c>
      <c r="C84">
        <f>5598+1719</f>
        <v>7317</v>
      </c>
      <c r="D84">
        <f>'13th year actual'!J123</f>
        <v>7969.9850999999999</v>
      </c>
    </row>
    <row r="85" spans="1:4" x14ac:dyDescent="0.2">
      <c r="A85" t="s">
        <v>35</v>
      </c>
      <c r="C85">
        <f>7303</f>
        <v>7303</v>
      </c>
      <c r="D85">
        <f>'13th year actual'!J124</f>
        <v>8650.7387999999992</v>
      </c>
    </row>
    <row r="86" spans="1:4" x14ac:dyDescent="0.2">
      <c r="A86" t="s">
        <v>459</v>
      </c>
      <c r="C86">
        <f>5549+1704</f>
        <v>7253</v>
      </c>
      <c r="D86">
        <f>'13th year actual'!J125</f>
        <v>9097.3233</v>
      </c>
    </row>
    <row r="87" spans="1:4" x14ac:dyDescent="0.2">
      <c r="A87" t="s">
        <v>37</v>
      </c>
      <c r="C87">
        <f>5551+1699</f>
        <v>7250</v>
      </c>
      <c r="D87">
        <f>'13th year actual'!J126</f>
        <v>9763.0524000000005</v>
      </c>
    </row>
    <row r="88" spans="1:4" x14ac:dyDescent="0.2">
      <c r="A88" t="s">
        <v>38</v>
      </c>
      <c r="C88">
        <v>7059</v>
      </c>
      <c r="D88">
        <f>'13th year actual'!J127</f>
        <v>10039.0502</v>
      </c>
    </row>
    <row r="89" spans="1:4" x14ac:dyDescent="0.2">
      <c r="A89" t="s">
        <v>95</v>
      </c>
      <c r="C89">
        <f>5235+1722</f>
        <v>6957</v>
      </c>
      <c r="D89">
        <f>'13th year actual'!J128</f>
        <v>9890.4908999999989</v>
      </c>
    </row>
    <row r="90" spans="1:4" x14ac:dyDescent="0.2">
      <c r="A90" t="s">
        <v>40</v>
      </c>
      <c r="C90">
        <f>5239+1695</f>
        <v>6934</v>
      </c>
      <c r="D90">
        <f>'13th year actual'!J129</f>
        <v>9414.501000000002</v>
      </c>
    </row>
    <row r="91" spans="1:4" x14ac:dyDescent="0.2">
      <c r="A91" t="s">
        <v>41</v>
      </c>
      <c r="C91">
        <f>5543+1359</f>
        <v>6902</v>
      </c>
      <c r="D91">
        <f>'13th year actual'!J130</f>
        <v>9184.8794999999991</v>
      </c>
    </row>
    <row r="92" spans="1:4" x14ac:dyDescent="0.2">
      <c r="A92" t="s">
        <v>42</v>
      </c>
      <c r="C92">
        <f>5503+1359</f>
        <v>6862</v>
      </c>
      <c r="D92">
        <f>'13th year actual'!J131</f>
        <v>8297.0953999999983</v>
      </c>
    </row>
    <row r="93" spans="1:4" x14ac:dyDescent="0.2">
      <c r="A93" t="s">
        <v>43</v>
      </c>
      <c r="C93">
        <f>5468+1359</f>
        <v>6827</v>
      </c>
      <c r="D93">
        <f>'13th year actual'!J132</f>
        <v>6137.2224000000006</v>
      </c>
    </row>
    <row r="94" spans="1:4" x14ac:dyDescent="0.2">
      <c r="A94" t="s">
        <v>44</v>
      </c>
      <c r="C94">
        <f>5074+1661</f>
        <v>6735</v>
      </c>
      <c r="D94">
        <f>'13th year actual'!J133</f>
        <v>5820.6281000000008</v>
      </c>
    </row>
    <row r="95" spans="1:4" x14ac:dyDescent="0.2">
      <c r="A95" t="s">
        <v>72</v>
      </c>
      <c r="C95">
        <f>6827</f>
        <v>6827</v>
      </c>
      <c r="D95">
        <f>'13th year actual'!J134</f>
        <v>7593.5564999999997</v>
      </c>
    </row>
    <row r="96" spans="1:4" x14ac:dyDescent="0.2">
      <c r="A96" t="s">
        <v>34</v>
      </c>
      <c r="C96">
        <v>6755</v>
      </c>
      <c r="D96">
        <f>'13th year actual'!J135</f>
        <v>9173.2718000000004</v>
      </c>
    </row>
    <row r="97" spans="1:8" x14ac:dyDescent="0.2">
      <c r="A97" t="s">
        <v>96</v>
      </c>
      <c r="C97">
        <f>SUM(C81:C96)</f>
        <v>105683</v>
      </c>
      <c r="D97">
        <f>SUM(D81:D96)</f>
        <v>136835.48359999998</v>
      </c>
    </row>
    <row r="99" spans="1:8" x14ac:dyDescent="0.2">
      <c r="A99" t="s">
        <v>470</v>
      </c>
    </row>
    <row r="101" spans="1:8" x14ac:dyDescent="0.2">
      <c r="A101" t="s">
        <v>474</v>
      </c>
    </row>
    <row r="103" spans="1:8" x14ac:dyDescent="0.2">
      <c r="A103" t="s">
        <v>343</v>
      </c>
      <c r="D103" t="s">
        <v>460</v>
      </c>
      <c r="E103">
        <v>0.47</v>
      </c>
    </row>
    <row r="104" spans="1:8" x14ac:dyDescent="0.2">
      <c r="A104" t="s">
        <v>343</v>
      </c>
      <c r="D104" t="s">
        <v>475</v>
      </c>
      <c r="E104">
        <v>0.61</v>
      </c>
    </row>
    <row r="105" spans="1:8" x14ac:dyDescent="0.2">
      <c r="A105" t="s">
        <v>488</v>
      </c>
      <c r="D105" t="s">
        <v>487</v>
      </c>
      <c r="E105">
        <v>0.15</v>
      </c>
    </row>
    <row r="107" spans="1:8" x14ac:dyDescent="0.2">
      <c r="A107" t="s">
        <v>462</v>
      </c>
      <c r="G107">
        <f>(SUM(C82:C83)*E103)+SUM(C84:C96)*E104+SUM(C94:C96)*E105</f>
        <v>65455.9</v>
      </c>
    </row>
    <row r="108" spans="1:8" x14ac:dyDescent="0.2">
      <c r="H108" t="s">
        <v>6</v>
      </c>
    </row>
    <row r="109" spans="1:8" x14ac:dyDescent="0.2">
      <c r="A109" t="s">
        <v>50</v>
      </c>
      <c r="F109">
        <f>SUM(D81:D96)</f>
        <v>136835.48359999998</v>
      </c>
      <c r="H109" t="s">
        <v>6</v>
      </c>
    </row>
    <row r="110" spans="1:8" x14ac:dyDescent="0.2">
      <c r="A110" t="s">
        <v>453</v>
      </c>
    </row>
    <row r="111" spans="1:8" x14ac:dyDescent="0.2">
      <c r="A111" t="s">
        <v>364</v>
      </c>
      <c r="G111">
        <f>F109-F110</f>
        <v>136835.48359999998</v>
      </c>
    </row>
    <row r="113" spans="1:8" x14ac:dyDescent="0.2">
      <c r="A113" t="s">
        <v>190</v>
      </c>
      <c r="G113">
        <f>G111-G107</f>
        <v>71379.583599999984</v>
      </c>
      <c r="H113" t="s">
        <v>352</v>
      </c>
    </row>
    <row r="115" spans="1:8" x14ac:dyDescent="0.2">
      <c r="A115" t="s">
        <v>365</v>
      </c>
    </row>
    <row r="116" spans="1:8" x14ac:dyDescent="0.2">
      <c r="H116" t="s">
        <v>497</v>
      </c>
    </row>
    <row r="117" spans="1:8" x14ac:dyDescent="0.2">
      <c r="A117" t="s">
        <v>107</v>
      </c>
      <c r="F117">
        <f>G113</f>
        <v>71379.583599999984</v>
      </c>
      <c r="H117">
        <f>F117</f>
        <v>71379.583599999984</v>
      </c>
    </row>
    <row r="118" spans="1:8" x14ac:dyDescent="0.2">
      <c r="A118" t="s">
        <v>419</v>
      </c>
      <c r="F118">
        <f>SUM(C85:C96)</f>
        <v>83664</v>
      </c>
      <c r="H118">
        <f>F118/12*13</f>
        <v>90636</v>
      </c>
    </row>
    <row r="119" spans="1:8" x14ac:dyDescent="0.2">
      <c r="A119" t="s">
        <v>349</v>
      </c>
      <c r="F119">
        <f>ROUND(F117/F118,2)</f>
        <v>0.85</v>
      </c>
      <c r="H119">
        <f>H117/H118</f>
        <v>0.78754119334480766</v>
      </c>
    </row>
    <row r="120" spans="1:8" x14ac:dyDescent="0.2">
      <c r="H120">
        <f>F119-H119</f>
        <v>6.2458806655192323E-2</v>
      </c>
    </row>
    <row r="121" spans="1:8" x14ac:dyDescent="0.2">
      <c r="H121" t="s">
        <v>498</v>
      </c>
    </row>
    <row r="123" spans="1:8" x14ac:dyDescent="0.2">
      <c r="A123" t="s">
        <v>354</v>
      </c>
      <c r="G123" t="s">
        <v>418</v>
      </c>
    </row>
    <row r="124" spans="1:8" x14ac:dyDescent="0.2">
      <c r="A124" t="s">
        <v>416</v>
      </c>
      <c r="G124">
        <f>SUM(D85:D96)</f>
        <v>103061.8103</v>
      </c>
    </row>
    <row r="125" spans="1:8" x14ac:dyDescent="0.2">
      <c r="A125" t="s">
        <v>420</v>
      </c>
      <c r="G125">
        <f>SUM(C85:C96)</f>
        <v>83664</v>
      </c>
    </row>
    <row r="127" spans="1:8" x14ac:dyDescent="0.2">
      <c r="D127" t="s">
        <v>422</v>
      </c>
      <c r="G127">
        <f>G124/G125</f>
        <v>1.2318537280072672</v>
      </c>
    </row>
    <row r="128" spans="1:8" x14ac:dyDescent="0.2">
      <c r="D128" t="s">
        <v>469</v>
      </c>
      <c r="G128">
        <f>F119</f>
        <v>0.85</v>
      </c>
    </row>
    <row r="129" spans="5:7" x14ac:dyDescent="0.2">
      <c r="E129" t="s">
        <v>361</v>
      </c>
      <c r="G129">
        <f>SUM(G127:G128)</f>
        <v>2.0818537280072671</v>
      </c>
    </row>
  </sheetData>
  <phoneticPr fontId="6" type="noConversion"/>
  <pageMargins left="0.75" right="0.75" top="1" bottom="1" header="0.5" footer="0.5"/>
  <pageSetup scale="87" orientation="portrait" r:id="rId1"/>
  <headerFooter alignWithMargins="0"/>
  <rowBreaks count="2" manualBreakCount="2">
    <brk id="66" max="16383" man="1"/>
    <brk id="130" max="1638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155"/>
  <sheetViews>
    <sheetView topLeftCell="A132" zoomScaleNormal="100" workbookViewId="0">
      <selection activeCell="B140" sqref="B140"/>
    </sheetView>
  </sheetViews>
  <sheetFormatPr defaultRowHeight="15" x14ac:dyDescent="0.2"/>
  <cols>
    <col min="9" max="9" width="10.21875" customWidth="1"/>
  </cols>
  <sheetData>
    <row r="2" spans="1:10" x14ac:dyDescent="0.2">
      <c r="E2" t="s">
        <v>0</v>
      </c>
    </row>
    <row r="3" spans="1:10" x14ac:dyDescent="0.2">
      <c r="E3" t="s">
        <v>1</v>
      </c>
    </row>
    <row r="4" spans="1:10" x14ac:dyDescent="0.2">
      <c r="E4" t="s">
        <v>2</v>
      </c>
    </row>
    <row r="5" spans="1:10" x14ac:dyDescent="0.2">
      <c r="E5" t="s">
        <v>478</v>
      </c>
    </row>
    <row r="7" spans="1:10" x14ac:dyDescent="0.2">
      <c r="B7" t="s">
        <v>81</v>
      </c>
    </row>
    <row r="8" spans="1:10" x14ac:dyDescent="0.2">
      <c r="G8" t="s">
        <v>6</v>
      </c>
      <c r="H8" t="s">
        <v>330</v>
      </c>
      <c r="I8" t="s">
        <v>6</v>
      </c>
    </row>
    <row r="9" spans="1:10" x14ac:dyDescent="0.2">
      <c r="B9" t="s">
        <v>14</v>
      </c>
      <c r="C9" t="s">
        <v>15</v>
      </c>
      <c r="D9" t="s">
        <v>16</v>
      </c>
      <c r="E9" t="s">
        <v>18</v>
      </c>
      <c r="F9" t="s">
        <v>19</v>
      </c>
      <c r="G9" t="s">
        <v>20</v>
      </c>
      <c r="H9" t="s">
        <v>331</v>
      </c>
      <c r="I9" t="s">
        <v>333</v>
      </c>
      <c r="J9" t="s">
        <v>84</v>
      </c>
    </row>
    <row r="10" spans="1:10" x14ac:dyDescent="0.2">
      <c r="A10" t="s">
        <v>9</v>
      </c>
    </row>
    <row r="11" spans="1:10" x14ac:dyDescent="0.2">
      <c r="A11" t="s">
        <v>456</v>
      </c>
      <c r="B11">
        <v>74.52</v>
      </c>
      <c r="C11">
        <v>767.29</v>
      </c>
      <c r="D11">
        <v>74.930000000000007</v>
      </c>
      <c r="E11">
        <v>15.8</v>
      </c>
      <c r="F11">
        <v>18.23</v>
      </c>
      <c r="G11">
        <v>12.15</v>
      </c>
      <c r="H11">
        <v>21.26</v>
      </c>
      <c r="I11">
        <v>28.35</v>
      </c>
      <c r="J11">
        <f t="shared" ref="J11:J25" si="0">SUM(B11:I11)</f>
        <v>1012.53</v>
      </c>
    </row>
    <row r="12" spans="1:10" x14ac:dyDescent="0.2">
      <c r="A12" t="s">
        <v>72</v>
      </c>
      <c r="B12">
        <v>77.66</v>
      </c>
      <c r="C12">
        <v>799.64</v>
      </c>
      <c r="D12">
        <v>78.09</v>
      </c>
      <c r="E12">
        <v>16.46</v>
      </c>
      <c r="F12">
        <v>18.989999999999998</v>
      </c>
      <c r="G12">
        <v>12.66</v>
      </c>
      <c r="H12">
        <v>22.16</v>
      </c>
      <c r="I12">
        <v>29.55</v>
      </c>
      <c r="J12">
        <f t="shared" si="0"/>
        <v>1055.21</v>
      </c>
    </row>
    <row r="13" spans="1:10" x14ac:dyDescent="0.2">
      <c r="A13" t="s">
        <v>34</v>
      </c>
      <c r="B13">
        <v>80.2</v>
      </c>
      <c r="C13">
        <v>825.78</v>
      </c>
      <c r="D13">
        <v>80.64</v>
      </c>
      <c r="E13">
        <v>17</v>
      </c>
      <c r="F13">
        <v>19.62</v>
      </c>
      <c r="G13">
        <v>13.08</v>
      </c>
      <c r="H13">
        <v>22.88</v>
      </c>
      <c r="I13">
        <v>30.51</v>
      </c>
      <c r="J13">
        <f t="shared" si="0"/>
        <v>1089.71</v>
      </c>
    </row>
    <row r="14" spans="1:10" x14ac:dyDescent="0.2">
      <c r="A14" t="s">
        <v>35</v>
      </c>
      <c r="B14">
        <v>85.57</v>
      </c>
      <c r="C14">
        <v>881</v>
      </c>
      <c r="D14">
        <v>86.03</v>
      </c>
      <c r="E14">
        <v>18.14</v>
      </c>
      <c r="F14">
        <v>20.93</v>
      </c>
      <c r="G14">
        <v>13.95</v>
      </c>
      <c r="H14">
        <v>24.41</v>
      </c>
      <c r="I14">
        <v>32.549999999999997</v>
      </c>
      <c r="J14">
        <f t="shared" si="0"/>
        <v>1162.5800000000002</v>
      </c>
    </row>
    <row r="15" spans="1:10" x14ac:dyDescent="0.2">
      <c r="A15" t="s">
        <v>457</v>
      </c>
      <c r="B15">
        <v>77.92</v>
      </c>
      <c r="C15">
        <v>802.29</v>
      </c>
      <c r="D15">
        <v>78.34</v>
      </c>
      <c r="E15">
        <v>16.52</v>
      </c>
      <c r="F15">
        <v>19.059999999999999</v>
      </c>
      <c r="G15">
        <v>12.7</v>
      </c>
      <c r="H15">
        <v>22.23</v>
      </c>
      <c r="I15">
        <v>29.64</v>
      </c>
      <c r="J15">
        <f t="shared" si="0"/>
        <v>1058.7</v>
      </c>
    </row>
    <row r="16" spans="1:10" x14ac:dyDescent="0.2">
      <c r="A16" t="s">
        <v>37</v>
      </c>
      <c r="B16">
        <v>80.069999999999993</v>
      </c>
      <c r="C16">
        <v>824.41</v>
      </c>
      <c r="D16">
        <v>80.5</v>
      </c>
      <c r="E16">
        <v>16.97</v>
      </c>
      <c r="F16">
        <v>19.579999999999998</v>
      </c>
      <c r="G16">
        <v>13.05</v>
      </c>
      <c r="H16">
        <v>22.85</v>
      </c>
      <c r="I16">
        <v>30.46</v>
      </c>
      <c r="J16">
        <f t="shared" si="0"/>
        <v>1087.8900000000001</v>
      </c>
    </row>
    <row r="17" spans="1:11" x14ac:dyDescent="0.2">
      <c r="A17" t="s">
        <v>329</v>
      </c>
      <c r="B17">
        <v>70.349999999999994</v>
      </c>
      <c r="C17">
        <v>724.35</v>
      </c>
      <c r="D17">
        <v>70.73</v>
      </c>
      <c r="E17">
        <v>14.91</v>
      </c>
      <c r="F17">
        <v>17.21</v>
      </c>
      <c r="G17">
        <v>11.47</v>
      </c>
      <c r="H17">
        <v>20.07</v>
      </c>
      <c r="I17">
        <v>26.76</v>
      </c>
      <c r="J17">
        <f t="shared" si="0"/>
        <v>955.85000000000014</v>
      </c>
    </row>
    <row r="18" spans="1:11" x14ac:dyDescent="0.2">
      <c r="A18" t="s">
        <v>95</v>
      </c>
      <c r="B18">
        <v>74.94</v>
      </c>
      <c r="C18">
        <v>771.58</v>
      </c>
      <c r="D18">
        <v>75.349999999999994</v>
      </c>
      <c r="E18">
        <v>15.88</v>
      </c>
      <c r="F18">
        <v>18.329999999999998</v>
      </c>
      <c r="G18">
        <v>12.22</v>
      </c>
      <c r="H18">
        <v>21.38</v>
      </c>
      <c r="I18">
        <v>28.51</v>
      </c>
      <c r="J18">
        <f t="shared" si="0"/>
        <v>1018.19</v>
      </c>
    </row>
    <row r="19" spans="1:11" x14ac:dyDescent="0.2">
      <c r="A19" t="s">
        <v>40</v>
      </c>
      <c r="B19">
        <v>77.489999999999995</v>
      </c>
      <c r="C19">
        <v>797.89</v>
      </c>
      <c r="D19">
        <v>77.91</v>
      </c>
      <c r="E19">
        <v>16.43</v>
      </c>
      <c r="F19">
        <v>18.95</v>
      </c>
      <c r="G19">
        <v>12.64</v>
      </c>
      <c r="H19">
        <v>22.11</v>
      </c>
      <c r="I19">
        <v>29.48</v>
      </c>
      <c r="J19">
        <f t="shared" si="0"/>
        <v>1052.8999999999999</v>
      </c>
    </row>
    <row r="20" spans="1:11" x14ac:dyDescent="0.2">
      <c r="A20" t="s">
        <v>41</v>
      </c>
      <c r="B20">
        <v>70.73</v>
      </c>
      <c r="C20">
        <v>728.28</v>
      </c>
      <c r="D20">
        <v>71.12</v>
      </c>
      <c r="E20">
        <v>14.99</v>
      </c>
      <c r="F20">
        <v>17.3</v>
      </c>
      <c r="G20">
        <v>11.53</v>
      </c>
      <c r="H20">
        <v>20.18</v>
      </c>
      <c r="I20">
        <v>26.91</v>
      </c>
      <c r="J20">
        <f t="shared" si="0"/>
        <v>961.03999999999985</v>
      </c>
    </row>
    <row r="21" spans="1:11" x14ac:dyDescent="0.2">
      <c r="A21" t="s">
        <v>42</v>
      </c>
      <c r="B21">
        <v>76.61</v>
      </c>
      <c r="C21">
        <v>788.8</v>
      </c>
      <c r="D21">
        <v>77.03</v>
      </c>
      <c r="E21">
        <v>16.239999999999998</v>
      </c>
      <c r="F21">
        <v>18.739999999999998</v>
      </c>
      <c r="G21">
        <v>12.49</v>
      </c>
      <c r="H21">
        <v>21.86</v>
      </c>
      <c r="I21">
        <v>29.15</v>
      </c>
      <c r="J21">
        <f t="shared" si="0"/>
        <v>1040.92</v>
      </c>
    </row>
    <row r="22" spans="1:11" x14ac:dyDescent="0.2">
      <c r="A22" t="s">
        <v>43</v>
      </c>
      <c r="B22">
        <v>74.430000000000007</v>
      </c>
      <c r="C22">
        <v>766.35</v>
      </c>
      <c r="D22">
        <v>74.83</v>
      </c>
      <c r="E22">
        <v>15.78</v>
      </c>
      <c r="F22">
        <v>18.2</v>
      </c>
      <c r="G22">
        <v>12.14</v>
      </c>
      <c r="H22">
        <v>21.24</v>
      </c>
      <c r="I22">
        <v>28.32</v>
      </c>
      <c r="J22">
        <f t="shared" si="0"/>
        <v>1011.2900000000001</v>
      </c>
    </row>
    <row r="23" spans="1:11" x14ac:dyDescent="0.2">
      <c r="A23" t="s">
        <v>44</v>
      </c>
      <c r="B23">
        <v>67.930000000000007</v>
      </c>
      <c r="C23">
        <v>699.4</v>
      </c>
      <c r="D23">
        <v>68.3</v>
      </c>
      <c r="E23">
        <v>14.4</v>
      </c>
      <c r="F23">
        <v>16.61</v>
      </c>
      <c r="G23">
        <v>11.08</v>
      </c>
      <c r="H23">
        <v>19.38</v>
      </c>
      <c r="I23">
        <v>25.84</v>
      </c>
      <c r="J23">
        <f t="shared" si="0"/>
        <v>922.93999999999994</v>
      </c>
    </row>
    <row r="24" spans="1:11" x14ac:dyDescent="0.2">
      <c r="A24" t="s">
        <v>72</v>
      </c>
      <c r="B24">
        <v>78.81</v>
      </c>
      <c r="C24">
        <v>811.45</v>
      </c>
      <c r="D24">
        <v>79.239999999999995</v>
      </c>
      <c r="E24">
        <v>16.7</v>
      </c>
      <c r="F24">
        <v>19.27</v>
      </c>
      <c r="G24">
        <v>12.85</v>
      </c>
      <c r="H24">
        <v>22.49</v>
      </c>
      <c r="I24">
        <v>29.98</v>
      </c>
      <c r="J24">
        <f t="shared" si="0"/>
        <v>1070.79</v>
      </c>
    </row>
    <row r="25" spans="1:11" x14ac:dyDescent="0.2">
      <c r="A25" t="s">
        <v>34</v>
      </c>
      <c r="B25">
        <v>84.37</v>
      </c>
      <c r="C25">
        <v>868.7</v>
      </c>
      <c r="D25">
        <v>84.83</v>
      </c>
      <c r="E25">
        <v>17.88</v>
      </c>
      <c r="F25">
        <v>20.63</v>
      </c>
      <c r="G25">
        <v>13.76</v>
      </c>
      <c r="H25">
        <v>24.07</v>
      </c>
      <c r="I25">
        <v>32.1</v>
      </c>
      <c r="J25">
        <f t="shared" si="0"/>
        <v>1146.3400000000001</v>
      </c>
      <c r="K25" t="s">
        <v>22</v>
      </c>
    </row>
    <row r="26" spans="1:11" x14ac:dyDescent="0.2">
      <c r="A26" t="s">
        <v>22</v>
      </c>
      <c r="B26">
        <f t="shared" ref="B26:J26" si="1">SUM(B11:B25)</f>
        <v>1151.5999999999999</v>
      </c>
      <c r="C26">
        <f t="shared" si="1"/>
        <v>11857.210000000001</v>
      </c>
      <c r="D26">
        <f t="shared" si="1"/>
        <v>1157.8699999999999</v>
      </c>
      <c r="E26">
        <f t="shared" si="1"/>
        <v>244.10000000000002</v>
      </c>
      <c r="F26">
        <f t="shared" si="1"/>
        <v>281.64999999999998</v>
      </c>
      <c r="G26">
        <f t="shared" si="1"/>
        <v>187.76999999999998</v>
      </c>
      <c r="H26">
        <f t="shared" si="1"/>
        <v>328.57</v>
      </c>
      <c r="I26">
        <f t="shared" si="1"/>
        <v>438.11</v>
      </c>
      <c r="J26">
        <f t="shared" si="1"/>
        <v>15646.880000000001</v>
      </c>
      <c r="K26">
        <f>J26+J96</f>
        <v>16862.920000000002</v>
      </c>
    </row>
    <row r="28" spans="1:11" x14ac:dyDescent="0.2">
      <c r="A28" t="s">
        <v>117</v>
      </c>
      <c r="B28">
        <f>B26/$J$26</f>
        <v>7.3599337375885795E-2</v>
      </c>
      <c r="C28">
        <f t="shared" ref="C28:I28" si="2">C26/$J$26</f>
        <v>0.75780027711594899</v>
      </c>
      <c r="D28">
        <f t="shared" si="2"/>
        <v>7.4000056241244255E-2</v>
      </c>
      <c r="E28">
        <f t="shared" si="2"/>
        <v>1.560055423189799E-2</v>
      </c>
      <c r="F28">
        <f t="shared" si="2"/>
        <v>1.8000393688709822E-2</v>
      </c>
      <c r="G28">
        <f t="shared" si="2"/>
        <v>1.2000475494156022E-2</v>
      </c>
      <c r="H28">
        <f t="shared" si="2"/>
        <v>2.0999074575889887E-2</v>
      </c>
      <c r="I28">
        <f t="shared" si="2"/>
        <v>2.7999831276267217E-2</v>
      </c>
    </row>
    <row r="30" spans="1:11" x14ac:dyDescent="0.2">
      <c r="A30" t="s">
        <v>86</v>
      </c>
      <c r="B30" t="s">
        <v>6</v>
      </c>
    </row>
    <row r="31" spans="1:11" x14ac:dyDescent="0.2">
      <c r="A31" t="s">
        <v>476</v>
      </c>
    </row>
    <row r="33" spans="1:9" x14ac:dyDescent="0.2">
      <c r="A33" t="str">
        <f>A11</f>
        <v>September 11</v>
      </c>
      <c r="B33">
        <v>174</v>
      </c>
      <c r="C33">
        <v>177.32</v>
      </c>
      <c r="D33">
        <v>201.98</v>
      </c>
      <c r="E33">
        <v>1594.93</v>
      </c>
      <c r="F33">
        <v>238</v>
      </c>
      <c r="G33">
        <v>686.51</v>
      </c>
      <c r="H33">
        <v>466.88</v>
      </c>
      <c r="I33">
        <v>123.29</v>
      </c>
    </row>
    <row r="34" spans="1:9" x14ac:dyDescent="0.2">
      <c r="A34" t="s">
        <v>72</v>
      </c>
      <c r="B34">
        <v>175</v>
      </c>
      <c r="C34">
        <v>152.22999999999999</v>
      </c>
      <c r="D34">
        <v>197.69</v>
      </c>
      <c r="E34">
        <v>1586.55</v>
      </c>
      <c r="F34">
        <v>232.14</v>
      </c>
      <c r="G34">
        <v>690</v>
      </c>
      <c r="H34">
        <v>466.19</v>
      </c>
      <c r="I34">
        <v>123.29</v>
      </c>
    </row>
    <row r="35" spans="1:9" x14ac:dyDescent="0.2">
      <c r="A35" t="s">
        <v>34</v>
      </c>
      <c r="B35">
        <v>105</v>
      </c>
      <c r="C35">
        <v>96.19</v>
      </c>
      <c r="D35">
        <v>144.04</v>
      </c>
      <c r="E35">
        <v>1431.47</v>
      </c>
      <c r="F35">
        <v>232.26</v>
      </c>
      <c r="G35">
        <v>560</v>
      </c>
      <c r="H35">
        <v>460</v>
      </c>
      <c r="I35">
        <v>123.29</v>
      </c>
    </row>
    <row r="36" spans="1:9" x14ac:dyDescent="0.2">
      <c r="A36" t="s">
        <v>35</v>
      </c>
      <c r="B36">
        <v>105.91</v>
      </c>
      <c r="C36">
        <v>105.91</v>
      </c>
      <c r="D36">
        <v>153.26</v>
      </c>
      <c r="E36">
        <v>1469.02</v>
      </c>
      <c r="F36">
        <v>252.87</v>
      </c>
      <c r="G36">
        <v>535.27</v>
      </c>
      <c r="H36">
        <v>457.84</v>
      </c>
      <c r="I36">
        <v>123.29</v>
      </c>
    </row>
    <row r="37" spans="1:9" x14ac:dyDescent="0.2">
      <c r="A37" t="str">
        <f>A15</f>
        <v>January 12</v>
      </c>
      <c r="B37">
        <v>110.38</v>
      </c>
      <c r="C37">
        <v>110.38</v>
      </c>
      <c r="D37">
        <v>159.49</v>
      </c>
      <c r="E37">
        <v>1617.4</v>
      </c>
      <c r="F37">
        <v>253.35</v>
      </c>
      <c r="G37">
        <v>564.19000000000005</v>
      </c>
      <c r="H37">
        <v>457.03</v>
      </c>
      <c r="I37">
        <v>123.29</v>
      </c>
    </row>
    <row r="38" spans="1:9" x14ac:dyDescent="0.2">
      <c r="A38" t="s">
        <v>37</v>
      </c>
      <c r="B38">
        <v>120.29</v>
      </c>
      <c r="C38">
        <v>120.29</v>
      </c>
      <c r="D38">
        <v>167.59</v>
      </c>
      <c r="E38">
        <v>1540.34</v>
      </c>
      <c r="F38">
        <v>223.21</v>
      </c>
      <c r="G38">
        <v>570.85</v>
      </c>
      <c r="H38">
        <v>500</v>
      </c>
      <c r="I38">
        <v>123.29</v>
      </c>
    </row>
    <row r="39" spans="1:9" x14ac:dyDescent="0.2">
      <c r="A39" t="s">
        <v>329</v>
      </c>
      <c r="B39">
        <v>126.93</v>
      </c>
      <c r="C39">
        <v>126.93</v>
      </c>
      <c r="D39">
        <v>162.71</v>
      </c>
      <c r="E39">
        <v>1527.38</v>
      </c>
      <c r="F39">
        <v>231.48</v>
      </c>
      <c r="G39">
        <v>612.70000000000005</v>
      </c>
      <c r="H39">
        <v>516.26</v>
      </c>
      <c r="I39">
        <v>130.35</v>
      </c>
    </row>
    <row r="40" spans="1:9" x14ac:dyDescent="0.2">
      <c r="A40" t="s">
        <v>95</v>
      </c>
      <c r="B40">
        <v>125.6</v>
      </c>
      <c r="C40">
        <v>125.6</v>
      </c>
      <c r="D40">
        <v>155.63999999999999</v>
      </c>
      <c r="E40">
        <v>1490.77</v>
      </c>
      <c r="F40">
        <v>230.3</v>
      </c>
      <c r="G40">
        <v>566.53</v>
      </c>
      <c r="H40">
        <v>553.66999999999996</v>
      </c>
      <c r="I40">
        <v>130.35</v>
      </c>
    </row>
    <row r="41" spans="1:9" x14ac:dyDescent="0.2">
      <c r="A41" t="s">
        <v>40</v>
      </c>
      <c r="B41">
        <v>120.5</v>
      </c>
      <c r="C41">
        <v>120.5</v>
      </c>
      <c r="D41">
        <v>153.28</v>
      </c>
      <c r="E41">
        <v>1420.15</v>
      </c>
      <c r="F41">
        <v>239.63</v>
      </c>
      <c r="G41">
        <v>539.25</v>
      </c>
      <c r="H41">
        <v>544.5</v>
      </c>
      <c r="I41">
        <v>130.35</v>
      </c>
    </row>
    <row r="42" spans="1:9" x14ac:dyDescent="0.2">
      <c r="A42" t="s">
        <v>41</v>
      </c>
      <c r="B42">
        <v>118.7</v>
      </c>
      <c r="C42">
        <v>118.7</v>
      </c>
      <c r="D42">
        <v>151.9</v>
      </c>
      <c r="E42">
        <v>1400</v>
      </c>
      <c r="F42">
        <v>112.1</v>
      </c>
      <c r="G42">
        <v>431.1</v>
      </c>
      <c r="H42">
        <v>400</v>
      </c>
      <c r="I42">
        <v>130.35</v>
      </c>
    </row>
    <row r="43" spans="1:9" x14ac:dyDescent="0.2">
      <c r="A43" t="s">
        <v>42</v>
      </c>
      <c r="B43">
        <v>105.63</v>
      </c>
      <c r="C43">
        <v>105.63</v>
      </c>
      <c r="D43">
        <v>145.5</v>
      </c>
      <c r="E43">
        <v>1426.66</v>
      </c>
      <c r="F43">
        <v>126.35</v>
      </c>
      <c r="G43">
        <v>432.51</v>
      </c>
      <c r="H43">
        <v>352.69</v>
      </c>
      <c r="I43">
        <v>130.35</v>
      </c>
    </row>
    <row r="44" spans="1:9" x14ac:dyDescent="0.2">
      <c r="A44" t="s">
        <v>43</v>
      </c>
      <c r="B44">
        <v>74.349999999999994</v>
      </c>
      <c r="C44">
        <v>74.349999999999994</v>
      </c>
      <c r="D44">
        <v>117.17</v>
      </c>
      <c r="E44">
        <v>1320.64</v>
      </c>
      <c r="F44">
        <v>240</v>
      </c>
      <c r="G44">
        <v>506.75</v>
      </c>
      <c r="H44">
        <v>476.54</v>
      </c>
      <c r="I44">
        <v>130.35</v>
      </c>
    </row>
    <row r="45" spans="1:9" x14ac:dyDescent="0.2">
      <c r="A45" t="s">
        <v>44</v>
      </c>
      <c r="B45">
        <v>70.650000000000006</v>
      </c>
      <c r="C45">
        <v>70.650000000000006</v>
      </c>
      <c r="D45">
        <v>114.36</v>
      </c>
      <c r="E45">
        <v>1333.15</v>
      </c>
      <c r="F45">
        <v>209.31</v>
      </c>
      <c r="G45">
        <v>492.11</v>
      </c>
      <c r="H45">
        <v>492.96</v>
      </c>
      <c r="I45">
        <v>130.35</v>
      </c>
    </row>
    <row r="46" spans="1:9" x14ac:dyDescent="0.2">
      <c r="A46" t="s">
        <v>72</v>
      </c>
      <c r="B46">
        <v>95.12</v>
      </c>
      <c r="C46">
        <v>95.12</v>
      </c>
      <c r="D46">
        <v>134.04</v>
      </c>
      <c r="E46">
        <v>1436.99</v>
      </c>
      <c r="F46">
        <v>216.13</v>
      </c>
      <c r="G46">
        <v>426.97</v>
      </c>
      <c r="H46">
        <v>467.27</v>
      </c>
      <c r="I46">
        <v>130.35</v>
      </c>
    </row>
    <row r="47" spans="1:9" x14ac:dyDescent="0.2">
      <c r="A47" t="s">
        <v>34</v>
      </c>
      <c r="B47">
        <v>118.19</v>
      </c>
      <c r="C47">
        <v>118.19</v>
      </c>
      <c r="D47">
        <v>148.44999999999999</v>
      </c>
      <c r="E47">
        <v>1484.35</v>
      </c>
      <c r="F47">
        <v>199.53</v>
      </c>
      <c r="G47">
        <v>400</v>
      </c>
      <c r="H47">
        <v>403.42</v>
      </c>
      <c r="I47">
        <v>130.35</v>
      </c>
    </row>
    <row r="49" spans="1:10" x14ac:dyDescent="0.2">
      <c r="A49" t="s">
        <v>24</v>
      </c>
      <c r="C49" t="s">
        <v>6</v>
      </c>
      <c r="G49" t="s">
        <v>6</v>
      </c>
      <c r="H49" t="s">
        <v>330</v>
      </c>
      <c r="I49" t="s">
        <v>6</v>
      </c>
    </row>
    <row r="50" spans="1:10" x14ac:dyDescent="0.2">
      <c r="B50" t="s">
        <v>14</v>
      </c>
      <c r="C50" t="s">
        <v>15</v>
      </c>
      <c r="D50" t="s">
        <v>16</v>
      </c>
      <c r="E50" t="s">
        <v>18</v>
      </c>
      <c r="F50" t="s">
        <v>19</v>
      </c>
      <c r="G50" t="s">
        <v>20</v>
      </c>
      <c r="H50" t="s">
        <v>331</v>
      </c>
      <c r="I50" t="s">
        <v>333</v>
      </c>
      <c r="J50" t="s">
        <v>84</v>
      </c>
    </row>
    <row r="52" spans="1:10" x14ac:dyDescent="0.2">
      <c r="A52" t="str">
        <f>A33</f>
        <v>September 11</v>
      </c>
      <c r="B52">
        <f t="shared" ref="B52:H66" si="3">+B11*B33</f>
        <v>12966.48</v>
      </c>
      <c r="C52">
        <f t="shared" si="3"/>
        <v>136055.8628</v>
      </c>
      <c r="D52">
        <f t="shared" si="3"/>
        <v>15134.3614</v>
      </c>
      <c r="E52">
        <f t="shared" si="3"/>
        <v>25199.894000000004</v>
      </c>
      <c r="F52">
        <f t="shared" si="3"/>
        <v>4338.74</v>
      </c>
      <c r="G52">
        <f t="shared" si="3"/>
        <v>8341.0964999999997</v>
      </c>
      <c r="H52">
        <f t="shared" si="3"/>
        <v>9925.8688000000002</v>
      </c>
      <c r="I52">
        <f t="shared" ref="I52:I66" si="4">+I11*-I33</f>
        <v>-3495.2715000000003</v>
      </c>
      <c r="J52">
        <f>SUM(B52:I52)</f>
        <v>208467.03199999998</v>
      </c>
    </row>
    <row r="53" spans="1:10" x14ac:dyDescent="0.2">
      <c r="A53" t="s">
        <v>72</v>
      </c>
      <c r="B53">
        <f t="shared" si="3"/>
        <v>13590.5</v>
      </c>
      <c r="C53">
        <f t="shared" si="3"/>
        <v>121729.1972</v>
      </c>
      <c r="D53">
        <f t="shared" si="3"/>
        <v>15437.6121</v>
      </c>
      <c r="E53">
        <f t="shared" si="3"/>
        <v>26114.613000000001</v>
      </c>
      <c r="F53">
        <f t="shared" si="3"/>
        <v>4408.3385999999991</v>
      </c>
      <c r="G53">
        <f t="shared" si="3"/>
        <v>8735.4</v>
      </c>
      <c r="H53">
        <f t="shared" si="3"/>
        <v>10330.770399999999</v>
      </c>
      <c r="I53">
        <f t="shared" si="4"/>
        <v>-3643.2195000000002</v>
      </c>
      <c r="J53">
        <f>SUM(B53:I53)</f>
        <v>196703.21179999999</v>
      </c>
    </row>
    <row r="54" spans="1:10" x14ac:dyDescent="0.2">
      <c r="A54" t="s">
        <v>34</v>
      </c>
      <c r="B54">
        <f t="shared" si="3"/>
        <v>8421</v>
      </c>
      <c r="C54">
        <f t="shared" si="3"/>
        <v>79431.778200000001</v>
      </c>
      <c r="D54">
        <f t="shared" si="3"/>
        <v>11615.3856</v>
      </c>
      <c r="E54">
        <f t="shared" si="3"/>
        <v>24334.99</v>
      </c>
      <c r="F54">
        <f t="shared" si="3"/>
        <v>4556.9412000000002</v>
      </c>
      <c r="G54">
        <f t="shared" si="3"/>
        <v>7324.8</v>
      </c>
      <c r="H54">
        <f t="shared" si="3"/>
        <v>10524.8</v>
      </c>
      <c r="I54">
        <f t="shared" si="4"/>
        <v>-3761.5779000000002</v>
      </c>
      <c r="J54">
        <f t="shared" ref="J54:J63" si="5">SUM(B54:I54)</f>
        <v>142448.11709999997</v>
      </c>
    </row>
    <row r="55" spans="1:10" x14ac:dyDescent="0.2">
      <c r="A55" t="s">
        <v>35</v>
      </c>
      <c r="B55">
        <f t="shared" si="3"/>
        <v>9062.7186999999994</v>
      </c>
      <c r="C55">
        <f t="shared" si="3"/>
        <v>93306.709999999992</v>
      </c>
      <c r="D55">
        <f t="shared" si="3"/>
        <v>13184.9578</v>
      </c>
      <c r="E55">
        <f t="shared" si="3"/>
        <v>26648.022799999999</v>
      </c>
      <c r="F55">
        <f t="shared" si="3"/>
        <v>5292.5690999999997</v>
      </c>
      <c r="G55">
        <f t="shared" si="3"/>
        <v>7467.0164999999997</v>
      </c>
      <c r="H55">
        <f t="shared" si="3"/>
        <v>11175.874399999999</v>
      </c>
      <c r="I55">
        <f t="shared" si="4"/>
        <v>-4013.0895</v>
      </c>
      <c r="J55">
        <f t="shared" si="5"/>
        <v>162124.77979999999</v>
      </c>
    </row>
    <row r="56" spans="1:10" x14ac:dyDescent="0.2">
      <c r="A56" t="str">
        <f>A37</f>
        <v>January 12</v>
      </c>
      <c r="B56">
        <f t="shared" si="3"/>
        <v>8600.8096000000005</v>
      </c>
      <c r="C56">
        <f t="shared" si="3"/>
        <v>88556.770199999999</v>
      </c>
      <c r="D56">
        <f t="shared" si="3"/>
        <v>12494.446600000001</v>
      </c>
      <c r="E56">
        <f t="shared" si="3"/>
        <v>26719.448</v>
      </c>
      <c r="F56">
        <f t="shared" si="3"/>
        <v>4828.8509999999997</v>
      </c>
      <c r="G56">
        <f t="shared" si="3"/>
        <v>7165.2130000000006</v>
      </c>
      <c r="H56">
        <f t="shared" si="3"/>
        <v>10159.776899999999</v>
      </c>
      <c r="I56">
        <f t="shared" si="4"/>
        <v>-3654.3156000000004</v>
      </c>
      <c r="J56">
        <f t="shared" si="5"/>
        <v>154870.99969999999</v>
      </c>
    </row>
    <row r="57" spans="1:10" x14ac:dyDescent="0.2">
      <c r="A57" t="s">
        <v>37</v>
      </c>
      <c r="B57">
        <f t="shared" si="3"/>
        <v>9631.6203000000005</v>
      </c>
      <c r="C57">
        <f t="shared" si="3"/>
        <v>99168.278900000005</v>
      </c>
      <c r="D57">
        <f t="shared" si="3"/>
        <v>13490.995000000001</v>
      </c>
      <c r="E57">
        <f t="shared" si="3"/>
        <v>26139.569799999997</v>
      </c>
      <c r="F57">
        <f t="shared" si="3"/>
        <v>4370.4517999999998</v>
      </c>
      <c r="G57">
        <f t="shared" si="3"/>
        <v>7449.5925000000007</v>
      </c>
      <c r="H57">
        <f t="shared" si="3"/>
        <v>11425</v>
      </c>
      <c r="I57">
        <f t="shared" si="4"/>
        <v>-3755.4134000000004</v>
      </c>
      <c r="J57">
        <f t="shared" si="5"/>
        <v>167920.0949</v>
      </c>
    </row>
    <row r="58" spans="1:10" x14ac:dyDescent="0.2">
      <c r="A58" t="s">
        <v>329</v>
      </c>
      <c r="B58">
        <f t="shared" si="3"/>
        <v>8929.5254999999997</v>
      </c>
      <c r="C58">
        <f t="shared" si="3"/>
        <v>91941.745500000005</v>
      </c>
      <c r="D58">
        <f t="shared" si="3"/>
        <v>11508.478300000001</v>
      </c>
      <c r="E58">
        <f t="shared" si="3"/>
        <v>22773.235800000002</v>
      </c>
      <c r="F58">
        <f t="shared" si="3"/>
        <v>3983.7708000000002</v>
      </c>
      <c r="G58">
        <f t="shared" si="3"/>
        <v>7027.6690000000008</v>
      </c>
      <c r="H58">
        <f t="shared" si="3"/>
        <v>10361.3382</v>
      </c>
      <c r="I58">
        <f t="shared" si="4"/>
        <v>-3488.1660000000002</v>
      </c>
      <c r="J58">
        <f t="shared" si="5"/>
        <v>153037.59710000001</v>
      </c>
    </row>
    <row r="59" spans="1:10" x14ac:dyDescent="0.2">
      <c r="A59" t="s">
        <v>95</v>
      </c>
      <c r="B59">
        <f t="shared" si="3"/>
        <v>9412.4639999999999</v>
      </c>
      <c r="C59">
        <f t="shared" si="3"/>
        <v>96910.448000000004</v>
      </c>
      <c r="D59">
        <f t="shared" si="3"/>
        <v>11727.473999999998</v>
      </c>
      <c r="E59">
        <f t="shared" si="3"/>
        <v>23673.427599999999</v>
      </c>
      <c r="F59">
        <f t="shared" si="3"/>
        <v>4221.3989999999994</v>
      </c>
      <c r="G59">
        <f t="shared" si="3"/>
        <v>6922.9966000000004</v>
      </c>
      <c r="H59">
        <f t="shared" si="3"/>
        <v>11837.464599999999</v>
      </c>
      <c r="I59">
        <f t="shared" si="4"/>
        <v>-3716.2784999999999</v>
      </c>
      <c r="J59">
        <f t="shared" si="5"/>
        <v>160989.39530000006</v>
      </c>
    </row>
    <row r="60" spans="1:10" x14ac:dyDescent="0.2">
      <c r="A60" t="s">
        <v>40</v>
      </c>
      <c r="B60">
        <f t="shared" si="3"/>
        <v>9337.5450000000001</v>
      </c>
      <c r="C60">
        <f t="shared" si="3"/>
        <v>96145.744999999995</v>
      </c>
      <c r="D60">
        <f t="shared" si="3"/>
        <v>11942.0448</v>
      </c>
      <c r="E60">
        <f t="shared" si="3"/>
        <v>23333.0645</v>
      </c>
      <c r="F60">
        <f t="shared" si="3"/>
        <v>4540.9884999999995</v>
      </c>
      <c r="G60">
        <f t="shared" si="3"/>
        <v>6816.12</v>
      </c>
      <c r="H60">
        <f t="shared" si="3"/>
        <v>12038.895</v>
      </c>
      <c r="I60">
        <f t="shared" si="4"/>
        <v>-3842.7179999999998</v>
      </c>
      <c r="J60">
        <f t="shared" si="5"/>
        <v>160311.68479999999</v>
      </c>
    </row>
    <row r="61" spans="1:10" x14ac:dyDescent="0.2">
      <c r="A61" t="s">
        <v>41</v>
      </c>
      <c r="B61">
        <f t="shared" si="3"/>
        <v>8395.6509999999998</v>
      </c>
      <c r="C61">
        <f t="shared" si="3"/>
        <v>86446.835999999996</v>
      </c>
      <c r="D61">
        <f t="shared" si="3"/>
        <v>10803.128000000001</v>
      </c>
      <c r="E61">
        <f t="shared" si="3"/>
        <v>20986</v>
      </c>
      <c r="F61">
        <f t="shared" si="3"/>
        <v>1939.33</v>
      </c>
      <c r="G61">
        <f t="shared" si="3"/>
        <v>4970.5829999999996</v>
      </c>
      <c r="H61">
        <f t="shared" si="3"/>
        <v>8072</v>
      </c>
      <c r="I61">
        <f t="shared" si="4"/>
        <v>-3507.7184999999999</v>
      </c>
      <c r="J61">
        <f t="shared" si="5"/>
        <v>138105.8095</v>
      </c>
    </row>
    <row r="62" spans="1:10" x14ac:dyDescent="0.2">
      <c r="A62" t="s">
        <v>42</v>
      </c>
      <c r="B62">
        <f t="shared" si="3"/>
        <v>8092.3143</v>
      </c>
      <c r="C62">
        <f t="shared" si="3"/>
        <v>83320.943999999989</v>
      </c>
      <c r="D62">
        <f t="shared" si="3"/>
        <v>11207.865</v>
      </c>
      <c r="E62">
        <f t="shared" si="3"/>
        <v>23168.9584</v>
      </c>
      <c r="F62">
        <f t="shared" si="3"/>
        <v>2367.7989999999995</v>
      </c>
      <c r="G62">
        <f t="shared" si="3"/>
        <v>5402.0499</v>
      </c>
      <c r="H62">
        <f t="shared" si="3"/>
        <v>7709.8033999999998</v>
      </c>
      <c r="I62">
        <f t="shared" si="4"/>
        <v>-3799.7024999999999</v>
      </c>
      <c r="J62">
        <f t="shared" si="5"/>
        <v>137470.03149999998</v>
      </c>
    </row>
    <row r="63" spans="1:10" x14ac:dyDescent="0.2">
      <c r="A63" t="s">
        <v>43</v>
      </c>
      <c r="B63">
        <f t="shared" si="3"/>
        <v>5533.8705</v>
      </c>
      <c r="C63">
        <f t="shared" si="3"/>
        <v>56978.122499999998</v>
      </c>
      <c r="D63">
        <f t="shared" si="3"/>
        <v>8767.8310999999994</v>
      </c>
      <c r="E63">
        <f t="shared" si="3"/>
        <v>20839.699199999999</v>
      </c>
      <c r="F63">
        <f t="shared" si="3"/>
        <v>4368</v>
      </c>
      <c r="G63">
        <f t="shared" si="3"/>
        <v>6151.9450000000006</v>
      </c>
      <c r="H63">
        <f t="shared" si="3"/>
        <v>10121.7096</v>
      </c>
      <c r="I63">
        <f t="shared" si="4"/>
        <v>-3691.5119999999997</v>
      </c>
      <c r="J63">
        <f t="shared" si="5"/>
        <v>109069.66590000001</v>
      </c>
    </row>
    <row r="64" spans="1:10" x14ac:dyDescent="0.2">
      <c r="A64" t="s">
        <v>44</v>
      </c>
      <c r="B64">
        <f t="shared" si="3"/>
        <v>4799.2545000000009</v>
      </c>
      <c r="C64">
        <f t="shared" si="3"/>
        <v>49412.61</v>
      </c>
      <c r="D64">
        <f t="shared" si="3"/>
        <v>7810.7879999999996</v>
      </c>
      <c r="E64">
        <f t="shared" si="3"/>
        <v>19197.36</v>
      </c>
      <c r="F64">
        <f t="shared" si="3"/>
        <v>3476.6390999999999</v>
      </c>
      <c r="G64">
        <f t="shared" si="3"/>
        <v>5452.5788000000002</v>
      </c>
      <c r="H64">
        <f t="shared" si="3"/>
        <v>9553.5647999999983</v>
      </c>
      <c r="I64">
        <f t="shared" si="4"/>
        <v>-3368.2439999999997</v>
      </c>
      <c r="J64">
        <f>SUM(B64:I64)</f>
        <v>96334.551200000002</v>
      </c>
    </row>
    <row r="65" spans="1:10" x14ac:dyDescent="0.2">
      <c r="A65" t="s">
        <v>72</v>
      </c>
      <c r="B65">
        <f t="shared" si="3"/>
        <v>7496.4072000000006</v>
      </c>
      <c r="C65">
        <f t="shared" si="3"/>
        <v>77185.124000000011</v>
      </c>
      <c r="D65">
        <f t="shared" si="3"/>
        <v>10621.329599999999</v>
      </c>
      <c r="E65">
        <f t="shared" si="3"/>
        <v>23997.733</v>
      </c>
      <c r="F65">
        <f t="shared" si="3"/>
        <v>4164.8251</v>
      </c>
      <c r="G65">
        <f t="shared" si="3"/>
        <v>5486.5645000000004</v>
      </c>
      <c r="H65">
        <f t="shared" si="3"/>
        <v>10508.9023</v>
      </c>
      <c r="I65">
        <f t="shared" si="4"/>
        <v>-3907.893</v>
      </c>
      <c r="J65">
        <f>SUM(B65:I65)</f>
        <v>135552.99269999997</v>
      </c>
    </row>
    <row r="66" spans="1:10" x14ac:dyDescent="0.2">
      <c r="A66" t="s">
        <v>34</v>
      </c>
      <c r="B66">
        <f t="shared" si="3"/>
        <v>9971.6903000000002</v>
      </c>
      <c r="C66">
        <f t="shared" si="3"/>
        <v>102671.65300000001</v>
      </c>
      <c r="D66">
        <f t="shared" si="3"/>
        <v>12593.013499999999</v>
      </c>
      <c r="E66">
        <f t="shared" si="3"/>
        <v>26540.177999999996</v>
      </c>
      <c r="F66">
        <f t="shared" si="3"/>
        <v>4116.3038999999999</v>
      </c>
      <c r="G66">
        <f t="shared" si="3"/>
        <v>5504</v>
      </c>
      <c r="H66">
        <f t="shared" si="3"/>
        <v>9710.3194000000003</v>
      </c>
      <c r="I66">
        <f t="shared" si="4"/>
        <v>-4184.2349999999997</v>
      </c>
      <c r="J66">
        <f>SUM(B66:I66)</f>
        <v>166922.92310000001</v>
      </c>
    </row>
    <row r="67" spans="1:10" x14ac:dyDescent="0.2">
      <c r="A67" t="s">
        <v>88</v>
      </c>
      <c r="B67">
        <f t="shared" ref="B67:J67" si="6">SUM(B52:B66)</f>
        <v>134241.85089999999</v>
      </c>
      <c r="C67">
        <f t="shared" si="6"/>
        <v>1359261.8253000001</v>
      </c>
      <c r="D67">
        <f t="shared" si="6"/>
        <v>178339.7108</v>
      </c>
      <c r="E67">
        <f t="shared" si="6"/>
        <v>359666.19409999996</v>
      </c>
      <c r="F67">
        <f t="shared" si="6"/>
        <v>60974.947099999998</v>
      </c>
      <c r="G67">
        <f t="shared" si="6"/>
        <v>100217.62530000001</v>
      </c>
      <c r="H67">
        <f t="shared" si="6"/>
        <v>153456.08780000001</v>
      </c>
      <c r="I67">
        <f t="shared" si="6"/>
        <v>-55829.354900000006</v>
      </c>
      <c r="J67">
        <f t="shared" si="6"/>
        <v>2290328.8864000002</v>
      </c>
    </row>
    <row r="69" spans="1:10" x14ac:dyDescent="0.2">
      <c r="A69" t="s">
        <v>89</v>
      </c>
    </row>
    <row r="70" spans="1:10" x14ac:dyDescent="0.2">
      <c r="J70" t="s">
        <v>6</v>
      </c>
    </row>
    <row r="71" spans="1:10" x14ac:dyDescent="0.2">
      <c r="J71" t="s">
        <v>6</v>
      </c>
    </row>
    <row r="72" spans="1:10" x14ac:dyDescent="0.2">
      <c r="F72" t="s">
        <v>0</v>
      </c>
    </row>
    <row r="73" spans="1:10" x14ac:dyDescent="0.2">
      <c r="F73" t="s">
        <v>1</v>
      </c>
    </row>
    <row r="74" spans="1:10" x14ac:dyDescent="0.2">
      <c r="F74" t="s">
        <v>378</v>
      </c>
    </row>
    <row r="75" spans="1:10" x14ac:dyDescent="0.2">
      <c r="F75" t="str">
        <f>E5</f>
        <v>After Thirteenth  Year</v>
      </c>
    </row>
    <row r="77" spans="1:10" x14ac:dyDescent="0.2">
      <c r="B77" t="s">
        <v>81</v>
      </c>
    </row>
    <row r="78" spans="1:10" x14ac:dyDescent="0.2">
      <c r="G78" t="s">
        <v>6</v>
      </c>
      <c r="H78" t="s">
        <v>330</v>
      </c>
      <c r="I78" t="s">
        <v>6</v>
      </c>
    </row>
    <row r="79" spans="1:10" x14ac:dyDescent="0.2">
      <c r="A79" t="s">
        <v>9</v>
      </c>
      <c r="B79" t="s">
        <v>14</v>
      </c>
      <c r="C79" t="s">
        <v>15</v>
      </c>
      <c r="D79" t="s">
        <v>16</v>
      </c>
      <c r="E79" t="s">
        <v>18</v>
      </c>
      <c r="F79" t="s">
        <v>19</v>
      </c>
      <c r="G79" t="s">
        <v>20</v>
      </c>
      <c r="H79" t="s">
        <v>331</v>
      </c>
      <c r="I79" t="s">
        <v>333</v>
      </c>
      <c r="J79" t="s">
        <v>84</v>
      </c>
    </row>
    <row r="81" spans="1:10" x14ac:dyDescent="0.2">
      <c r="A81" t="s">
        <v>456</v>
      </c>
      <c r="B81">
        <v>3.81</v>
      </c>
      <c r="C81">
        <v>56.1</v>
      </c>
      <c r="D81">
        <v>11.4</v>
      </c>
      <c r="E81">
        <v>0.64</v>
      </c>
      <c r="F81">
        <v>0.7</v>
      </c>
      <c r="G81">
        <v>0.44</v>
      </c>
      <c r="H81">
        <v>0.32</v>
      </c>
      <c r="I81">
        <v>7.63</v>
      </c>
      <c r="J81">
        <f>SUM(B81:I81)</f>
        <v>81.039999999999992</v>
      </c>
    </row>
    <row r="82" spans="1:10" x14ac:dyDescent="0.2">
      <c r="A82" t="s">
        <v>72</v>
      </c>
      <c r="B82">
        <v>3.81</v>
      </c>
      <c r="C82">
        <v>56.1</v>
      </c>
      <c r="D82">
        <v>11.4</v>
      </c>
      <c r="E82">
        <v>0.64</v>
      </c>
      <c r="F82">
        <v>0.7</v>
      </c>
      <c r="G82">
        <v>0.44</v>
      </c>
      <c r="H82">
        <v>0.32</v>
      </c>
      <c r="I82">
        <v>7.29</v>
      </c>
      <c r="J82">
        <f t="shared" ref="J82:J95" si="7">SUM(B82:I82)</f>
        <v>80.7</v>
      </c>
    </row>
    <row r="83" spans="1:10" x14ac:dyDescent="0.2">
      <c r="A83" t="s">
        <v>34</v>
      </c>
      <c r="B83">
        <v>3.81</v>
      </c>
      <c r="C83">
        <v>56.1</v>
      </c>
      <c r="D83">
        <v>11.4</v>
      </c>
      <c r="E83">
        <v>0.64</v>
      </c>
      <c r="F83">
        <v>0.7</v>
      </c>
      <c r="G83">
        <v>0.44</v>
      </c>
      <c r="H83">
        <v>0.32</v>
      </c>
      <c r="I83">
        <v>7.63</v>
      </c>
      <c r="J83">
        <f t="shared" si="7"/>
        <v>81.039999999999992</v>
      </c>
    </row>
    <row r="84" spans="1:10" x14ac:dyDescent="0.2">
      <c r="A84" t="s">
        <v>35</v>
      </c>
      <c r="B84">
        <v>3.81</v>
      </c>
      <c r="C84">
        <v>56.1</v>
      </c>
      <c r="D84">
        <v>11.4</v>
      </c>
      <c r="E84">
        <v>0.64</v>
      </c>
      <c r="F84">
        <v>0.7</v>
      </c>
      <c r="G84">
        <v>0.44</v>
      </c>
      <c r="H84">
        <v>0.32</v>
      </c>
      <c r="I84">
        <v>7.63</v>
      </c>
      <c r="J84">
        <f t="shared" si="7"/>
        <v>81.039999999999992</v>
      </c>
    </row>
    <row r="85" spans="1:10" x14ac:dyDescent="0.2">
      <c r="A85" t="s">
        <v>457</v>
      </c>
      <c r="B85">
        <v>3.81</v>
      </c>
      <c r="C85">
        <v>56.1</v>
      </c>
      <c r="D85">
        <v>11.4</v>
      </c>
      <c r="E85">
        <v>0.64</v>
      </c>
      <c r="F85">
        <v>0.7</v>
      </c>
      <c r="G85">
        <v>0.44</v>
      </c>
      <c r="H85">
        <v>0.32</v>
      </c>
      <c r="I85">
        <v>7.63</v>
      </c>
      <c r="J85">
        <f t="shared" si="7"/>
        <v>81.039999999999992</v>
      </c>
    </row>
    <row r="86" spans="1:10" x14ac:dyDescent="0.2">
      <c r="A86" t="s">
        <v>37</v>
      </c>
      <c r="B86">
        <v>3.81</v>
      </c>
      <c r="C86">
        <v>56.1</v>
      </c>
      <c r="D86">
        <v>11.4</v>
      </c>
      <c r="E86">
        <v>0.64</v>
      </c>
      <c r="F86">
        <v>0.7</v>
      </c>
      <c r="G86">
        <v>0.32</v>
      </c>
      <c r="H86">
        <v>0.44</v>
      </c>
      <c r="I86">
        <v>7.29</v>
      </c>
      <c r="J86">
        <f t="shared" si="7"/>
        <v>80.7</v>
      </c>
    </row>
    <row r="87" spans="1:10" x14ac:dyDescent="0.2">
      <c r="A87" t="s">
        <v>329</v>
      </c>
      <c r="B87">
        <v>3.81</v>
      </c>
      <c r="C87">
        <v>56.1</v>
      </c>
      <c r="D87">
        <v>11.4</v>
      </c>
      <c r="E87">
        <v>0.64</v>
      </c>
      <c r="F87">
        <v>0.7</v>
      </c>
      <c r="G87">
        <v>0.44</v>
      </c>
      <c r="H87">
        <v>0.32</v>
      </c>
      <c r="I87">
        <v>7.63</v>
      </c>
      <c r="J87">
        <f t="shared" si="7"/>
        <v>81.039999999999992</v>
      </c>
    </row>
    <row r="88" spans="1:10" x14ac:dyDescent="0.2">
      <c r="A88" t="s">
        <v>95</v>
      </c>
      <c r="B88">
        <v>3.81</v>
      </c>
      <c r="C88">
        <v>56.1</v>
      </c>
      <c r="D88">
        <v>11.4</v>
      </c>
      <c r="E88">
        <v>0.64</v>
      </c>
      <c r="F88">
        <v>0.7</v>
      </c>
      <c r="G88">
        <v>0.44</v>
      </c>
      <c r="H88">
        <v>0.32</v>
      </c>
      <c r="I88">
        <v>7.29</v>
      </c>
      <c r="J88">
        <f t="shared" si="7"/>
        <v>80.7</v>
      </c>
    </row>
    <row r="89" spans="1:10" x14ac:dyDescent="0.2">
      <c r="A89" t="s">
        <v>40</v>
      </c>
      <c r="B89">
        <v>3.81</v>
      </c>
      <c r="C89">
        <v>56.1</v>
      </c>
      <c r="D89">
        <v>11.4</v>
      </c>
      <c r="E89">
        <v>0.64</v>
      </c>
      <c r="F89">
        <v>0.7</v>
      </c>
      <c r="G89">
        <v>0.44</v>
      </c>
      <c r="H89">
        <v>0.32</v>
      </c>
      <c r="I89">
        <v>7.98</v>
      </c>
      <c r="J89">
        <f t="shared" si="7"/>
        <v>81.39</v>
      </c>
    </row>
    <row r="90" spans="1:10" x14ac:dyDescent="0.2">
      <c r="A90" t="s">
        <v>41</v>
      </c>
      <c r="B90">
        <v>3.81</v>
      </c>
      <c r="C90">
        <v>56.1</v>
      </c>
      <c r="D90">
        <v>11.4</v>
      </c>
      <c r="E90">
        <v>0.64</v>
      </c>
      <c r="F90">
        <v>0.7</v>
      </c>
      <c r="G90">
        <v>0.44</v>
      </c>
      <c r="H90">
        <v>0.32</v>
      </c>
      <c r="I90">
        <v>7.29</v>
      </c>
      <c r="J90">
        <f t="shared" si="7"/>
        <v>80.7</v>
      </c>
    </row>
    <row r="91" spans="1:10" x14ac:dyDescent="0.2">
      <c r="A91" t="s">
        <v>42</v>
      </c>
      <c r="B91">
        <v>3.81</v>
      </c>
      <c r="C91">
        <v>56.1</v>
      </c>
      <c r="D91">
        <v>11.4</v>
      </c>
      <c r="E91">
        <v>0.64</v>
      </c>
      <c r="F91">
        <v>0.7</v>
      </c>
      <c r="G91">
        <v>0.44</v>
      </c>
      <c r="H91">
        <v>0.32</v>
      </c>
      <c r="I91">
        <v>7.63</v>
      </c>
      <c r="J91">
        <f t="shared" si="7"/>
        <v>81.039999999999992</v>
      </c>
    </row>
    <row r="92" spans="1:10" x14ac:dyDescent="0.2">
      <c r="A92" t="s">
        <v>43</v>
      </c>
      <c r="B92">
        <v>3.81</v>
      </c>
      <c r="C92">
        <v>56.1</v>
      </c>
      <c r="D92">
        <v>11.4</v>
      </c>
      <c r="E92">
        <v>0.64</v>
      </c>
      <c r="F92">
        <v>0.7</v>
      </c>
      <c r="G92">
        <v>0.44</v>
      </c>
      <c r="H92">
        <v>0.32</v>
      </c>
      <c r="I92">
        <v>7.99</v>
      </c>
      <c r="J92">
        <f t="shared" si="7"/>
        <v>81.399999999999991</v>
      </c>
    </row>
    <row r="93" spans="1:10" x14ac:dyDescent="0.2">
      <c r="A93" t="s">
        <v>44</v>
      </c>
      <c r="B93">
        <v>3.81</v>
      </c>
      <c r="C93">
        <v>56.1</v>
      </c>
      <c r="D93">
        <v>11.4</v>
      </c>
      <c r="E93">
        <v>0.64</v>
      </c>
      <c r="F93">
        <v>0.7</v>
      </c>
      <c r="G93">
        <v>0.44</v>
      </c>
      <c r="H93">
        <v>0.32</v>
      </c>
      <c r="I93">
        <v>8.36</v>
      </c>
      <c r="J93">
        <f t="shared" si="7"/>
        <v>81.77</v>
      </c>
    </row>
    <row r="94" spans="1:10" x14ac:dyDescent="0.2">
      <c r="A94" t="s">
        <v>72</v>
      </c>
      <c r="B94">
        <v>3.81</v>
      </c>
      <c r="C94">
        <v>56.1</v>
      </c>
      <c r="D94">
        <v>11.4</v>
      </c>
      <c r="E94">
        <v>0.64</v>
      </c>
      <c r="F94">
        <v>0.7</v>
      </c>
      <c r="G94">
        <v>0.44</v>
      </c>
      <c r="H94">
        <v>0.32</v>
      </c>
      <c r="I94">
        <v>7.99</v>
      </c>
      <c r="J94">
        <f t="shared" si="7"/>
        <v>81.399999999999991</v>
      </c>
    </row>
    <row r="95" spans="1:10" x14ac:dyDescent="0.2">
      <c r="A95" t="s">
        <v>34</v>
      </c>
      <c r="B95">
        <v>3.81</v>
      </c>
      <c r="C95">
        <v>56.1</v>
      </c>
      <c r="D95">
        <v>11.4</v>
      </c>
      <c r="E95">
        <v>0.64</v>
      </c>
      <c r="F95">
        <v>0.7</v>
      </c>
      <c r="G95">
        <v>0.44</v>
      </c>
      <c r="H95">
        <v>0.32</v>
      </c>
      <c r="I95">
        <v>7.63</v>
      </c>
      <c r="J95">
        <f t="shared" si="7"/>
        <v>81.039999999999992</v>
      </c>
    </row>
    <row r="96" spans="1:10" x14ac:dyDescent="0.2">
      <c r="A96" t="s">
        <v>22</v>
      </c>
      <c r="B96">
        <f t="shared" ref="B96:J96" si="8">SUM(B81:B95)</f>
        <v>57.150000000000013</v>
      </c>
      <c r="C96">
        <f t="shared" si="8"/>
        <v>841.50000000000023</v>
      </c>
      <c r="D96">
        <f t="shared" si="8"/>
        <v>171.00000000000006</v>
      </c>
      <c r="E96">
        <f t="shared" si="8"/>
        <v>9.6</v>
      </c>
      <c r="F96">
        <f t="shared" si="8"/>
        <v>10.499999999999998</v>
      </c>
      <c r="G96">
        <f t="shared" si="8"/>
        <v>6.4800000000000022</v>
      </c>
      <c r="H96">
        <f t="shared" si="8"/>
        <v>4.92</v>
      </c>
      <c r="I96">
        <f t="shared" si="8"/>
        <v>114.88999999999999</v>
      </c>
      <c r="J96">
        <f t="shared" si="8"/>
        <v>1216.0400000000002</v>
      </c>
    </row>
    <row r="98" spans="1:10" x14ac:dyDescent="0.2">
      <c r="A98" t="s">
        <v>117</v>
      </c>
      <c r="B98">
        <f>B96/$J$96</f>
        <v>4.699680931548305E-2</v>
      </c>
      <c r="C98">
        <f t="shared" ref="C98:J98" si="9">C96/$J$96</f>
        <v>0.69200026314923857</v>
      </c>
      <c r="D98">
        <f t="shared" si="9"/>
        <v>0.1406203743297918</v>
      </c>
      <c r="E98">
        <f t="shared" si="9"/>
        <v>7.8944771553567297E-3</v>
      </c>
      <c r="F98">
        <f t="shared" si="9"/>
        <v>8.6345843886714221E-3</v>
      </c>
      <c r="G98">
        <f t="shared" si="9"/>
        <v>5.3287720798657952E-3</v>
      </c>
      <c r="H98">
        <f t="shared" si="9"/>
        <v>4.0459195421203246E-3</v>
      </c>
      <c r="I98">
        <f t="shared" si="9"/>
        <v>9.4478800039472358E-2</v>
      </c>
      <c r="J98">
        <f t="shared" si="9"/>
        <v>1</v>
      </c>
    </row>
    <row r="100" spans="1:10" x14ac:dyDescent="0.2">
      <c r="A100" t="s">
        <v>86</v>
      </c>
    </row>
    <row r="101" spans="1:10" x14ac:dyDescent="0.2">
      <c r="A101" t="str">
        <f>A31</f>
        <v>Stated at 100% of Market</v>
      </c>
    </row>
    <row r="103" spans="1:10" x14ac:dyDescent="0.2">
      <c r="A103" t="s">
        <v>456</v>
      </c>
      <c r="B103">
        <f t="shared" ref="B103:I115" si="10">B33</f>
        <v>174</v>
      </c>
      <c r="C103">
        <f t="shared" si="10"/>
        <v>177.32</v>
      </c>
      <c r="D103">
        <f t="shared" si="10"/>
        <v>201.98</v>
      </c>
      <c r="E103">
        <f t="shared" si="10"/>
        <v>1594.93</v>
      </c>
      <c r="F103">
        <f t="shared" si="10"/>
        <v>238</v>
      </c>
      <c r="G103">
        <f t="shared" si="10"/>
        <v>686.51</v>
      </c>
      <c r="H103">
        <f t="shared" si="10"/>
        <v>466.88</v>
      </c>
      <c r="I103">
        <f t="shared" ref="I103:I108" si="11">I33</f>
        <v>123.29</v>
      </c>
    </row>
    <row r="104" spans="1:10" x14ac:dyDescent="0.2">
      <c r="A104" t="s">
        <v>72</v>
      </c>
      <c r="B104">
        <f t="shared" si="10"/>
        <v>175</v>
      </c>
      <c r="C104">
        <f t="shared" si="10"/>
        <v>152.22999999999999</v>
      </c>
      <c r="D104">
        <f t="shared" si="10"/>
        <v>197.69</v>
      </c>
      <c r="E104">
        <f t="shared" si="10"/>
        <v>1586.55</v>
      </c>
      <c r="F104">
        <f t="shared" si="10"/>
        <v>232.14</v>
      </c>
      <c r="G104">
        <f t="shared" si="10"/>
        <v>690</v>
      </c>
      <c r="H104">
        <f t="shared" si="10"/>
        <v>466.19</v>
      </c>
      <c r="I104">
        <f t="shared" si="11"/>
        <v>123.29</v>
      </c>
    </row>
    <row r="105" spans="1:10" x14ac:dyDescent="0.2">
      <c r="A105" t="s">
        <v>34</v>
      </c>
      <c r="B105">
        <f t="shared" si="10"/>
        <v>105</v>
      </c>
      <c r="C105">
        <f t="shared" si="10"/>
        <v>96.19</v>
      </c>
      <c r="D105">
        <f t="shared" si="10"/>
        <v>144.04</v>
      </c>
      <c r="E105">
        <f t="shared" si="10"/>
        <v>1431.47</v>
      </c>
      <c r="F105">
        <f t="shared" si="10"/>
        <v>232.26</v>
      </c>
      <c r="G105">
        <f t="shared" si="10"/>
        <v>560</v>
      </c>
      <c r="H105">
        <f t="shared" si="10"/>
        <v>460</v>
      </c>
      <c r="I105">
        <f t="shared" si="11"/>
        <v>123.29</v>
      </c>
    </row>
    <row r="106" spans="1:10" x14ac:dyDescent="0.2">
      <c r="A106" t="s">
        <v>35</v>
      </c>
      <c r="B106">
        <f t="shared" si="10"/>
        <v>105.91</v>
      </c>
      <c r="C106">
        <f t="shared" si="10"/>
        <v>105.91</v>
      </c>
      <c r="D106">
        <f t="shared" si="10"/>
        <v>153.26</v>
      </c>
      <c r="E106">
        <f t="shared" si="10"/>
        <v>1469.02</v>
      </c>
      <c r="F106">
        <f t="shared" si="10"/>
        <v>252.87</v>
      </c>
      <c r="G106">
        <f t="shared" si="10"/>
        <v>535.27</v>
      </c>
      <c r="H106">
        <f t="shared" si="10"/>
        <v>457.84</v>
      </c>
      <c r="I106">
        <f t="shared" si="11"/>
        <v>123.29</v>
      </c>
    </row>
    <row r="107" spans="1:10" x14ac:dyDescent="0.2">
      <c r="A107" t="s">
        <v>457</v>
      </c>
      <c r="B107">
        <f t="shared" si="10"/>
        <v>110.38</v>
      </c>
      <c r="C107">
        <f t="shared" si="10"/>
        <v>110.38</v>
      </c>
      <c r="D107">
        <f t="shared" si="10"/>
        <v>159.49</v>
      </c>
      <c r="E107">
        <f t="shared" si="10"/>
        <v>1617.4</v>
      </c>
      <c r="F107">
        <f t="shared" si="10"/>
        <v>253.35</v>
      </c>
      <c r="G107">
        <f t="shared" si="10"/>
        <v>564.19000000000005</v>
      </c>
      <c r="H107">
        <f t="shared" si="10"/>
        <v>457.03</v>
      </c>
      <c r="I107">
        <f t="shared" si="11"/>
        <v>123.29</v>
      </c>
    </row>
    <row r="108" spans="1:10" x14ac:dyDescent="0.2">
      <c r="A108" t="s">
        <v>37</v>
      </c>
      <c r="B108">
        <f t="shared" si="10"/>
        <v>120.29</v>
      </c>
      <c r="C108">
        <f t="shared" si="10"/>
        <v>120.29</v>
      </c>
      <c r="D108">
        <f t="shared" si="10"/>
        <v>167.59</v>
      </c>
      <c r="E108">
        <f t="shared" si="10"/>
        <v>1540.34</v>
      </c>
      <c r="F108">
        <f t="shared" si="10"/>
        <v>223.21</v>
      </c>
      <c r="G108">
        <f t="shared" si="10"/>
        <v>570.85</v>
      </c>
      <c r="H108">
        <f t="shared" si="10"/>
        <v>500</v>
      </c>
      <c r="I108">
        <f t="shared" si="11"/>
        <v>123.29</v>
      </c>
    </row>
    <row r="109" spans="1:10" x14ac:dyDescent="0.2">
      <c r="A109" t="s">
        <v>329</v>
      </c>
      <c r="B109">
        <f t="shared" si="10"/>
        <v>126.93</v>
      </c>
      <c r="C109">
        <f t="shared" si="10"/>
        <v>126.93</v>
      </c>
      <c r="D109">
        <f t="shared" si="10"/>
        <v>162.71</v>
      </c>
      <c r="E109">
        <f t="shared" si="10"/>
        <v>1527.38</v>
      </c>
      <c r="F109">
        <f t="shared" si="10"/>
        <v>231.48</v>
      </c>
      <c r="G109">
        <f t="shared" si="10"/>
        <v>612.70000000000005</v>
      </c>
      <c r="H109">
        <f t="shared" si="10"/>
        <v>516.26</v>
      </c>
      <c r="I109">
        <f t="shared" si="10"/>
        <v>130.35</v>
      </c>
    </row>
    <row r="110" spans="1:10" x14ac:dyDescent="0.2">
      <c r="A110" t="s">
        <v>95</v>
      </c>
      <c r="B110">
        <f t="shared" si="10"/>
        <v>125.6</v>
      </c>
      <c r="C110">
        <f t="shared" si="10"/>
        <v>125.6</v>
      </c>
      <c r="D110">
        <f t="shared" si="10"/>
        <v>155.63999999999999</v>
      </c>
      <c r="E110">
        <f t="shared" si="10"/>
        <v>1490.77</v>
      </c>
      <c r="F110">
        <f t="shared" si="10"/>
        <v>230.3</v>
      </c>
      <c r="G110">
        <f t="shared" si="10"/>
        <v>566.53</v>
      </c>
      <c r="H110">
        <f t="shared" si="10"/>
        <v>553.66999999999996</v>
      </c>
      <c r="I110">
        <f t="shared" si="10"/>
        <v>130.35</v>
      </c>
    </row>
    <row r="111" spans="1:10" x14ac:dyDescent="0.2">
      <c r="A111" t="s">
        <v>40</v>
      </c>
      <c r="B111">
        <f t="shared" si="10"/>
        <v>120.5</v>
      </c>
      <c r="C111">
        <f t="shared" si="10"/>
        <v>120.5</v>
      </c>
      <c r="D111">
        <f t="shared" si="10"/>
        <v>153.28</v>
      </c>
      <c r="E111">
        <f t="shared" si="10"/>
        <v>1420.15</v>
      </c>
      <c r="F111">
        <f t="shared" si="10"/>
        <v>239.63</v>
      </c>
      <c r="G111">
        <f t="shared" si="10"/>
        <v>539.25</v>
      </c>
      <c r="H111">
        <f t="shared" si="10"/>
        <v>544.5</v>
      </c>
      <c r="I111">
        <f t="shared" si="10"/>
        <v>130.35</v>
      </c>
    </row>
    <row r="112" spans="1:10" x14ac:dyDescent="0.2">
      <c r="A112" t="s">
        <v>41</v>
      </c>
      <c r="B112">
        <f t="shared" si="10"/>
        <v>118.7</v>
      </c>
      <c r="C112">
        <f t="shared" si="10"/>
        <v>118.7</v>
      </c>
      <c r="D112">
        <f t="shared" si="10"/>
        <v>151.9</v>
      </c>
      <c r="E112">
        <f t="shared" si="10"/>
        <v>1400</v>
      </c>
      <c r="F112">
        <f t="shared" si="10"/>
        <v>112.1</v>
      </c>
      <c r="G112">
        <f t="shared" si="10"/>
        <v>431.1</v>
      </c>
      <c r="H112">
        <f t="shared" si="10"/>
        <v>400</v>
      </c>
      <c r="I112">
        <f t="shared" si="10"/>
        <v>130.35</v>
      </c>
    </row>
    <row r="113" spans="1:10" x14ac:dyDescent="0.2">
      <c r="A113" t="s">
        <v>42</v>
      </c>
      <c r="B113">
        <f t="shared" si="10"/>
        <v>105.63</v>
      </c>
      <c r="C113">
        <f t="shared" si="10"/>
        <v>105.63</v>
      </c>
      <c r="D113">
        <f t="shared" si="10"/>
        <v>145.5</v>
      </c>
      <c r="E113">
        <f t="shared" si="10"/>
        <v>1426.66</v>
      </c>
      <c r="F113">
        <f t="shared" si="10"/>
        <v>126.35</v>
      </c>
      <c r="G113">
        <f t="shared" si="10"/>
        <v>432.51</v>
      </c>
      <c r="H113">
        <f t="shared" si="10"/>
        <v>352.69</v>
      </c>
      <c r="I113">
        <f t="shared" si="10"/>
        <v>130.35</v>
      </c>
    </row>
    <row r="114" spans="1:10" x14ac:dyDescent="0.2">
      <c r="A114" t="s">
        <v>43</v>
      </c>
      <c r="B114">
        <f t="shared" si="10"/>
        <v>74.349999999999994</v>
      </c>
      <c r="C114">
        <f t="shared" si="10"/>
        <v>74.349999999999994</v>
      </c>
      <c r="D114">
        <f t="shared" si="10"/>
        <v>117.17</v>
      </c>
      <c r="E114">
        <f t="shared" si="10"/>
        <v>1320.64</v>
      </c>
      <c r="F114">
        <f t="shared" si="10"/>
        <v>240</v>
      </c>
      <c r="G114">
        <f t="shared" si="10"/>
        <v>506.75</v>
      </c>
      <c r="H114">
        <f t="shared" si="10"/>
        <v>476.54</v>
      </c>
      <c r="I114">
        <f t="shared" si="10"/>
        <v>130.35</v>
      </c>
    </row>
    <row r="115" spans="1:10" x14ac:dyDescent="0.2">
      <c r="A115" t="s">
        <v>44</v>
      </c>
      <c r="B115">
        <f t="shared" si="10"/>
        <v>70.650000000000006</v>
      </c>
      <c r="C115">
        <f t="shared" si="10"/>
        <v>70.650000000000006</v>
      </c>
      <c r="D115">
        <f t="shared" si="10"/>
        <v>114.36</v>
      </c>
      <c r="E115">
        <f t="shared" si="10"/>
        <v>1333.15</v>
      </c>
      <c r="F115">
        <f t="shared" si="10"/>
        <v>209.31</v>
      </c>
      <c r="G115">
        <f t="shared" si="10"/>
        <v>492.11</v>
      </c>
      <c r="H115">
        <f t="shared" si="10"/>
        <v>492.96</v>
      </c>
      <c r="I115">
        <f t="shared" si="10"/>
        <v>130.35</v>
      </c>
    </row>
    <row r="116" spans="1:10" x14ac:dyDescent="0.2">
      <c r="A116" t="s">
        <v>72</v>
      </c>
      <c r="B116">
        <f t="shared" ref="B116:I117" si="12">B46</f>
        <v>95.12</v>
      </c>
      <c r="C116">
        <f t="shared" si="12"/>
        <v>95.12</v>
      </c>
      <c r="D116">
        <f t="shared" si="12"/>
        <v>134.04</v>
      </c>
      <c r="E116">
        <f t="shared" si="12"/>
        <v>1436.99</v>
      </c>
      <c r="F116">
        <f t="shared" si="12"/>
        <v>216.13</v>
      </c>
      <c r="G116">
        <f t="shared" si="12"/>
        <v>426.97</v>
      </c>
      <c r="H116">
        <f t="shared" si="12"/>
        <v>467.27</v>
      </c>
      <c r="I116">
        <f t="shared" si="12"/>
        <v>130.35</v>
      </c>
    </row>
    <row r="117" spans="1:10" x14ac:dyDescent="0.2">
      <c r="A117" t="s">
        <v>34</v>
      </c>
      <c r="B117">
        <f t="shared" si="12"/>
        <v>118.19</v>
      </c>
      <c r="C117">
        <f t="shared" si="12"/>
        <v>118.19</v>
      </c>
      <c r="D117">
        <f t="shared" si="12"/>
        <v>148.44999999999999</v>
      </c>
      <c r="E117">
        <f t="shared" si="12"/>
        <v>1484.35</v>
      </c>
      <c r="F117">
        <f t="shared" si="12"/>
        <v>199.53</v>
      </c>
      <c r="G117">
        <f t="shared" si="12"/>
        <v>400</v>
      </c>
      <c r="H117">
        <f t="shared" si="12"/>
        <v>403.42</v>
      </c>
      <c r="I117">
        <f t="shared" si="12"/>
        <v>130.35</v>
      </c>
    </row>
    <row r="119" spans="1:10" x14ac:dyDescent="0.2">
      <c r="A119" t="s">
        <v>24</v>
      </c>
      <c r="B119" t="s">
        <v>14</v>
      </c>
      <c r="C119" t="s">
        <v>15</v>
      </c>
      <c r="D119" t="s">
        <v>16</v>
      </c>
      <c r="E119" t="s">
        <v>18</v>
      </c>
      <c r="F119" t="s">
        <v>19</v>
      </c>
      <c r="G119" t="s">
        <v>20</v>
      </c>
      <c r="H119" t="s">
        <v>331</v>
      </c>
      <c r="I119" t="s">
        <v>333</v>
      </c>
      <c r="J119" t="s">
        <v>84</v>
      </c>
    </row>
    <row r="121" spans="1:10" x14ac:dyDescent="0.2">
      <c r="A121" t="s">
        <v>456</v>
      </c>
      <c r="B121">
        <f t="shared" ref="B121:H133" si="13">B81*B103</f>
        <v>662.94</v>
      </c>
      <c r="C121">
        <f t="shared" si="13"/>
        <v>9947.652</v>
      </c>
      <c r="D121">
        <f t="shared" si="13"/>
        <v>2302.5720000000001</v>
      </c>
      <c r="E121">
        <f t="shared" si="13"/>
        <v>1020.7552000000001</v>
      </c>
      <c r="F121">
        <f t="shared" si="13"/>
        <v>166.6</v>
      </c>
      <c r="G121">
        <f t="shared" si="13"/>
        <v>302.06439999999998</v>
      </c>
      <c r="H121">
        <f t="shared" si="13"/>
        <v>149.4016</v>
      </c>
      <c r="I121">
        <f t="shared" ref="I121:I133" si="14">I81*-I103</f>
        <v>-940.70270000000005</v>
      </c>
      <c r="J121">
        <f>SUM(B121:I121)</f>
        <v>13611.282499999999</v>
      </c>
    </row>
    <row r="122" spans="1:10" x14ac:dyDescent="0.2">
      <c r="A122" t="s">
        <v>72</v>
      </c>
      <c r="B122">
        <f t="shared" si="13"/>
        <v>666.75</v>
      </c>
      <c r="C122">
        <f t="shared" si="13"/>
        <v>8540.1029999999992</v>
      </c>
      <c r="D122">
        <f t="shared" si="13"/>
        <v>2253.6660000000002</v>
      </c>
      <c r="E122">
        <f t="shared" si="13"/>
        <v>1015.3919999999999</v>
      </c>
      <c r="F122">
        <f t="shared" si="13"/>
        <v>162.49799999999999</v>
      </c>
      <c r="G122">
        <f t="shared" si="13"/>
        <v>303.60000000000002</v>
      </c>
      <c r="H122">
        <f t="shared" si="13"/>
        <v>149.1808</v>
      </c>
      <c r="I122">
        <f t="shared" si="14"/>
        <v>-898.78410000000008</v>
      </c>
      <c r="J122">
        <f t="shared" ref="J122:J132" si="15">SUM(B122:I122)</f>
        <v>12192.405699999999</v>
      </c>
    </row>
    <row r="123" spans="1:10" x14ac:dyDescent="0.2">
      <c r="A123" t="s">
        <v>34</v>
      </c>
      <c r="B123">
        <f t="shared" si="13"/>
        <v>400.05</v>
      </c>
      <c r="C123">
        <f t="shared" si="13"/>
        <v>5396.259</v>
      </c>
      <c r="D123">
        <f t="shared" si="13"/>
        <v>1642.056</v>
      </c>
      <c r="E123">
        <f t="shared" si="13"/>
        <v>916.14080000000001</v>
      </c>
      <c r="F123">
        <f t="shared" si="13"/>
        <v>162.58199999999999</v>
      </c>
      <c r="G123">
        <f t="shared" si="13"/>
        <v>246.4</v>
      </c>
      <c r="H123">
        <f t="shared" si="13"/>
        <v>147.20000000000002</v>
      </c>
      <c r="I123">
        <f t="shared" si="14"/>
        <v>-940.70270000000005</v>
      </c>
      <c r="J123">
        <f t="shared" si="15"/>
        <v>7969.9850999999999</v>
      </c>
    </row>
    <row r="124" spans="1:10" x14ac:dyDescent="0.2">
      <c r="A124" t="s">
        <v>35</v>
      </c>
      <c r="B124">
        <f t="shared" si="13"/>
        <v>403.51709999999997</v>
      </c>
      <c r="C124">
        <f t="shared" si="13"/>
        <v>5941.5510000000004</v>
      </c>
      <c r="D124">
        <f t="shared" si="13"/>
        <v>1747.164</v>
      </c>
      <c r="E124">
        <f t="shared" si="13"/>
        <v>940.17280000000005</v>
      </c>
      <c r="F124">
        <f t="shared" si="13"/>
        <v>177.00899999999999</v>
      </c>
      <c r="G124">
        <f t="shared" si="13"/>
        <v>235.5188</v>
      </c>
      <c r="H124">
        <f t="shared" si="13"/>
        <v>146.50880000000001</v>
      </c>
      <c r="I124">
        <f t="shared" si="14"/>
        <v>-940.70270000000005</v>
      </c>
      <c r="J124">
        <f t="shared" si="15"/>
        <v>8650.7387999999992</v>
      </c>
    </row>
    <row r="125" spans="1:10" x14ac:dyDescent="0.2">
      <c r="A125" t="s">
        <v>457</v>
      </c>
      <c r="B125">
        <f t="shared" si="13"/>
        <v>420.5478</v>
      </c>
      <c r="C125">
        <f t="shared" si="13"/>
        <v>6192.3180000000002</v>
      </c>
      <c r="D125">
        <f t="shared" si="13"/>
        <v>1818.1860000000001</v>
      </c>
      <c r="E125">
        <f t="shared" si="13"/>
        <v>1035.136</v>
      </c>
      <c r="F125">
        <f t="shared" si="13"/>
        <v>177.345</v>
      </c>
      <c r="G125">
        <f t="shared" si="13"/>
        <v>248.24360000000001</v>
      </c>
      <c r="H125">
        <f t="shared" si="13"/>
        <v>146.24959999999999</v>
      </c>
      <c r="I125">
        <f t="shared" si="14"/>
        <v>-940.70270000000005</v>
      </c>
      <c r="J125">
        <f t="shared" si="15"/>
        <v>9097.3233</v>
      </c>
    </row>
    <row r="126" spans="1:10" x14ac:dyDescent="0.2">
      <c r="A126" t="s">
        <v>37</v>
      </c>
      <c r="B126">
        <f t="shared" si="13"/>
        <v>458.30490000000003</v>
      </c>
      <c r="C126">
        <f t="shared" si="13"/>
        <v>6748.2690000000002</v>
      </c>
      <c r="D126">
        <f t="shared" si="13"/>
        <v>1910.5260000000001</v>
      </c>
      <c r="E126">
        <f t="shared" si="13"/>
        <v>985.81759999999997</v>
      </c>
      <c r="F126">
        <f t="shared" si="13"/>
        <v>156.24699999999999</v>
      </c>
      <c r="G126">
        <f t="shared" si="13"/>
        <v>182.672</v>
      </c>
      <c r="H126">
        <f t="shared" si="13"/>
        <v>220</v>
      </c>
      <c r="I126">
        <f t="shared" si="14"/>
        <v>-898.78410000000008</v>
      </c>
      <c r="J126">
        <f t="shared" si="15"/>
        <v>9763.0524000000005</v>
      </c>
    </row>
    <row r="127" spans="1:10" x14ac:dyDescent="0.2">
      <c r="A127" t="s">
        <v>329</v>
      </c>
      <c r="B127">
        <f t="shared" si="13"/>
        <v>483.60330000000005</v>
      </c>
      <c r="C127">
        <f t="shared" si="13"/>
        <v>7120.7730000000001</v>
      </c>
      <c r="D127">
        <f t="shared" si="13"/>
        <v>1854.8940000000002</v>
      </c>
      <c r="E127">
        <f t="shared" si="13"/>
        <v>977.52320000000009</v>
      </c>
      <c r="F127">
        <f t="shared" si="13"/>
        <v>162.03599999999997</v>
      </c>
      <c r="G127">
        <f t="shared" si="13"/>
        <v>269.58800000000002</v>
      </c>
      <c r="H127">
        <f t="shared" si="13"/>
        <v>165.20320000000001</v>
      </c>
      <c r="I127">
        <f t="shared" si="14"/>
        <v>-994.57049999999992</v>
      </c>
      <c r="J127">
        <f t="shared" si="15"/>
        <v>10039.0502</v>
      </c>
    </row>
    <row r="128" spans="1:10" x14ac:dyDescent="0.2">
      <c r="A128" t="s">
        <v>95</v>
      </c>
      <c r="B128">
        <f t="shared" si="13"/>
        <v>478.536</v>
      </c>
      <c r="C128">
        <f t="shared" si="13"/>
        <v>7046.16</v>
      </c>
      <c r="D128">
        <f t="shared" si="13"/>
        <v>1774.2959999999998</v>
      </c>
      <c r="E128">
        <f t="shared" si="13"/>
        <v>954.09280000000001</v>
      </c>
      <c r="F128">
        <f t="shared" si="13"/>
        <v>161.21</v>
      </c>
      <c r="G128">
        <f t="shared" si="13"/>
        <v>249.2732</v>
      </c>
      <c r="H128">
        <f t="shared" si="13"/>
        <v>177.17439999999999</v>
      </c>
      <c r="I128">
        <f t="shared" si="14"/>
        <v>-950.25149999999996</v>
      </c>
      <c r="J128">
        <f t="shared" si="15"/>
        <v>9890.4908999999989</v>
      </c>
    </row>
    <row r="129" spans="1:10" x14ac:dyDescent="0.2">
      <c r="A129" t="s">
        <v>40</v>
      </c>
      <c r="B129">
        <f t="shared" si="13"/>
        <v>459.10500000000002</v>
      </c>
      <c r="C129">
        <f t="shared" si="13"/>
        <v>6760.05</v>
      </c>
      <c r="D129">
        <f t="shared" si="13"/>
        <v>1747.3920000000001</v>
      </c>
      <c r="E129">
        <f t="shared" si="13"/>
        <v>908.89600000000007</v>
      </c>
      <c r="F129">
        <f t="shared" si="13"/>
        <v>167.74099999999999</v>
      </c>
      <c r="G129">
        <f t="shared" si="13"/>
        <v>237.27</v>
      </c>
      <c r="H129">
        <f t="shared" si="13"/>
        <v>174.24</v>
      </c>
      <c r="I129">
        <f t="shared" si="14"/>
        <v>-1040.193</v>
      </c>
      <c r="J129">
        <f t="shared" si="15"/>
        <v>9414.501000000002</v>
      </c>
    </row>
    <row r="130" spans="1:10" x14ac:dyDescent="0.2">
      <c r="A130" t="s">
        <v>41</v>
      </c>
      <c r="B130">
        <f t="shared" si="13"/>
        <v>452.24700000000001</v>
      </c>
      <c r="C130">
        <f t="shared" si="13"/>
        <v>6659.0700000000006</v>
      </c>
      <c r="D130">
        <f t="shared" si="13"/>
        <v>1731.66</v>
      </c>
      <c r="E130">
        <f t="shared" si="13"/>
        <v>896</v>
      </c>
      <c r="F130">
        <f t="shared" si="13"/>
        <v>78.469999999999985</v>
      </c>
      <c r="G130">
        <f t="shared" si="13"/>
        <v>189.684</v>
      </c>
      <c r="H130">
        <f t="shared" si="13"/>
        <v>128</v>
      </c>
      <c r="I130">
        <f t="shared" si="14"/>
        <v>-950.25149999999996</v>
      </c>
      <c r="J130">
        <f t="shared" si="15"/>
        <v>9184.8794999999991</v>
      </c>
    </row>
    <row r="131" spans="1:10" x14ac:dyDescent="0.2">
      <c r="A131" t="s">
        <v>42</v>
      </c>
      <c r="B131">
        <f t="shared" si="13"/>
        <v>402.45029999999997</v>
      </c>
      <c r="C131">
        <f t="shared" si="13"/>
        <v>5925.8429999999998</v>
      </c>
      <c r="D131">
        <f t="shared" si="13"/>
        <v>1658.7</v>
      </c>
      <c r="E131">
        <f t="shared" si="13"/>
        <v>913.06240000000003</v>
      </c>
      <c r="F131">
        <f t="shared" si="13"/>
        <v>88.444999999999993</v>
      </c>
      <c r="G131">
        <f t="shared" si="13"/>
        <v>190.30439999999999</v>
      </c>
      <c r="H131">
        <f t="shared" si="13"/>
        <v>112.8608</v>
      </c>
      <c r="I131">
        <f t="shared" si="14"/>
        <v>-994.57049999999992</v>
      </c>
      <c r="J131">
        <f t="shared" si="15"/>
        <v>8297.0953999999983</v>
      </c>
    </row>
    <row r="132" spans="1:10" x14ac:dyDescent="0.2">
      <c r="A132" t="s">
        <v>43</v>
      </c>
      <c r="B132">
        <f t="shared" si="13"/>
        <v>283.27349999999996</v>
      </c>
      <c r="C132">
        <f t="shared" si="13"/>
        <v>4171.0349999999999</v>
      </c>
      <c r="D132">
        <f t="shared" si="13"/>
        <v>1335.7380000000001</v>
      </c>
      <c r="E132">
        <f t="shared" si="13"/>
        <v>845.20960000000014</v>
      </c>
      <c r="F132">
        <f t="shared" si="13"/>
        <v>168</v>
      </c>
      <c r="G132">
        <f t="shared" si="13"/>
        <v>222.97</v>
      </c>
      <c r="H132">
        <f t="shared" si="13"/>
        <v>152.49280000000002</v>
      </c>
      <c r="I132">
        <f t="shared" si="14"/>
        <v>-1041.4965</v>
      </c>
      <c r="J132">
        <f t="shared" si="15"/>
        <v>6137.2224000000006</v>
      </c>
    </row>
    <row r="133" spans="1:10" x14ac:dyDescent="0.2">
      <c r="A133" t="s">
        <v>44</v>
      </c>
      <c r="B133">
        <f t="shared" si="13"/>
        <v>269.17650000000003</v>
      </c>
      <c r="C133">
        <f t="shared" si="13"/>
        <v>3963.4650000000006</v>
      </c>
      <c r="D133">
        <f t="shared" si="13"/>
        <v>1303.704</v>
      </c>
      <c r="E133">
        <f t="shared" si="13"/>
        <v>853.21600000000012</v>
      </c>
      <c r="F133">
        <f t="shared" si="13"/>
        <v>146.517</v>
      </c>
      <c r="G133">
        <f t="shared" si="13"/>
        <v>216.5284</v>
      </c>
      <c r="H133">
        <f t="shared" si="13"/>
        <v>157.74719999999999</v>
      </c>
      <c r="I133">
        <f t="shared" si="14"/>
        <v>-1089.7259999999999</v>
      </c>
      <c r="J133">
        <f>SUM(B133:I133)</f>
        <v>5820.6281000000008</v>
      </c>
    </row>
    <row r="134" spans="1:10" x14ac:dyDescent="0.2">
      <c r="A134" t="s">
        <v>72</v>
      </c>
      <c r="B134">
        <f t="shared" ref="B134:H135" si="16">B94*B116</f>
        <v>362.40720000000005</v>
      </c>
      <c r="C134">
        <f t="shared" si="16"/>
        <v>5336.232</v>
      </c>
      <c r="D134">
        <f t="shared" si="16"/>
        <v>1528.056</v>
      </c>
      <c r="E134">
        <f t="shared" si="16"/>
        <v>919.67360000000008</v>
      </c>
      <c r="F134">
        <f t="shared" si="16"/>
        <v>151.291</v>
      </c>
      <c r="G134">
        <f t="shared" si="16"/>
        <v>187.86680000000001</v>
      </c>
      <c r="H134">
        <f t="shared" si="16"/>
        <v>149.5264</v>
      </c>
      <c r="I134">
        <f>I94*-I116</f>
        <v>-1041.4965</v>
      </c>
      <c r="J134">
        <f>SUM(B134:I134)</f>
        <v>7593.5564999999997</v>
      </c>
    </row>
    <row r="135" spans="1:10" x14ac:dyDescent="0.2">
      <c r="A135" t="s">
        <v>34</v>
      </c>
      <c r="B135">
        <f t="shared" si="16"/>
        <v>450.3039</v>
      </c>
      <c r="C135">
        <f t="shared" si="16"/>
        <v>6630.4589999999998</v>
      </c>
      <c r="D135">
        <f t="shared" si="16"/>
        <v>1692.33</v>
      </c>
      <c r="E135">
        <f t="shared" si="16"/>
        <v>949.98399999999992</v>
      </c>
      <c r="F135">
        <f t="shared" si="16"/>
        <v>139.67099999999999</v>
      </c>
      <c r="G135">
        <f t="shared" si="16"/>
        <v>176</v>
      </c>
      <c r="H135">
        <f t="shared" si="16"/>
        <v>129.09440000000001</v>
      </c>
      <c r="I135">
        <f>I95*-I117</f>
        <v>-994.57049999999992</v>
      </c>
      <c r="J135">
        <f>SUM(B135:I135)</f>
        <v>9173.2718000000004</v>
      </c>
    </row>
    <row r="136" spans="1:10" x14ac:dyDescent="0.2">
      <c r="A136" t="s">
        <v>88</v>
      </c>
      <c r="B136">
        <f t="shared" ref="B136:J136" si="17">SUM(B121:B135)</f>
        <v>6653.2125000000005</v>
      </c>
      <c r="C136">
        <f t="shared" si="17"/>
        <v>96379.239000000001</v>
      </c>
      <c r="D136">
        <f t="shared" si="17"/>
        <v>26300.940000000002</v>
      </c>
      <c r="E136">
        <f t="shared" si="17"/>
        <v>14131.072000000002</v>
      </c>
      <c r="F136">
        <f t="shared" si="17"/>
        <v>2265.6619999999998</v>
      </c>
      <c r="G136">
        <f t="shared" si="17"/>
        <v>3457.9836000000005</v>
      </c>
      <c r="H136">
        <f t="shared" si="17"/>
        <v>2304.88</v>
      </c>
      <c r="I136">
        <f t="shared" si="17"/>
        <v>-14657.505499999999</v>
      </c>
      <c r="J136">
        <f t="shared" si="17"/>
        <v>136835.48359999998</v>
      </c>
    </row>
    <row r="138" spans="1:10" x14ac:dyDescent="0.2">
      <c r="A138" t="s">
        <v>467</v>
      </c>
    </row>
    <row r="139" spans="1:10" x14ac:dyDescent="0.2">
      <c r="A139" t="s">
        <v>468</v>
      </c>
      <c r="B139" t="s">
        <v>14</v>
      </c>
      <c r="C139" t="s">
        <v>15</v>
      </c>
      <c r="D139" t="s">
        <v>16</v>
      </c>
      <c r="E139" t="s">
        <v>18</v>
      </c>
      <c r="F139" t="s">
        <v>19</v>
      </c>
      <c r="G139" t="s">
        <v>20</v>
      </c>
      <c r="H139" t="s">
        <v>331</v>
      </c>
      <c r="I139" t="s">
        <v>333</v>
      </c>
      <c r="J139" t="s">
        <v>84</v>
      </c>
    </row>
    <row r="140" spans="1:10" x14ac:dyDescent="0.2">
      <c r="A140" t="s">
        <v>456</v>
      </c>
      <c r="B140">
        <f t="shared" ref="B140:I152" si="18">B52+B121</f>
        <v>13629.42</v>
      </c>
      <c r="C140">
        <f t="shared" si="18"/>
        <v>146003.5148</v>
      </c>
      <c r="D140">
        <f t="shared" si="18"/>
        <v>17436.933400000002</v>
      </c>
      <c r="E140">
        <f t="shared" si="18"/>
        <v>26220.649200000003</v>
      </c>
      <c r="F140">
        <f t="shared" si="18"/>
        <v>4505.34</v>
      </c>
      <c r="G140">
        <f t="shared" si="18"/>
        <v>8643.1608999999989</v>
      </c>
      <c r="H140">
        <f t="shared" si="18"/>
        <v>10075.270399999999</v>
      </c>
      <c r="I140">
        <f t="shared" si="18"/>
        <v>-4435.9742000000006</v>
      </c>
      <c r="J140">
        <f>SUM(B140:I140)</f>
        <v>222078.31450000004</v>
      </c>
    </row>
    <row r="141" spans="1:10" x14ac:dyDescent="0.2">
      <c r="A141" t="s">
        <v>72</v>
      </c>
      <c r="B141">
        <f t="shared" si="18"/>
        <v>14257.25</v>
      </c>
      <c r="C141">
        <f t="shared" si="18"/>
        <v>130269.3002</v>
      </c>
      <c r="D141">
        <f t="shared" si="18"/>
        <v>17691.2781</v>
      </c>
      <c r="E141">
        <f t="shared" si="18"/>
        <v>27130.005000000001</v>
      </c>
      <c r="F141">
        <f t="shared" si="18"/>
        <v>4570.8365999999987</v>
      </c>
      <c r="G141">
        <f t="shared" si="18"/>
        <v>9039</v>
      </c>
      <c r="H141">
        <f t="shared" si="18"/>
        <v>10479.9512</v>
      </c>
      <c r="I141">
        <f t="shared" si="18"/>
        <v>-4542.0036</v>
      </c>
      <c r="J141">
        <f t="shared" ref="J141:J151" si="19">SUM(B141:I141)</f>
        <v>208895.61750000002</v>
      </c>
    </row>
    <row r="142" spans="1:10" x14ac:dyDescent="0.2">
      <c r="A142" t="s">
        <v>34</v>
      </c>
      <c r="B142">
        <f t="shared" si="18"/>
        <v>8821.0499999999993</v>
      </c>
      <c r="C142">
        <f t="shared" si="18"/>
        <v>84828.037200000006</v>
      </c>
      <c r="D142">
        <f t="shared" si="18"/>
        <v>13257.4416</v>
      </c>
      <c r="E142">
        <f t="shared" si="18"/>
        <v>25251.130800000003</v>
      </c>
      <c r="F142">
        <f t="shared" si="18"/>
        <v>4719.5232000000005</v>
      </c>
      <c r="G142">
        <f t="shared" si="18"/>
        <v>7571.2</v>
      </c>
      <c r="H142">
        <f t="shared" si="18"/>
        <v>10672</v>
      </c>
      <c r="I142">
        <f t="shared" si="18"/>
        <v>-4702.2806</v>
      </c>
      <c r="J142">
        <f t="shared" si="19"/>
        <v>150418.10220000002</v>
      </c>
    </row>
    <row r="143" spans="1:10" x14ac:dyDescent="0.2">
      <c r="A143" t="s">
        <v>35</v>
      </c>
      <c r="B143">
        <f t="shared" si="18"/>
        <v>9466.2357999999986</v>
      </c>
      <c r="C143">
        <f t="shared" si="18"/>
        <v>99248.260999999999</v>
      </c>
      <c r="D143">
        <f t="shared" si="18"/>
        <v>14932.121800000001</v>
      </c>
      <c r="E143">
        <f t="shared" si="18"/>
        <v>27588.195599999999</v>
      </c>
      <c r="F143">
        <f t="shared" si="18"/>
        <v>5469.5780999999997</v>
      </c>
      <c r="G143">
        <f t="shared" si="18"/>
        <v>7702.5352999999996</v>
      </c>
      <c r="H143">
        <f t="shared" si="18"/>
        <v>11322.383199999998</v>
      </c>
      <c r="I143">
        <f t="shared" si="18"/>
        <v>-4953.7921999999999</v>
      </c>
      <c r="J143">
        <f t="shared" si="19"/>
        <v>170775.51860000001</v>
      </c>
    </row>
    <row r="144" spans="1:10" x14ac:dyDescent="0.2">
      <c r="A144" t="s">
        <v>457</v>
      </c>
      <c r="B144">
        <f t="shared" si="18"/>
        <v>9021.3574000000008</v>
      </c>
      <c r="C144">
        <f t="shared" si="18"/>
        <v>94749.088199999998</v>
      </c>
      <c r="D144">
        <f t="shared" si="18"/>
        <v>14312.632600000001</v>
      </c>
      <c r="E144">
        <f t="shared" si="18"/>
        <v>27754.583999999999</v>
      </c>
      <c r="F144">
        <f t="shared" si="18"/>
        <v>5006.1959999999999</v>
      </c>
      <c r="G144">
        <f t="shared" si="18"/>
        <v>7413.4566000000004</v>
      </c>
      <c r="H144">
        <f t="shared" si="18"/>
        <v>10306.026499999998</v>
      </c>
      <c r="I144">
        <f t="shared" si="18"/>
        <v>-4595.0183000000006</v>
      </c>
      <c r="J144">
        <f t="shared" si="19"/>
        <v>163968.323</v>
      </c>
    </row>
    <row r="145" spans="1:10" x14ac:dyDescent="0.2">
      <c r="A145" t="s">
        <v>37</v>
      </c>
      <c r="B145">
        <f t="shared" si="18"/>
        <v>10089.9252</v>
      </c>
      <c r="C145">
        <f t="shared" si="18"/>
        <v>105916.54790000001</v>
      </c>
      <c r="D145">
        <f t="shared" si="18"/>
        <v>15401.521000000001</v>
      </c>
      <c r="E145">
        <f t="shared" si="18"/>
        <v>27125.387399999996</v>
      </c>
      <c r="F145">
        <f t="shared" si="18"/>
        <v>4526.6988000000001</v>
      </c>
      <c r="G145">
        <f t="shared" si="18"/>
        <v>7632.2645000000002</v>
      </c>
      <c r="H145">
        <f t="shared" si="18"/>
        <v>11645</v>
      </c>
      <c r="I145">
        <f t="shared" si="18"/>
        <v>-4654.1975000000002</v>
      </c>
      <c r="J145">
        <f t="shared" si="19"/>
        <v>177683.14730000001</v>
      </c>
    </row>
    <row r="146" spans="1:10" x14ac:dyDescent="0.2">
      <c r="A146" t="s">
        <v>329</v>
      </c>
      <c r="B146">
        <f t="shared" si="18"/>
        <v>9413.1288000000004</v>
      </c>
      <c r="C146">
        <f t="shared" si="18"/>
        <v>99062.518500000006</v>
      </c>
      <c r="D146">
        <f t="shared" si="18"/>
        <v>13363.372300000001</v>
      </c>
      <c r="E146">
        <f t="shared" si="18"/>
        <v>23750.759000000002</v>
      </c>
      <c r="F146">
        <f t="shared" si="18"/>
        <v>4145.8068000000003</v>
      </c>
      <c r="G146">
        <f t="shared" si="18"/>
        <v>7297.2570000000005</v>
      </c>
      <c r="H146">
        <f t="shared" si="18"/>
        <v>10526.5414</v>
      </c>
      <c r="I146">
        <f t="shared" si="18"/>
        <v>-4482.7365</v>
      </c>
      <c r="J146">
        <f t="shared" si="19"/>
        <v>163076.64730000001</v>
      </c>
    </row>
    <row r="147" spans="1:10" x14ac:dyDescent="0.2">
      <c r="A147" t="s">
        <v>95</v>
      </c>
      <c r="B147">
        <f t="shared" si="18"/>
        <v>9891</v>
      </c>
      <c r="C147">
        <f t="shared" si="18"/>
        <v>103956.60800000001</v>
      </c>
      <c r="D147">
        <f t="shared" si="18"/>
        <v>13501.769999999999</v>
      </c>
      <c r="E147">
        <f t="shared" si="18"/>
        <v>24627.520399999998</v>
      </c>
      <c r="F147">
        <f t="shared" si="18"/>
        <v>4382.6089999999995</v>
      </c>
      <c r="G147">
        <f t="shared" si="18"/>
        <v>7172.2698</v>
      </c>
      <c r="H147">
        <f t="shared" si="18"/>
        <v>12014.638999999999</v>
      </c>
      <c r="I147">
        <f t="shared" si="18"/>
        <v>-4666.53</v>
      </c>
      <c r="J147">
        <f t="shared" si="19"/>
        <v>170879.88620000001</v>
      </c>
    </row>
    <row r="148" spans="1:10" x14ac:dyDescent="0.2">
      <c r="A148" t="s">
        <v>40</v>
      </c>
      <c r="B148">
        <f t="shared" si="18"/>
        <v>9796.65</v>
      </c>
      <c r="C148">
        <f t="shared" si="18"/>
        <v>102905.795</v>
      </c>
      <c r="D148">
        <f t="shared" si="18"/>
        <v>13689.436799999999</v>
      </c>
      <c r="E148">
        <f t="shared" si="18"/>
        <v>24241.960500000001</v>
      </c>
      <c r="F148">
        <f t="shared" si="18"/>
        <v>4708.7294999999995</v>
      </c>
      <c r="G148">
        <f t="shared" si="18"/>
        <v>7053.39</v>
      </c>
      <c r="H148">
        <f t="shared" si="18"/>
        <v>12213.135</v>
      </c>
      <c r="I148">
        <f t="shared" si="18"/>
        <v>-4882.9110000000001</v>
      </c>
      <c r="J148">
        <f t="shared" si="19"/>
        <v>169726.18580000001</v>
      </c>
    </row>
    <row r="149" spans="1:10" x14ac:dyDescent="0.2">
      <c r="A149" t="s">
        <v>41</v>
      </c>
      <c r="B149">
        <f t="shared" si="18"/>
        <v>8847.8979999999992</v>
      </c>
      <c r="C149">
        <f t="shared" si="18"/>
        <v>93105.906000000003</v>
      </c>
      <c r="D149">
        <f t="shared" si="18"/>
        <v>12534.788</v>
      </c>
      <c r="E149">
        <f t="shared" si="18"/>
        <v>21882</v>
      </c>
      <c r="F149">
        <f t="shared" si="18"/>
        <v>2017.8</v>
      </c>
      <c r="G149">
        <f t="shared" si="18"/>
        <v>5160.2669999999998</v>
      </c>
      <c r="H149">
        <f t="shared" si="18"/>
        <v>8200</v>
      </c>
      <c r="I149">
        <f t="shared" si="18"/>
        <v>-4457.97</v>
      </c>
      <c r="J149">
        <f t="shared" si="19"/>
        <v>147290.68899999998</v>
      </c>
    </row>
    <row r="150" spans="1:10" x14ac:dyDescent="0.2">
      <c r="A150" t="s">
        <v>42</v>
      </c>
      <c r="B150">
        <f t="shared" si="18"/>
        <v>8494.7646000000004</v>
      </c>
      <c r="C150">
        <f t="shared" si="18"/>
        <v>89246.786999999982</v>
      </c>
      <c r="D150">
        <f t="shared" si="18"/>
        <v>12866.565000000001</v>
      </c>
      <c r="E150">
        <f t="shared" si="18"/>
        <v>24082.020799999998</v>
      </c>
      <c r="F150">
        <f t="shared" si="18"/>
        <v>2456.2439999999997</v>
      </c>
      <c r="G150">
        <f t="shared" si="18"/>
        <v>5592.3543</v>
      </c>
      <c r="H150">
        <f t="shared" si="18"/>
        <v>7822.6642000000002</v>
      </c>
      <c r="I150">
        <f t="shared" si="18"/>
        <v>-4794.2730000000001</v>
      </c>
      <c r="J150">
        <f t="shared" si="19"/>
        <v>145767.1269</v>
      </c>
    </row>
    <row r="151" spans="1:10" x14ac:dyDescent="0.2">
      <c r="A151" t="s">
        <v>43</v>
      </c>
      <c r="B151">
        <f t="shared" si="18"/>
        <v>5817.1440000000002</v>
      </c>
      <c r="C151">
        <f t="shared" si="18"/>
        <v>61149.157500000001</v>
      </c>
      <c r="D151">
        <f t="shared" si="18"/>
        <v>10103.569099999999</v>
      </c>
      <c r="E151">
        <f t="shared" si="18"/>
        <v>21684.908799999997</v>
      </c>
      <c r="F151">
        <f t="shared" si="18"/>
        <v>4536</v>
      </c>
      <c r="G151">
        <f t="shared" si="18"/>
        <v>6374.9150000000009</v>
      </c>
      <c r="H151">
        <f t="shared" si="18"/>
        <v>10274.2024</v>
      </c>
      <c r="I151">
        <f t="shared" si="18"/>
        <v>-4733.0084999999999</v>
      </c>
      <c r="J151">
        <f t="shared" si="19"/>
        <v>115206.88830000001</v>
      </c>
    </row>
    <row r="152" spans="1:10" x14ac:dyDescent="0.2">
      <c r="A152" t="s">
        <v>44</v>
      </c>
      <c r="B152">
        <f t="shared" si="18"/>
        <v>5068.4310000000005</v>
      </c>
      <c r="C152">
        <f t="shared" si="18"/>
        <v>53376.075000000004</v>
      </c>
      <c r="D152">
        <f t="shared" si="18"/>
        <v>9114.4920000000002</v>
      </c>
      <c r="E152">
        <f t="shared" si="18"/>
        <v>20050.576000000001</v>
      </c>
      <c r="F152">
        <f t="shared" si="18"/>
        <v>3623.1560999999997</v>
      </c>
      <c r="G152">
        <f t="shared" si="18"/>
        <v>5669.1072000000004</v>
      </c>
      <c r="H152">
        <f t="shared" si="18"/>
        <v>9711.3119999999981</v>
      </c>
      <c r="I152">
        <f t="shared" si="18"/>
        <v>-4457.9699999999993</v>
      </c>
      <c r="J152">
        <f>SUM(B152:I152)</f>
        <v>102155.17929999999</v>
      </c>
    </row>
    <row r="153" spans="1:10" x14ac:dyDescent="0.2">
      <c r="A153" t="s">
        <v>72</v>
      </c>
      <c r="B153">
        <f t="shared" ref="B153:I153" si="20">B65+B134</f>
        <v>7858.8144000000002</v>
      </c>
      <c r="C153">
        <f t="shared" si="20"/>
        <v>82521.356000000014</v>
      </c>
      <c r="D153">
        <f t="shared" si="20"/>
        <v>12149.3856</v>
      </c>
      <c r="E153">
        <f t="shared" si="20"/>
        <v>24917.406600000002</v>
      </c>
      <c r="F153">
        <f t="shared" si="20"/>
        <v>4316.1161000000002</v>
      </c>
      <c r="G153">
        <f t="shared" si="20"/>
        <v>5674.4313000000002</v>
      </c>
      <c r="H153">
        <f t="shared" si="20"/>
        <v>10658.4287</v>
      </c>
      <c r="I153">
        <f t="shared" si="20"/>
        <v>-4949.3895000000002</v>
      </c>
      <c r="J153">
        <f>SUM(B153:I153)</f>
        <v>143146.54920000001</v>
      </c>
    </row>
    <row r="154" spans="1:10" x14ac:dyDescent="0.2">
      <c r="A154" t="s">
        <v>34</v>
      </c>
      <c r="B154">
        <f t="shared" ref="B154:I154" si="21">B66+B135</f>
        <v>10421.994200000001</v>
      </c>
      <c r="C154">
        <f t="shared" si="21"/>
        <v>109302.11200000001</v>
      </c>
      <c r="D154">
        <f t="shared" si="21"/>
        <v>14285.343499999999</v>
      </c>
      <c r="E154">
        <f t="shared" si="21"/>
        <v>27490.161999999997</v>
      </c>
      <c r="F154">
        <f t="shared" si="21"/>
        <v>4255.9749000000002</v>
      </c>
      <c r="G154">
        <f t="shared" si="21"/>
        <v>5680</v>
      </c>
      <c r="H154">
        <f t="shared" si="21"/>
        <v>9839.4138000000003</v>
      </c>
      <c r="I154">
        <f t="shared" si="21"/>
        <v>-5178.8054999999995</v>
      </c>
      <c r="J154">
        <f>SUM(B154:I154)</f>
        <v>176096.19490000003</v>
      </c>
    </row>
    <row r="155" spans="1:10" x14ac:dyDescent="0.2">
      <c r="A155" t="s">
        <v>22</v>
      </c>
      <c r="B155">
        <f t="shared" ref="B155:J155" si="22">SUM(B140:B154)</f>
        <v>140895.06339999998</v>
      </c>
      <c r="C155">
        <f t="shared" si="22"/>
        <v>1455641.0643</v>
      </c>
      <c r="D155">
        <f t="shared" si="22"/>
        <v>204640.6508</v>
      </c>
      <c r="E155">
        <f t="shared" si="22"/>
        <v>373797.26610000001</v>
      </c>
      <c r="F155">
        <f t="shared" si="22"/>
        <v>63240.609099999994</v>
      </c>
      <c r="G155">
        <f t="shared" si="22"/>
        <v>103675.60890000002</v>
      </c>
      <c r="H155">
        <f t="shared" si="22"/>
        <v>155760.96779999998</v>
      </c>
      <c r="I155">
        <f t="shared" si="22"/>
        <v>-70486.86039999999</v>
      </c>
      <c r="J155">
        <f t="shared" si="22"/>
        <v>2427164.3700000006</v>
      </c>
    </row>
  </sheetData>
  <phoneticPr fontId="6" type="noConversion"/>
  <pageMargins left="0.75" right="0.75" top="1" bottom="1" header="0.5" footer="0.5"/>
  <pageSetup scale="63" orientation="landscape" r:id="rId1"/>
  <headerFooter alignWithMargins="0"/>
  <rowBreaks count="3" manualBreakCount="3">
    <brk id="48" max="16383" man="1"/>
    <brk id="98" max="10" man="1"/>
    <brk id="136" max="1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4"/>
  <sheetViews>
    <sheetView showOutlineSymbols="0" zoomScale="87" workbookViewId="0">
      <selection activeCell="B9" sqref="B9"/>
    </sheetView>
  </sheetViews>
  <sheetFormatPr defaultColWidth="11.44140625" defaultRowHeight="15" x14ac:dyDescent="0.2"/>
  <sheetData>
    <row r="1" spans="2:11" x14ac:dyDescent="0.2">
      <c r="F1" t="s">
        <v>0</v>
      </c>
    </row>
    <row r="2" spans="2:11" x14ac:dyDescent="0.2">
      <c r="F2" t="s">
        <v>1</v>
      </c>
    </row>
    <row r="3" spans="2:11" x14ac:dyDescent="0.2">
      <c r="F3" t="s">
        <v>2</v>
      </c>
    </row>
    <row r="4" spans="2:11" x14ac:dyDescent="0.2">
      <c r="F4" t="s">
        <v>80</v>
      </c>
    </row>
    <row r="6" spans="2:11" x14ac:dyDescent="0.2">
      <c r="C6" t="s">
        <v>81</v>
      </c>
    </row>
    <row r="8" spans="2:11" x14ac:dyDescent="0.2">
      <c r="B8" t="s">
        <v>9</v>
      </c>
      <c r="C8" t="s">
        <v>14</v>
      </c>
      <c r="D8" t="s">
        <v>15</v>
      </c>
      <c r="E8" t="s">
        <v>16</v>
      </c>
      <c r="F8" t="s">
        <v>17</v>
      </c>
      <c r="G8" t="s">
        <v>18</v>
      </c>
      <c r="H8" t="s">
        <v>19</v>
      </c>
      <c r="I8" t="s">
        <v>82</v>
      </c>
      <c r="J8" t="s">
        <v>83</v>
      </c>
      <c r="K8" t="s">
        <v>84</v>
      </c>
    </row>
    <row r="9" spans="2:11" x14ac:dyDescent="0.2">
      <c r="B9" t="s">
        <v>33</v>
      </c>
      <c r="C9">
        <v>229.82</v>
      </c>
      <c r="D9">
        <v>174.41</v>
      </c>
      <c r="E9">
        <v>25.405000000000001</v>
      </c>
      <c r="F9">
        <v>100.91</v>
      </c>
      <c r="G9">
        <v>12.1</v>
      </c>
      <c r="H9">
        <v>23.36</v>
      </c>
      <c r="I9">
        <v>0</v>
      </c>
      <c r="J9">
        <v>0</v>
      </c>
      <c r="K9">
        <f t="shared" ref="K9:K20" si="0">SUM(C9:J9)</f>
        <v>566.005</v>
      </c>
    </row>
    <row r="10" spans="2:11" x14ac:dyDescent="0.2">
      <c r="B10" t="s">
        <v>34</v>
      </c>
      <c r="C10">
        <v>249.89</v>
      </c>
      <c r="D10">
        <v>177.73500000000001</v>
      </c>
      <c r="E10">
        <v>21.6</v>
      </c>
      <c r="F10">
        <v>88.275000000000006</v>
      </c>
      <c r="G10">
        <v>11.95</v>
      </c>
      <c r="H10">
        <v>23.07</v>
      </c>
      <c r="I10">
        <v>0</v>
      </c>
      <c r="J10">
        <v>0</v>
      </c>
      <c r="K10">
        <f t="shared" si="0"/>
        <v>572.5200000000001</v>
      </c>
    </row>
    <row r="11" spans="2:11" x14ac:dyDescent="0.2">
      <c r="B11" t="s">
        <v>35</v>
      </c>
      <c r="C11">
        <v>284.77999999999997</v>
      </c>
      <c r="D11">
        <v>199.03</v>
      </c>
      <c r="E11">
        <v>27.5</v>
      </c>
      <c r="F11">
        <v>87.33</v>
      </c>
      <c r="G11">
        <v>13.13</v>
      </c>
      <c r="H11">
        <v>25.344999999999999</v>
      </c>
      <c r="I11">
        <v>0</v>
      </c>
      <c r="J11">
        <v>0</v>
      </c>
      <c r="K11">
        <f t="shared" si="0"/>
        <v>637.11500000000001</v>
      </c>
    </row>
    <row r="12" spans="2:11" x14ac:dyDescent="0.2">
      <c r="B12" t="s">
        <v>36</v>
      </c>
      <c r="C12">
        <v>213.16</v>
      </c>
      <c r="D12">
        <v>184.75</v>
      </c>
      <c r="E12">
        <v>30.49</v>
      </c>
      <c r="F12">
        <v>120.09</v>
      </c>
      <c r="G12">
        <v>12.29</v>
      </c>
      <c r="H12">
        <v>23.72</v>
      </c>
      <c r="I12">
        <v>0</v>
      </c>
      <c r="J12">
        <v>0</v>
      </c>
      <c r="K12">
        <f t="shared" si="0"/>
        <v>584.5</v>
      </c>
    </row>
    <row r="13" spans="2:11" x14ac:dyDescent="0.2">
      <c r="B13" t="s">
        <v>37</v>
      </c>
      <c r="C13">
        <v>204.55</v>
      </c>
      <c r="D13">
        <v>159.10499999999999</v>
      </c>
      <c r="E13">
        <v>22.035</v>
      </c>
      <c r="F13">
        <v>69.924999999999997</v>
      </c>
      <c r="G13">
        <v>10.154999999999999</v>
      </c>
      <c r="H13">
        <v>19.323</v>
      </c>
      <c r="I13">
        <v>0</v>
      </c>
      <c r="J13">
        <v>0</v>
      </c>
      <c r="K13">
        <f t="shared" si="0"/>
        <v>485.09299999999996</v>
      </c>
    </row>
    <row r="14" spans="2:11" x14ac:dyDescent="0.2">
      <c r="B14" t="s">
        <v>38</v>
      </c>
      <c r="C14">
        <v>221.82</v>
      </c>
      <c r="D14">
        <v>195.5</v>
      </c>
      <c r="E14">
        <v>26.76</v>
      </c>
      <c r="F14">
        <v>48.265000000000001</v>
      </c>
      <c r="G14">
        <v>12.345000000000001</v>
      </c>
      <c r="H14">
        <v>23.81</v>
      </c>
      <c r="I14">
        <v>0</v>
      </c>
      <c r="J14">
        <v>0</v>
      </c>
      <c r="K14">
        <f t="shared" si="0"/>
        <v>528.5</v>
      </c>
    </row>
    <row r="15" spans="2:11" x14ac:dyDescent="0.2">
      <c r="B15" t="s">
        <v>39</v>
      </c>
      <c r="C15">
        <v>236.04</v>
      </c>
      <c r="D15">
        <v>181.76</v>
      </c>
      <c r="E15">
        <v>27.17</v>
      </c>
      <c r="F15">
        <v>88.405000000000001</v>
      </c>
      <c r="G15">
        <v>11.05</v>
      </c>
      <c r="H15">
        <v>21.33</v>
      </c>
      <c r="I15">
        <v>0</v>
      </c>
      <c r="J15">
        <v>0</v>
      </c>
      <c r="K15">
        <f t="shared" si="0"/>
        <v>565.755</v>
      </c>
    </row>
    <row r="16" spans="2:11" x14ac:dyDescent="0.2">
      <c r="B16" t="s">
        <v>40</v>
      </c>
      <c r="C16">
        <v>240.70500000000001</v>
      </c>
      <c r="D16">
        <v>174.80500000000001</v>
      </c>
      <c r="E16">
        <v>26.06</v>
      </c>
      <c r="F16">
        <v>80.900000000000006</v>
      </c>
      <c r="G16">
        <v>10.275</v>
      </c>
      <c r="H16">
        <v>19.809999999999999</v>
      </c>
      <c r="I16">
        <v>0</v>
      </c>
      <c r="J16">
        <v>0</v>
      </c>
      <c r="K16">
        <f t="shared" si="0"/>
        <v>552.55499999999995</v>
      </c>
    </row>
    <row r="17" spans="2:11" x14ac:dyDescent="0.2">
      <c r="B17" t="s">
        <v>41</v>
      </c>
      <c r="C17">
        <v>234.78</v>
      </c>
      <c r="D17">
        <v>170.02500000000001</v>
      </c>
      <c r="E17">
        <v>27.09</v>
      </c>
      <c r="F17">
        <v>82.515000000000001</v>
      </c>
      <c r="G17">
        <v>10.130000000000001</v>
      </c>
      <c r="H17">
        <v>19.55</v>
      </c>
      <c r="I17">
        <v>0</v>
      </c>
      <c r="J17">
        <v>8.4</v>
      </c>
      <c r="K17">
        <f t="shared" si="0"/>
        <v>552.4899999999999</v>
      </c>
    </row>
    <row r="18" spans="2:11" x14ac:dyDescent="0.2">
      <c r="B18" t="s">
        <v>42</v>
      </c>
      <c r="C18">
        <v>210.58</v>
      </c>
      <c r="D18">
        <v>172.19</v>
      </c>
      <c r="E18">
        <v>24.704999999999998</v>
      </c>
      <c r="F18">
        <v>47.674999999999997</v>
      </c>
      <c r="G18">
        <v>9.7100000000000009</v>
      </c>
      <c r="H18">
        <v>18.722999999999999</v>
      </c>
      <c r="I18">
        <v>0</v>
      </c>
      <c r="J18">
        <v>2.86</v>
      </c>
      <c r="K18">
        <f t="shared" si="0"/>
        <v>486.44299999999998</v>
      </c>
    </row>
    <row r="19" spans="2:11" x14ac:dyDescent="0.2">
      <c r="B19" t="s">
        <v>43</v>
      </c>
      <c r="C19">
        <v>213.3</v>
      </c>
      <c r="D19">
        <v>168.29</v>
      </c>
      <c r="E19">
        <v>21.35</v>
      </c>
      <c r="F19">
        <v>43.924999999999997</v>
      </c>
      <c r="G19">
        <v>6.4749999999999996</v>
      </c>
      <c r="H19">
        <v>12.5</v>
      </c>
      <c r="I19">
        <v>0</v>
      </c>
      <c r="J19">
        <v>12.57</v>
      </c>
      <c r="K19">
        <f t="shared" si="0"/>
        <v>478.41000000000008</v>
      </c>
    </row>
    <row r="20" spans="2:11" x14ac:dyDescent="0.2">
      <c r="B20" t="s">
        <v>44</v>
      </c>
      <c r="C20">
        <v>233.02</v>
      </c>
      <c r="D20">
        <v>233.02</v>
      </c>
      <c r="E20">
        <v>21.754999999999999</v>
      </c>
      <c r="F20">
        <v>73.954999999999998</v>
      </c>
      <c r="G20">
        <v>5.81</v>
      </c>
      <c r="H20">
        <v>11.21</v>
      </c>
      <c r="I20">
        <v>0</v>
      </c>
      <c r="J20">
        <v>8.17</v>
      </c>
      <c r="K20">
        <f t="shared" si="0"/>
        <v>586.93999999999994</v>
      </c>
    </row>
    <row r="21" spans="2:11" x14ac:dyDescent="0.2">
      <c r="B21" t="s">
        <v>22</v>
      </c>
      <c r="C21">
        <f t="shared" ref="C21:K21" si="1">SUM(C9:C20)</f>
        <v>2772.4450000000002</v>
      </c>
      <c r="D21">
        <f t="shared" si="1"/>
        <v>2190.6200000000003</v>
      </c>
      <c r="E21">
        <f t="shared" si="1"/>
        <v>301.92</v>
      </c>
      <c r="F21">
        <f t="shared" si="1"/>
        <v>932.17</v>
      </c>
      <c r="G21">
        <f t="shared" si="1"/>
        <v>125.41999999999999</v>
      </c>
      <c r="H21">
        <f t="shared" si="1"/>
        <v>241.75100000000006</v>
      </c>
      <c r="I21">
        <f t="shared" si="1"/>
        <v>0</v>
      </c>
      <c r="J21">
        <f t="shared" si="1"/>
        <v>32</v>
      </c>
      <c r="K21">
        <f t="shared" si="1"/>
        <v>6596.326</v>
      </c>
    </row>
    <row r="23" spans="2:11" x14ac:dyDescent="0.2">
      <c r="B23" t="s">
        <v>85</v>
      </c>
      <c r="C23">
        <v>0.28699999999999998</v>
      </c>
      <c r="D23">
        <v>0.315</v>
      </c>
      <c r="E23">
        <v>6.9599999999999995E-2</v>
      </c>
      <c r="F23">
        <v>0.2487</v>
      </c>
      <c r="G23">
        <v>1.6E-2</v>
      </c>
      <c r="H23">
        <v>3.9699999999999999E-2</v>
      </c>
      <c r="I23">
        <v>1.37E-2</v>
      </c>
      <c r="J23">
        <v>1.03E-2</v>
      </c>
    </row>
    <row r="25" spans="2:11" x14ac:dyDescent="0.2">
      <c r="B25" t="s">
        <v>86</v>
      </c>
    </row>
    <row r="26" spans="2:11" x14ac:dyDescent="0.2">
      <c r="B26" t="s">
        <v>33</v>
      </c>
      <c r="C26">
        <v>22.5</v>
      </c>
      <c r="D26">
        <v>-2</v>
      </c>
      <c r="E26">
        <v>45</v>
      </c>
      <c r="F26" t="s">
        <v>87</v>
      </c>
      <c r="G26">
        <v>500</v>
      </c>
      <c r="H26">
        <v>15</v>
      </c>
      <c r="I26">
        <v>0</v>
      </c>
      <c r="J26">
        <v>0</v>
      </c>
    </row>
    <row r="27" spans="2:11" x14ac:dyDescent="0.2">
      <c r="B27" t="s">
        <v>34</v>
      </c>
      <c r="C27">
        <v>22.5</v>
      </c>
      <c r="D27">
        <v>-2</v>
      </c>
      <c r="E27">
        <v>35.5</v>
      </c>
      <c r="F27" t="s">
        <v>87</v>
      </c>
      <c r="G27">
        <v>500</v>
      </c>
      <c r="H27">
        <v>-20</v>
      </c>
      <c r="I27">
        <v>0</v>
      </c>
      <c r="J27">
        <v>0</v>
      </c>
    </row>
    <row r="28" spans="2:11" x14ac:dyDescent="0.2">
      <c r="B28" t="s">
        <v>35</v>
      </c>
      <c r="C28">
        <v>18</v>
      </c>
      <c r="D28">
        <v>0</v>
      </c>
      <c r="E28">
        <v>35</v>
      </c>
      <c r="F28" t="s">
        <v>87</v>
      </c>
      <c r="G28">
        <v>440</v>
      </c>
      <c r="H28">
        <v>-25</v>
      </c>
      <c r="I28">
        <v>0</v>
      </c>
      <c r="J28">
        <v>0</v>
      </c>
    </row>
    <row r="29" spans="2:11" x14ac:dyDescent="0.2">
      <c r="B29" t="s">
        <v>36</v>
      </c>
      <c r="C29">
        <v>18</v>
      </c>
      <c r="D29">
        <v>0</v>
      </c>
      <c r="E29">
        <v>35</v>
      </c>
      <c r="F29" t="s">
        <v>87</v>
      </c>
      <c r="G29">
        <v>440</v>
      </c>
      <c r="H29">
        <v>-25</v>
      </c>
      <c r="I29">
        <v>0</v>
      </c>
      <c r="J29">
        <v>0</v>
      </c>
    </row>
    <row r="30" spans="2:11" x14ac:dyDescent="0.2">
      <c r="B30" t="s">
        <v>37</v>
      </c>
      <c r="C30">
        <v>18</v>
      </c>
      <c r="D30">
        <v>0</v>
      </c>
      <c r="E30">
        <v>35</v>
      </c>
      <c r="F30" t="s">
        <v>87</v>
      </c>
      <c r="G30">
        <v>440</v>
      </c>
      <c r="H30">
        <v>-25</v>
      </c>
      <c r="I30">
        <v>0</v>
      </c>
      <c r="J30">
        <v>0</v>
      </c>
    </row>
    <row r="31" spans="2:11" x14ac:dyDescent="0.2">
      <c r="B31" t="s">
        <v>38</v>
      </c>
      <c r="C31">
        <v>18</v>
      </c>
      <c r="D31">
        <v>0</v>
      </c>
      <c r="E31">
        <v>35</v>
      </c>
      <c r="F31" t="s">
        <v>87</v>
      </c>
      <c r="G31">
        <v>440</v>
      </c>
      <c r="H31">
        <v>-25</v>
      </c>
      <c r="I31">
        <v>0</v>
      </c>
      <c r="J31">
        <v>0</v>
      </c>
    </row>
    <row r="32" spans="2:11" x14ac:dyDescent="0.2">
      <c r="B32" t="s">
        <v>39</v>
      </c>
      <c r="C32">
        <v>18</v>
      </c>
      <c r="D32">
        <v>0</v>
      </c>
      <c r="E32">
        <v>35</v>
      </c>
      <c r="F32" t="s">
        <v>87</v>
      </c>
      <c r="G32">
        <v>440</v>
      </c>
      <c r="H32">
        <v>-25</v>
      </c>
      <c r="I32">
        <v>0</v>
      </c>
      <c r="J32">
        <v>0</v>
      </c>
    </row>
    <row r="33" spans="2:11" x14ac:dyDescent="0.2">
      <c r="B33" t="s">
        <v>40</v>
      </c>
      <c r="C33">
        <v>18</v>
      </c>
      <c r="D33">
        <v>0</v>
      </c>
      <c r="E33">
        <v>35</v>
      </c>
      <c r="F33" t="s">
        <v>87</v>
      </c>
      <c r="G33">
        <v>440</v>
      </c>
      <c r="H33">
        <v>-25</v>
      </c>
      <c r="I33">
        <v>0</v>
      </c>
      <c r="J33">
        <v>0</v>
      </c>
    </row>
    <row r="34" spans="2:11" x14ac:dyDescent="0.2">
      <c r="B34" t="s">
        <v>41</v>
      </c>
      <c r="C34">
        <v>18</v>
      </c>
      <c r="D34">
        <v>0</v>
      </c>
      <c r="E34">
        <v>35</v>
      </c>
      <c r="F34" t="s">
        <v>87</v>
      </c>
      <c r="G34">
        <v>440</v>
      </c>
      <c r="H34">
        <v>-25</v>
      </c>
      <c r="I34">
        <v>0</v>
      </c>
      <c r="J34">
        <v>0</v>
      </c>
    </row>
    <row r="35" spans="2:11" x14ac:dyDescent="0.2">
      <c r="B35" t="s">
        <v>42</v>
      </c>
      <c r="C35">
        <v>35</v>
      </c>
      <c r="D35">
        <v>0</v>
      </c>
      <c r="E35">
        <v>56</v>
      </c>
      <c r="F35" t="s">
        <v>87</v>
      </c>
      <c r="G35">
        <v>440</v>
      </c>
      <c r="H35">
        <v>-25</v>
      </c>
      <c r="I35">
        <v>0</v>
      </c>
      <c r="J35">
        <v>0</v>
      </c>
    </row>
    <row r="36" spans="2:11" x14ac:dyDescent="0.2">
      <c r="B36" t="s">
        <v>43</v>
      </c>
      <c r="C36">
        <v>35</v>
      </c>
      <c r="D36">
        <v>0</v>
      </c>
      <c r="E36">
        <v>56</v>
      </c>
      <c r="F36" t="s">
        <v>87</v>
      </c>
      <c r="G36">
        <v>440</v>
      </c>
      <c r="H36">
        <v>-25</v>
      </c>
      <c r="I36">
        <v>0</v>
      </c>
      <c r="J36">
        <v>160</v>
      </c>
    </row>
    <row r="37" spans="2:11" x14ac:dyDescent="0.2">
      <c r="B37" t="s">
        <v>44</v>
      </c>
      <c r="C37">
        <v>35</v>
      </c>
      <c r="D37">
        <v>0</v>
      </c>
      <c r="E37">
        <v>56</v>
      </c>
      <c r="F37" t="s">
        <v>87</v>
      </c>
      <c r="G37">
        <v>440</v>
      </c>
      <c r="H37">
        <v>-25</v>
      </c>
      <c r="I37">
        <v>0</v>
      </c>
      <c r="J37">
        <v>160</v>
      </c>
    </row>
    <row r="39" spans="2:11" x14ac:dyDescent="0.2">
      <c r="B39" t="s">
        <v>24</v>
      </c>
    </row>
    <row r="40" spans="2:11" x14ac:dyDescent="0.2">
      <c r="B40" t="s">
        <v>33</v>
      </c>
      <c r="C40">
        <f>C9*C26</f>
        <v>5170.95</v>
      </c>
      <c r="D40">
        <v>-375.88</v>
      </c>
      <c r="E40">
        <v>1232.0999999999999</v>
      </c>
      <c r="F40">
        <v>1848.87</v>
      </c>
      <c r="G40">
        <v>6519.75</v>
      </c>
      <c r="H40">
        <v>377.63</v>
      </c>
      <c r="I40">
        <f t="shared" ref="I40:J50" si="2">I9*I26</f>
        <v>0</v>
      </c>
      <c r="J40">
        <f t="shared" si="2"/>
        <v>0</v>
      </c>
      <c r="K40">
        <f>SUM(C40:J40)</f>
        <v>14773.42</v>
      </c>
    </row>
    <row r="41" spans="2:11" x14ac:dyDescent="0.2">
      <c r="B41" t="s">
        <v>34</v>
      </c>
      <c r="C41">
        <f>C10*C27</f>
        <v>5622.5249999999996</v>
      </c>
      <c r="D41">
        <v>-383.08</v>
      </c>
      <c r="E41">
        <v>826.4</v>
      </c>
      <c r="F41">
        <v>1244.8</v>
      </c>
      <c r="G41">
        <v>6439.25</v>
      </c>
      <c r="H41">
        <v>-497.3</v>
      </c>
      <c r="I41">
        <f t="shared" si="2"/>
        <v>0</v>
      </c>
      <c r="J41">
        <f t="shared" si="2"/>
        <v>0</v>
      </c>
      <c r="K41">
        <f>SUM(C41:J41)</f>
        <v>13252.595000000001</v>
      </c>
    </row>
    <row r="42" spans="2:11" x14ac:dyDescent="0.2">
      <c r="B42" t="s">
        <v>35</v>
      </c>
      <c r="C42">
        <v>5125.8100000000004</v>
      </c>
      <c r="D42">
        <f t="shared" ref="D42:D51" si="3">D11*D28</f>
        <v>0</v>
      </c>
      <c r="E42">
        <v>1039.5</v>
      </c>
      <c r="F42">
        <v>1691.15</v>
      </c>
      <c r="G42">
        <v>6240.3</v>
      </c>
      <c r="H42">
        <v>-684.47</v>
      </c>
      <c r="I42">
        <f t="shared" si="2"/>
        <v>0</v>
      </c>
      <c r="J42">
        <f t="shared" si="2"/>
        <v>0</v>
      </c>
      <c r="K42">
        <f>SUM(C42:J42)</f>
        <v>13412.290000000003</v>
      </c>
    </row>
    <row r="43" spans="2:11" x14ac:dyDescent="0.2">
      <c r="B43" t="s">
        <v>36</v>
      </c>
      <c r="C43">
        <v>3763.07</v>
      </c>
      <c r="D43">
        <f t="shared" si="3"/>
        <v>0</v>
      </c>
      <c r="E43">
        <v>1043.3800000000001</v>
      </c>
      <c r="F43">
        <v>1832.31</v>
      </c>
      <c r="G43">
        <v>5349.52</v>
      </c>
      <c r="H43">
        <v>-666.01</v>
      </c>
      <c r="I43">
        <f t="shared" si="2"/>
        <v>0</v>
      </c>
      <c r="J43">
        <f t="shared" si="2"/>
        <v>0</v>
      </c>
      <c r="K43">
        <f>SUM(C43:J43)</f>
        <v>11322.27</v>
      </c>
    </row>
    <row r="44" spans="2:11" x14ac:dyDescent="0.2">
      <c r="B44" t="s">
        <v>37</v>
      </c>
      <c r="C44">
        <f>C13*C30</f>
        <v>3681.9</v>
      </c>
      <c r="D44">
        <f t="shared" si="3"/>
        <v>0</v>
      </c>
      <c r="E44">
        <f>E13*E30</f>
        <v>771.22500000000002</v>
      </c>
      <c r="F44">
        <v>959.2</v>
      </c>
      <c r="G44">
        <v>4468.6400000000003</v>
      </c>
      <c r="H44">
        <v>-482.97</v>
      </c>
      <c r="I44">
        <f t="shared" si="2"/>
        <v>0</v>
      </c>
      <c r="J44">
        <f t="shared" si="2"/>
        <v>0</v>
      </c>
      <c r="K44">
        <f>SUM(C44:J44)+0.5</f>
        <v>9398.4950000000008</v>
      </c>
    </row>
    <row r="45" spans="2:11" x14ac:dyDescent="0.2">
      <c r="B45" t="s">
        <v>38</v>
      </c>
      <c r="C45">
        <v>3920.22</v>
      </c>
      <c r="D45">
        <f t="shared" si="3"/>
        <v>0</v>
      </c>
      <c r="E45">
        <v>914.17</v>
      </c>
      <c r="F45">
        <v>861.34</v>
      </c>
      <c r="G45">
        <v>5374.67</v>
      </c>
      <c r="H45">
        <v>-594.04999999999995</v>
      </c>
      <c r="I45">
        <f t="shared" si="2"/>
        <v>0</v>
      </c>
      <c r="J45">
        <f t="shared" si="2"/>
        <v>0</v>
      </c>
      <c r="K45">
        <f t="shared" ref="K45:K51" si="4">SUM(C45:J45)</f>
        <v>10476.35</v>
      </c>
    </row>
    <row r="46" spans="2:11" x14ac:dyDescent="0.2">
      <c r="B46" t="s">
        <v>39</v>
      </c>
      <c r="C46">
        <v>4218.84</v>
      </c>
      <c r="D46">
        <f t="shared" si="3"/>
        <v>0</v>
      </c>
      <c r="E46">
        <v>928.15</v>
      </c>
      <c r="F46">
        <v>1747.68</v>
      </c>
      <c r="G46">
        <v>4844.25</v>
      </c>
      <c r="H46">
        <v>-557.36</v>
      </c>
      <c r="I46">
        <f t="shared" si="2"/>
        <v>0</v>
      </c>
      <c r="J46">
        <f t="shared" si="2"/>
        <v>0</v>
      </c>
      <c r="K46">
        <f t="shared" si="4"/>
        <v>11181.56</v>
      </c>
    </row>
    <row r="47" spans="2:11" x14ac:dyDescent="0.2">
      <c r="B47" t="s">
        <v>40</v>
      </c>
      <c r="C47">
        <v>4249.53</v>
      </c>
      <c r="D47">
        <f t="shared" si="3"/>
        <v>0</v>
      </c>
      <c r="E47">
        <v>891.87</v>
      </c>
      <c r="F47">
        <v>1192.21</v>
      </c>
      <c r="G47">
        <v>4524.3999999999996</v>
      </c>
      <c r="H47">
        <v>-519.83000000000004</v>
      </c>
      <c r="I47">
        <f t="shared" si="2"/>
        <v>0</v>
      </c>
      <c r="J47">
        <f t="shared" si="2"/>
        <v>0</v>
      </c>
      <c r="K47">
        <f t="shared" si="4"/>
        <v>10338.179999999998</v>
      </c>
    </row>
    <row r="48" spans="2:11" x14ac:dyDescent="0.2">
      <c r="B48" t="s">
        <v>41</v>
      </c>
      <c r="C48">
        <f>C17*C34</f>
        <v>4226.04</v>
      </c>
      <c r="D48">
        <f t="shared" si="3"/>
        <v>0</v>
      </c>
      <c r="E48">
        <v>962.02</v>
      </c>
      <c r="F48">
        <v>1310.81</v>
      </c>
      <c r="G48">
        <v>4456.76</v>
      </c>
      <c r="H48">
        <v>-502.39</v>
      </c>
      <c r="I48">
        <f t="shared" si="2"/>
        <v>0</v>
      </c>
      <c r="J48">
        <f t="shared" si="2"/>
        <v>0</v>
      </c>
      <c r="K48">
        <f t="shared" si="4"/>
        <v>10453.24</v>
      </c>
    </row>
    <row r="49" spans="2:11" x14ac:dyDescent="0.2">
      <c r="B49" t="s">
        <v>42</v>
      </c>
      <c r="C49">
        <f>C18*C35</f>
        <v>7370.3</v>
      </c>
      <c r="D49">
        <f t="shared" si="3"/>
        <v>0</v>
      </c>
      <c r="E49">
        <f>E18*E35</f>
        <v>1383.48</v>
      </c>
      <c r="F49">
        <v>650.59</v>
      </c>
      <c r="G49">
        <v>4225.0200000000004</v>
      </c>
      <c r="H49">
        <v>-438.62</v>
      </c>
      <c r="I49">
        <f t="shared" si="2"/>
        <v>0</v>
      </c>
      <c r="J49">
        <f t="shared" si="2"/>
        <v>0</v>
      </c>
      <c r="K49">
        <f t="shared" si="4"/>
        <v>13190.77</v>
      </c>
    </row>
    <row r="50" spans="2:11" x14ac:dyDescent="0.2">
      <c r="B50" t="s">
        <v>43</v>
      </c>
      <c r="C50">
        <f>C19*C36</f>
        <v>7465.5</v>
      </c>
      <c r="D50">
        <f t="shared" si="3"/>
        <v>0</v>
      </c>
      <c r="E50">
        <v>1201.76</v>
      </c>
      <c r="F50">
        <v>564.94000000000005</v>
      </c>
      <c r="G50">
        <v>2849.44</v>
      </c>
      <c r="H50">
        <v>-322.47000000000003</v>
      </c>
      <c r="I50">
        <f t="shared" si="2"/>
        <v>0</v>
      </c>
      <c r="J50">
        <f t="shared" si="2"/>
        <v>2011.2</v>
      </c>
      <c r="K50">
        <f t="shared" si="4"/>
        <v>13770.370000000003</v>
      </c>
    </row>
    <row r="51" spans="2:11" x14ac:dyDescent="0.2">
      <c r="B51" t="s">
        <v>44</v>
      </c>
      <c r="C51">
        <f>C20*C37</f>
        <v>8155.7000000000007</v>
      </c>
      <c r="D51">
        <f t="shared" si="3"/>
        <v>0</v>
      </c>
      <c r="E51">
        <f>E20*E37</f>
        <v>1218.28</v>
      </c>
      <c r="F51">
        <v>1455.52</v>
      </c>
      <c r="G51">
        <v>2554.85</v>
      </c>
      <c r="H51">
        <v>-280.13</v>
      </c>
      <c r="I51">
        <f>I20*I37</f>
        <v>0</v>
      </c>
      <c r="J51">
        <v>1500.8</v>
      </c>
      <c r="K51">
        <f t="shared" si="4"/>
        <v>14605.020000000002</v>
      </c>
    </row>
    <row r="52" spans="2:11" x14ac:dyDescent="0.2">
      <c r="B52" t="s">
        <v>88</v>
      </c>
      <c r="C52">
        <f t="shared" ref="C52:J52" si="5">SUM(C40:C51)</f>
        <v>62970.385000000009</v>
      </c>
      <c r="D52">
        <f t="shared" si="5"/>
        <v>-758.96</v>
      </c>
      <c r="E52">
        <f t="shared" si="5"/>
        <v>12412.335000000001</v>
      </c>
      <c r="F52">
        <f t="shared" si="5"/>
        <v>15359.419999999998</v>
      </c>
      <c r="G52">
        <f t="shared" si="5"/>
        <v>57846.85</v>
      </c>
      <c r="H52">
        <f t="shared" si="5"/>
        <v>-5167.97</v>
      </c>
      <c r="I52">
        <f t="shared" si="5"/>
        <v>0</v>
      </c>
      <c r="J52">
        <f t="shared" si="5"/>
        <v>3512</v>
      </c>
    </row>
    <row r="54" spans="2:11" x14ac:dyDescent="0.2">
      <c r="B54" t="s">
        <v>89</v>
      </c>
      <c r="K54">
        <f>SUM(K40:K51)</f>
        <v>146174.56</v>
      </c>
    </row>
  </sheetData>
  <phoneticPr fontId="0" type="noConversion"/>
  <pageMargins left="0.35" right="0.35" top="0.75" bottom="0.75" header="0.5" footer="0.5"/>
  <pageSetup orientation="portrait" horizontalDpi="4294967293" verticalDpi="0"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4"/>
  <sheetViews>
    <sheetView topLeftCell="A11" workbookViewId="0">
      <selection activeCell="D33" sqref="D33:E36"/>
    </sheetView>
  </sheetViews>
  <sheetFormatPr defaultRowHeight="15" x14ac:dyDescent="0.2"/>
  <cols>
    <col min="1" max="1" width="14.109375" customWidth="1"/>
    <col min="2" max="2" width="2.44140625" customWidth="1"/>
    <col min="3" max="3" width="10.77734375" customWidth="1"/>
    <col min="4" max="4" width="9.77734375" customWidth="1"/>
  </cols>
  <sheetData>
    <row r="1" spans="1:5" x14ac:dyDescent="0.2">
      <c r="E1" t="s">
        <v>0</v>
      </c>
    </row>
    <row r="2" spans="1:5" x14ac:dyDescent="0.2">
      <c r="E2" t="s">
        <v>1</v>
      </c>
    </row>
    <row r="3" spans="1:5" x14ac:dyDescent="0.2">
      <c r="E3" t="s">
        <v>2</v>
      </c>
    </row>
    <row r="6" spans="1:5" x14ac:dyDescent="0.2">
      <c r="A6" t="s">
        <v>492</v>
      </c>
    </row>
    <row r="8" spans="1:5" x14ac:dyDescent="0.2">
      <c r="A8" t="s">
        <v>423</v>
      </c>
    </row>
    <row r="9" spans="1:5" x14ac:dyDescent="0.2">
      <c r="A9" t="s">
        <v>491</v>
      </c>
    </row>
    <row r="10" spans="1:5" x14ac:dyDescent="0.2">
      <c r="A10" t="s">
        <v>6</v>
      </c>
    </row>
    <row r="12" spans="1:5" x14ac:dyDescent="0.2">
      <c r="C12" t="s">
        <v>30</v>
      </c>
      <c r="D12" t="s">
        <v>31</v>
      </c>
    </row>
    <row r="13" spans="1:5" x14ac:dyDescent="0.2">
      <c r="A13" t="s">
        <v>92</v>
      </c>
      <c r="C13" t="s">
        <v>26</v>
      </c>
      <c r="D13" t="s">
        <v>32</v>
      </c>
    </row>
    <row r="15" spans="1:5" x14ac:dyDescent="0.2">
      <c r="A15" t="s">
        <v>35</v>
      </c>
      <c r="C15">
        <f>33742+16749</f>
        <v>50491</v>
      </c>
      <c r="D15">
        <f>'14th year actual'!J46</f>
        <v>160209.3334</v>
      </c>
    </row>
    <row r="16" spans="1:5" x14ac:dyDescent="0.2">
      <c r="A16" t="s">
        <v>490</v>
      </c>
      <c r="C16">
        <f>32852+16811</f>
        <v>49663</v>
      </c>
      <c r="D16">
        <f>'14th year actual'!J47</f>
        <v>142811.5638</v>
      </c>
    </row>
    <row r="17" spans="1:9" x14ac:dyDescent="0.2">
      <c r="A17" t="s">
        <v>37</v>
      </c>
      <c r="C17">
        <f>32767+16761</f>
        <v>49528</v>
      </c>
      <c r="D17">
        <f>'14th year actual'!J48</f>
        <v>118526.7003</v>
      </c>
    </row>
    <row r="18" spans="1:9" x14ac:dyDescent="0.2">
      <c r="A18" t="s">
        <v>38</v>
      </c>
      <c r="C18">
        <f>32668+16772</f>
        <v>49440</v>
      </c>
      <c r="D18">
        <f>'14th year actual'!J49</f>
        <v>128246.97210000001</v>
      </c>
    </row>
    <row r="19" spans="1:9" x14ac:dyDescent="0.2">
      <c r="A19" t="s">
        <v>95</v>
      </c>
      <c r="C19">
        <f>32827+16980</f>
        <v>49807</v>
      </c>
      <c r="D19">
        <f>'14th year actual'!J50</f>
        <v>142475.06439999997</v>
      </c>
    </row>
    <row r="20" spans="1:9" x14ac:dyDescent="0.2">
      <c r="A20" t="s">
        <v>40</v>
      </c>
      <c r="C20">
        <f>33085+17143</f>
        <v>50228</v>
      </c>
      <c r="D20">
        <f>'14th year actual'!J51</f>
        <v>133103.99550000002</v>
      </c>
    </row>
    <row r="21" spans="1:9" x14ac:dyDescent="0.2">
      <c r="A21" t="s">
        <v>41</v>
      </c>
      <c r="C21">
        <f>33105+17216</f>
        <v>50321</v>
      </c>
      <c r="D21">
        <f>'14th year actual'!J52</f>
        <v>113571.71979999999</v>
      </c>
    </row>
    <row r="22" spans="1:9" x14ac:dyDescent="0.2">
      <c r="A22" t="s">
        <v>42</v>
      </c>
      <c r="C22">
        <f>33081+17367</f>
        <v>50448</v>
      </c>
      <c r="D22">
        <f>'14th year actual'!J53</f>
        <v>124172.55949999999</v>
      </c>
    </row>
    <row r="23" spans="1:9" x14ac:dyDescent="0.2">
      <c r="A23" t="s">
        <v>43</v>
      </c>
      <c r="C23">
        <f>33121+17425</f>
        <v>50546</v>
      </c>
      <c r="D23">
        <f>'14th year actual'!J54</f>
        <v>117010.77520000002</v>
      </c>
    </row>
    <row r="24" spans="1:9" x14ac:dyDescent="0.2">
      <c r="A24" t="s">
        <v>44</v>
      </c>
      <c r="C24">
        <f>33185+17454</f>
        <v>50639</v>
      </c>
      <c r="D24">
        <f>'14th year actual'!J55</f>
        <v>104894.07619999998</v>
      </c>
    </row>
    <row r="25" spans="1:9" x14ac:dyDescent="0.2">
      <c r="A25" t="s">
        <v>72</v>
      </c>
      <c r="C25">
        <f>33166+17440</f>
        <v>50606</v>
      </c>
      <c r="D25">
        <f>'14th year actual'!J56</f>
        <v>94827.250000000015</v>
      </c>
    </row>
    <row r="26" spans="1:9" x14ac:dyDescent="0.2">
      <c r="A26" t="s">
        <v>34</v>
      </c>
      <c r="C26">
        <f>33170+17370</f>
        <v>50540</v>
      </c>
      <c r="D26">
        <f>'14th year actual'!J57</f>
        <v>85657.450000000012</v>
      </c>
    </row>
    <row r="27" spans="1:9" x14ac:dyDescent="0.2">
      <c r="A27" t="s">
        <v>96</v>
      </c>
      <c r="C27">
        <f>SUM(C14:C26)</f>
        <v>602257</v>
      </c>
      <c r="D27">
        <f>SUM(D14:D26)</f>
        <v>1465507.4602000001</v>
      </c>
    </row>
    <row r="29" spans="1:9" x14ac:dyDescent="0.2">
      <c r="A29" t="s">
        <v>493</v>
      </c>
    </row>
    <row r="31" spans="1:9" x14ac:dyDescent="0.2">
      <c r="A31" t="s">
        <v>494</v>
      </c>
      <c r="I31" t="s">
        <v>6</v>
      </c>
    </row>
    <row r="33" spans="1:7" x14ac:dyDescent="0.2">
      <c r="A33" t="s">
        <v>101</v>
      </c>
      <c r="D33" t="s">
        <v>501</v>
      </c>
      <c r="E33">
        <v>1.49</v>
      </c>
    </row>
    <row r="34" spans="1:7" x14ac:dyDescent="0.2">
      <c r="A34" t="s">
        <v>505</v>
      </c>
      <c r="D34" t="s">
        <v>501</v>
      </c>
      <c r="E34">
        <f>'13th year adj'!E39</f>
        <v>0.2</v>
      </c>
    </row>
    <row r="35" spans="1:7" x14ac:dyDescent="0.2">
      <c r="A35" t="s">
        <v>101</v>
      </c>
      <c r="D35" t="s">
        <v>500</v>
      </c>
      <c r="E35">
        <v>2.89</v>
      </c>
    </row>
    <row r="36" spans="1:7" x14ac:dyDescent="0.2">
      <c r="A36" t="s">
        <v>499</v>
      </c>
      <c r="E36">
        <f>'13th year adj'!H54</f>
        <v>0.14759839608113579</v>
      </c>
    </row>
    <row r="38" spans="1:7" x14ac:dyDescent="0.2">
      <c r="A38" t="s">
        <v>495</v>
      </c>
      <c r="G38">
        <f>(SUM(C15:C16)*(E33+E34)+SUM(C17:C26)*(E35+E36))</f>
        <v>1694447.5274675265</v>
      </c>
    </row>
    <row r="40" spans="1:7" x14ac:dyDescent="0.2">
      <c r="A40" t="s">
        <v>50</v>
      </c>
      <c r="F40">
        <f>D27</f>
        <v>1465507.4602000001</v>
      </c>
    </row>
    <row r="42" spans="1:7" x14ac:dyDescent="0.2">
      <c r="A42" t="s">
        <v>350</v>
      </c>
      <c r="G42">
        <f>F40-F41</f>
        <v>1465507.4602000001</v>
      </c>
    </row>
    <row r="44" spans="1:7" x14ac:dyDescent="0.2">
      <c r="A44" t="s">
        <v>351</v>
      </c>
      <c r="G44">
        <f>G42-G38</f>
        <v>-228940.06726752641</v>
      </c>
    </row>
    <row r="46" spans="1:7" x14ac:dyDescent="0.2">
      <c r="A46" t="s">
        <v>106</v>
      </c>
    </row>
    <row r="48" spans="1:7" x14ac:dyDescent="0.2">
      <c r="A48" t="s">
        <v>107</v>
      </c>
      <c r="F48">
        <f>G44</f>
        <v>-228940.06726752641</v>
      </c>
    </row>
    <row r="49" spans="1:7" x14ac:dyDescent="0.2">
      <c r="A49" t="s">
        <v>415</v>
      </c>
      <c r="F49">
        <f>SUM(C15:C26)</f>
        <v>602257</v>
      </c>
    </row>
    <row r="50" spans="1:7" x14ac:dyDescent="0.2">
      <c r="A50" t="s">
        <v>108</v>
      </c>
      <c r="F50">
        <f>F48/F49</f>
        <v>-0.3801368307342653</v>
      </c>
    </row>
    <row r="55" spans="1:7" x14ac:dyDescent="0.2">
      <c r="A55" t="s">
        <v>354</v>
      </c>
      <c r="G55" t="s">
        <v>418</v>
      </c>
    </row>
    <row r="56" spans="1:7" x14ac:dyDescent="0.2">
      <c r="A56" t="s">
        <v>416</v>
      </c>
      <c r="G56">
        <f>SUM(D15:D26)</f>
        <v>1465507.4602000001</v>
      </c>
    </row>
    <row r="57" spans="1:7" x14ac:dyDescent="0.2">
      <c r="A57" t="s">
        <v>417</v>
      </c>
      <c r="G57">
        <f>SUM(C15:C26)</f>
        <v>602257</v>
      </c>
    </row>
    <row r="59" spans="1:7" x14ac:dyDescent="0.2">
      <c r="D59" t="s">
        <v>359</v>
      </c>
      <c r="G59">
        <f>G56/G57</f>
        <v>2.4333589484223515</v>
      </c>
    </row>
    <row r="60" spans="1:7" x14ac:dyDescent="0.2">
      <c r="D60" t="s">
        <v>360</v>
      </c>
      <c r="G60">
        <f>F50</f>
        <v>-0.3801368307342653</v>
      </c>
    </row>
    <row r="61" spans="1:7" x14ac:dyDescent="0.2">
      <c r="E61" t="s">
        <v>361</v>
      </c>
      <c r="G61">
        <f>G59+G60</f>
        <v>2.0532221176880863</v>
      </c>
    </row>
    <row r="65" spans="1:5" x14ac:dyDescent="0.2">
      <c r="E65" t="s">
        <v>0</v>
      </c>
    </row>
    <row r="66" spans="1:5" x14ac:dyDescent="0.2">
      <c r="E66" t="s">
        <v>1</v>
      </c>
    </row>
    <row r="67" spans="1:5" x14ac:dyDescent="0.2">
      <c r="E67" t="s">
        <v>342</v>
      </c>
    </row>
    <row r="70" spans="1:5" x14ac:dyDescent="0.2">
      <c r="A70" t="str">
        <f>A6</f>
        <v>After Fourteenth Year Commodity Adjustment</v>
      </c>
    </row>
    <row r="72" spans="1:5" x14ac:dyDescent="0.2">
      <c r="A72" t="s">
        <v>423</v>
      </c>
    </row>
    <row r="73" spans="1:5" x14ac:dyDescent="0.2">
      <c r="A73" t="s">
        <v>491</v>
      </c>
    </row>
    <row r="74" spans="1:5" x14ac:dyDescent="0.2">
      <c r="A74" t="s">
        <v>6</v>
      </c>
    </row>
    <row r="76" spans="1:5" x14ac:dyDescent="0.2">
      <c r="A76" t="s">
        <v>344</v>
      </c>
      <c r="C76" t="s">
        <v>30</v>
      </c>
      <c r="D76" t="s">
        <v>31</v>
      </c>
    </row>
    <row r="77" spans="1:5" x14ac:dyDescent="0.2">
      <c r="A77" t="s">
        <v>92</v>
      </c>
      <c r="C77" t="s">
        <v>145</v>
      </c>
      <c r="D77" t="s">
        <v>32</v>
      </c>
    </row>
    <row r="79" spans="1:5" x14ac:dyDescent="0.2">
      <c r="A79" t="s">
        <v>35</v>
      </c>
      <c r="C79">
        <f>3878+1193+1533+149</f>
        <v>6753</v>
      </c>
      <c r="D79">
        <f>'14th year actual'!J106</f>
        <v>8721.4488999999994</v>
      </c>
    </row>
    <row r="80" spans="1:5" x14ac:dyDescent="0.2">
      <c r="A80" t="s">
        <v>490</v>
      </c>
      <c r="C80">
        <f>5084+1684</f>
        <v>6768</v>
      </c>
      <c r="D80">
        <f>'14th year actual'!J107</f>
        <v>7549.4740999999995</v>
      </c>
    </row>
    <row r="81" spans="1:4" x14ac:dyDescent="0.2">
      <c r="A81" t="s">
        <v>37</v>
      </c>
      <c r="C81">
        <f>5088+1716</f>
        <v>6804</v>
      </c>
      <c r="D81">
        <f>'14th year actual'!J108</f>
        <v>8265.8385000000017</v>
      </c>
    </row>
    <row r="82" spans="1:4" x14ac:dyDescent="0.2">
      <c r="A82" t="s">
        <v>38</v>
      </c>
      <c r="C82">
        <f>5202+1713</f>
        <v>6915</v>
      </c>
      <c r="D82">
        <f>'14th year actual'!J109</f>
        <v>8420.8765000000021</v>
      </c>
    </row>
    <row r="83" spans="1:4" x14ac:dyDescent="0.2">
      <c r="A83" t="s">
        <v>95</v>
      </c>
      <c r="C83">
        <f>5174+1740</f>
        <v>6914</v>
      </c>
      <c r="D83">
        <f>'14th year actual'!J110</f>
        <v>8482.7012999999988</v>
      </c>
    </row>
    <row r="84" spans="1:4" x14ac:dyDescent="0.2">
      <c r="A84" t="s">
        <v>40</v>
      </c>
      <c r="C84">
        <f>4502+1724</f>
        <v>6226</v>
      </c>
      <c r="D84">
        <f>'14th year actual'!J111</f>
        <v>7739.092200000001</v>
      </c>
    </row>
    <row r="85" spans="1:4" x14ac:dyDescent="0.2">
      <c r="A85" t="s">
        <v>41</v>
      </c>
      <c r="C85">
        <f>4945+1719</f>
        <v>6664</v>
      </c>
      <c r="D85">
        <f>'14th year actual'!J112</f>
        <v>7253.7032000000008</v>
      </c>
    </row>
    <row r="86" spans="1:4" x14ac:dyDescent="0.2">
      <c r="A86" t="s">
        <v>42</v>
      </c>
      <c r="C86">
        <f>4972+1721</f>
        <v>6693</v>
      </c>
      <c r="D86">
        <f>'14th year actual'!J113</f>
        <v>7081.7404999999999</v>
      </c>
    </row>
    <row r="87" spans="1:4" x14ac:dyDescent="0.2">
      <c r="A87" t="s">
        <v>43</v>
      </c>
      <c r="C87">
        <f>5032+1776</f>
        <v>6808</v>
      </c>
      <c r="D87">
        <f>'14th year actual'!J114</f>
        <v>7272.7294000000002</v>
      </c>
    </row>
    <row r="88" spans="1:4" x14ac:dyDescent="0.2">
      <c r="A88" t="s">
        <v>44</v>
      </c>
      <c r="C88">
        <f>5708+1779</f>
        <v>7487</v>
      </c>
      <c r="D88">
        <f>'14th year actual'!J115</f>
        <v>6911.2432999999992</v>
      </c>
    </row>
    <row r="89" spans="1:4" x14ac:dyDescent="0.2">
      <c r="A89" t="s">
        <v>72</v>
      </c>
      <c r="C89">
        <f>4970+1834</f>
        <v>6804</v>
      </c>
      <c r="D89">
        <f>'14th year actual'!J116</f>
        <v>2376.15</v>
      </c>
    </row>
    <row r="90" spans="1:4" x14ac:dyDescent="0.2">
      <c r="A90" t="s">
        <v>34</v>
      </c>
      <c r="C90">
        <f>5267+1782</f>
        <v>7049</v>
      </c>
      <c r="D90">
        <f>'14th year actual'!J117</f>
        <v>2654.7000000000003</v>
      </c>
    </row>
    <row r="91" spans="1:4" x14ac:dyDescent="0.2">
      <c r="A91" t="s">
        <v>96</v>
      </c>
      <c r="C91">
        <f>SUM(C78:C90)</f>
        <v>81885</v>
      </c>
      <c r="D91">
        <f>SUM(D78:D90)</f>
        <v>82729.697899999999</v>
      </c>
    </row>
    <row r="93" spans="1:4" x14ac:dyDescent="0.2">
      <c r="A93" t="s">
        <v>493</v>
      </c>
    </row>
    <row r="95" spans="1:4" x14ac:dyDescent="0.2">
      <c r="A95" t="s">
        <v>494</v>
      </c>
    </row>
    <row r="97" spans="1:8" x14ac:dyDescent="0.2">
      <c r="A97" t="s">
        <v>101</v>
      </c>
      <c r="D97" t="s">
        <v>501</v>
      </c>
      <c r="E97">
        <v>0.61</v>
      </c>
    </row>
    <row r="98" spans="1:8" x14ac:dyDescent="0.2">
      <c r="A98" t="s">
        <v>505</v>
      </c>
      <c r="D98" t="s">
        <v>501</v>
      </c>
      <c r="E98">
        <f>'13th year adj'!E105</f>
        <v>0.15</v>
      </c>
    </row>
    <row r="99" spans="1:8" x14ac:dyDescent="0.2">
      <c r="A99" t="s">
        <v>101</v>
      </c>
      <c r="D99" t="s">
        <v>500</v>
      </c>
      <c r="E99">
        <v>1.23</v>
      </c>
    </row>
    <row r="100" spans="1:8" x14ac:dyDescent="0.2">
      <c r="A100" t="str">
        <f>A36</f>
        <v xml:space="preserve">Adjustment due to February 1, 2013 Start Date </v>
      </c>
      <c r="E100">
        <f>'13th year adj'!H120</f>
        <v>6.2458806655192323E-2</v>
      </c>
    </row>
    <row r="102" spans="1:8" x14ac:dyDescent="0.2">
      <c r="A102" t="s">
        <v>495</v>
      </c>
      <c r="G102">
        <f>(SUM(C79:C80)*(E97+E98)+SUM(C81:C90)*(E99+E100))</f>
        <v>98633.61385817558</v>
      </c>
    </row>
    <row r="103" spans="1:8" x14ac:dyDescent="0.2">
      <c r="H103" t="s">
        <v>6</v>
      </c>
    </row>
    <row r="104" spans="1:8" x14ac:dyDescent="0.2">
      <c r="A104" t="s">
        <v>50</v>
      </c>
      <c r="F104">
        <f>D91</f>
        <v>82729.697899999999</v>
      </c>
      <c r="H104" t="s">
        <v>6</v>
      </c>
    </row>
    <row r="106" spans="1:8" x14ac:dyDescent="0.2">
      <c r="A106" t="s">
        <v>364</v>
      </c>
      <c r="G106">
        <f>F104-F105</f>
        <v>82729.697899999999</v>
      </c>
    </row>
    <row r="108" spans="1:8" x14ac:dyDescent="0.2">
      <c r="A108" t="s">
        <v>190</v>
      </c>
      <c r="G108">
        <f>G106-G102</f>
        <v>-15903.915958175581</v>
      </c>
    </row>
    <row r="110" spans="1:8" x14ac:dyDescent="0.2">
      <c r="A110" t="s">
        <v>365</v>
      </c>
    </row>
    <row r="112" spans="1:8" x14ac:dyDescent="0.2">
      <c r="A112" t="s">
        <v>107</v>
      </c>
      <c r="F112">
        <f>G108</f>
        <v>-15903.915958175581</v>
      </c>
    </row>
    <row r="113" spans="1:7" x14ac:dyDescent="0.2">
      <c r="A113" t="s">
        <v>419</v>
      </c>
      <c r="F113">
        <f>SUM(C79:C90)</f>
        <v>81885</v>
      </c>
    </row>
    <row r="114" spans="1:7" x14ac:dyDescent="0.2">
      <c r="A114" t="s">
        <v>349</v>
      </c>
      <c r="F114">
        <f>ROUND(F112/F113,2)</f>
        <v>-0.19</v>
      </c>
    </row>
    <row r="118" spans="1:7" x14ac:dyDescent="0.2">
      <c r="A118" t="s">
        <v>354</v>
      </c>
      <c r="G118" t="s">
        <v>418</v>
      </c>
    </row>
    <row r="119" spans="1:7" x14ac:dyDescent="0.2">
      <c r="A119" t="s">
        <v>416</v>
      </c>
      <c r="G119">
        <f>SUM(D79:D90)</f>
        <v>82729.697899999999</v>
      </c>
    </row>
    <row r="120" spans="1:7" x14ac:dyDescent="0.2">
      <c r="A120" t="s">
        <v>420</v>
      </c>
      <c r="G120">
        <f>SUM(C79:C90)</f>
        <v>81885</v>
      </c>
    </row>
    <row r="122" spans="1:7" x14ac:dyDescent="0.2">
      <c r="D122" t="s">
        <v>422</v>
      </c>
      <c r="G122">
        <f>G119/G120</f>
        <v>1.0103156609879709</v>
      </c>
    </row>
    <row r="123" spans="1:7" x14ac:dyDescent="0.2">
      <c r="D123" t="s">
        <v>469</v>
      </c>
      <c r="G123">
        <f>F114</f>
        <v>-0.19</v>
      </c>
    </row>
    <row r="124" spans="1:7" x14ac:dyDescent="0.2">
      <c r="E124" t="s">
        <v>361</v>
      </c>
      <c r="G124">
        <f>SUM(G122:G123)</f>
        <v>0.82031566098797093</v>
      </c>
    </row>
  </sheetData>
  <phoneticPr fontId="6" type="noConversion"/>
  <pageMargins left="0.75" right="0.75" top="1" bottom="1" header="0.5" footer="0.5"/>
  <pageSetup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134"/>
  <sheetViews>
    <sheetView zoomScale="142" zoomScaleNormal="142" workbookViewId="0">
      <selection activeCell="J22" sqref="J22"/>
    </sheetView>
  </sheetViews>
  <sheetFormatPr defaultRowHeight="15" x14ac:dyDescent="0.2"/>
  <cols>
    <col min="1" max="1" width="12.109375" customWidth="1"/>
    <col min="2" max="2" width="7.33203125" customWidth="1"/>
    <col min="3" max="3" width="8.109375" customWidth="1"/>
    <col min="4" max="4" width="8" customWidth="1"/>
    <col min="5" max="5" width="7.5546875" customWidth="1"/>
    <col min="7" max="8" width="7.44140625" customWidth="1"/>
    <col min="10" max="10" width="7.77734375" customWidth="1"/>
  </cols>
  <sheetData>
    <row r="2" spans="1:10" x14ac:dyDescent="0.2">
      <c r="E2" t="s">
        <v>0</v>
      </c>
    </row>
    <row r="3" spans="1:10" x14ac:dyDescent="0.2">
      <c r="E3" t="s">
        <v>1</v>
      </c>
    </row>
    <row r="4" spans="1:10" x14ac:dyDescent="0.2">
      <c r="E4" t="s">
        <v>2</v>
      </c>
    </row>
    <row r="5" spans="1:10" x14ac:dyDescent="0.2">
      <c r="E5" t="s">
        <v>478</v>
      </c>
    </row>
    <row r="7" spans="1:10" x14ac:dyDescent="0.2">
      <c r="B7" t="s">
        <v>81</v>
      </c>
    </row>
    <row r="8" spans="1:10" x14ac:dyDescent="0.2">
      <c r="G8" t="s">
        <v>6</v>
      </c>
      <c r="H8" t="s">
        <v>330</v>
      </c>
      <c r="I8" t="s">
        <v>6</v>
      </c>
    </row>
    <row r="9" spans="1:10" x14ac:dyDescent="0.2">
      <c r="B9" t="s">
        <v>14</v>
      </c>
      <c r="C9" t="s">
        <v>15</v>
      </c>
      <c r="D9" t="s">
        <v>16</v>
      </c>
      <c r="E9" t="s">
        <v>18</v>
      </c>
      <c r="F9" t="s">
        <v>19</v>
      </c>
      <c r="G9" t="s">
        <v>20</v>
      </c>
      <c r="H9" t="s">
        <v>331</v>
      </c>
      <c r="I9" t="s">
        <v>333</v>
      </c>
      <c r="J9" t="s">
        <v>84</v>
      </c>
    </row>
    <row r="10" spans="1:10" x14ac:dyDescent="0.2">
      <c r="A10" t="s">
        <v>9</v>
      </c>
    </row>
    <row r="11" spans="1:10" x14ac:dyDescent="0.2">
      <c r="A11" t="s">
        <v>35</v>
      </c>
      <c r="B11">
        <v>85.2</v>
      </c>
      <c r="C11">
        <v>877.21</v>
      </c>
      <c r="D11">
        <v>85.66</v>
      </c>
      <c r="E11">
        <v>18.059999999999999</v>
      </c>
      <c r="F11">
        <v>20.84</v>
      </c>
      <c r="G11">
        <v>13.89</v>
      </c>
      <c r="H11">
        <v>24.31</v>
      </c>
      <c r="I11">
        <v>32.409999999999997</v>
      </c>
      <c r="J11">
        <f t="shared" ref="J11:J22" si="0">SUM(B11:I11)</f>
        <v>1157.5800000000002</v>
      </c>
    </row>
    <row r="12" spans="1:10" x14ac:dyDescent="0.2">
      <c r="A12" t="s">
        <v>489</v>
      </c>
      <c r="B12">
        <v>83.47</v>
      </c>
      <c r="C12">
        <v>859.47</v>
      </c>
      <c r="D12">
        <v>83.93</v>
      </c>
      <c r="E12">
        <v>17.690000000000001</v>
      </c>
      <c r="F12">
        <v>20.420000000000002</v>
      </c>
      <c r="G12">
        <v>13.61</v>
      </c>
      <c r="H12">
        <v>23.82</v>
      </c>
      <c r="I12">
        <v>31.76</v>
      </c>
      <c r="J12">
        <f t="shared" si="0"/>
        <v>1134.17</v>
      </c>
    </row>
    <row r="13" spans="1:10" x14ac:dyDescent="0.2">
      <c r="A13" t="s">
        <v>37</v>
      </c>
      <c r="B13">
        <v>65.2</v>
      </c>
      <c r="C13">
        <v>671.27</v>
      </c>
      <c r="D13">
        <v>65.55</v>
      </c>
      <c r="E13">
        <v>13.82</v>
      </c>
      <c r="F13">
        <v>15.94</v>
      </c>
      <c r="G13">
        <v>10.63</v>
      </c>
      <c r="H13">
        <v>18.600000000000001</v>
      </c>
      <c r="I13">
        <v>24.8</v>
      </c>
      <c r="J13">
        <f t="shared" si="0"/>
        <v>885.81000000000006</v>
      </c>
    </row>
    <row r="14" spans="1:10" x14ac:dyDescent="0.2">
      <c r="A14" t="s">
        <v>329</v>
      </c>
      <c r="B14">
        <v>69.290000000000006</v>
      </c>
      <c r="C14">
        <v>713.42</v>
      </c>
      <c r="D14">
        <v>69.67</v>
      </c>
      <c r="E14">
        <v>14.69</v>
      </c>
      <c r="F14">
        <v>16.95</v>
      </c>
      <c r="G14">
        <v>11.3</v>
      </c>
      <c r="H14">
        <v>19.77</v>
      </c>
      <c r="I14">
        <v>26.36</v>
      </c>
      <c r="J14">
        <f t="shared" si="0"/>
        <v>941.44999999999993</v>
      </c>
    </row>
    <row r="15" spans="1:10" x14ac:dyDescent="0.2">
      <c r="A15" t="s">
        <v>95</v>
      </c>
      <c r="B15">
        <v>77.33</v>
      </c>
      <c r="C15">
        <v>796.16</v>
      </c>
      <c r="D15">
        <v>77.75</v>
      </c>
      <c r="E15">
        <v>16.39</v>
      </c>
      <c r="F15">
        <v>18.91</v>
      </c>
      <c r="G15">
        <v>12.61</v>
      </c>
      <c r="H15">
        <v>22.06</v>
      </c>
      <c r="I15">
        <v>29.42</v>
      </c>
      <c r="J15">
        <f t="shared" si="0"/>
        <v>1050.6299999999999</v>
      </c>
    </row>
    <row r="16" spans="1:10" x14ac:dyDescent="0.2">
      <c r="A16" t="s">
        <v>40</v>
      </c>
      <c r="B16">
        <v>77.78</v>
      </c>
      <c r="C16">
        <v>800.87</v>
      </c>
      <c r="D16">
        <v>78.209999999999994</v>
      </c>
      <c r="E16">
        <v>16.489999999999998</v>
      </c>
      <c r="F16">
        <v>19.02</v>
      </c>
      <c r="G16">
        <v>12.68</v>
      </c>
      <c r="H16">
        <v>22.19</v>
      </c>
      <c r="I16">
        <v>29.59</v>
      </c>
      <c r="J16">
        <f t="shared" si="0"/>
        <v>1056.83</v>
      </c>
    </row>
    <row r="17" spans="1:11" x14ac:dyDescent="0.2">
      <c r="A17" t="s">
        <v>41</v>
      </c>
      <c r="B17">
        <v>70.45</v>
      </c>
      <c r="C17">
        <v>725.39</v>
      </c>
      <c r="D17">
        <v>70.84</v>
      </c>
      <c r="E17">
        <v>14.93</v>
      </c>
      <c r="F17">
        <v>17.23</v>
      </c>
      <c r="G17">
        <v>11.49</v>
      </c>
      <c r="H17">
        <v>20.100000000000001</v>
      </c>
      <c r="I17">
        <v>26.8</v>
      </c>
      <c r="J17">
        <f t="shared" si="0"/>
        <v>957.23</v>
      </c>
    </row>
    <row r="18" spans="1:11" x14ac:dyDescent="0.2">
      <c r="A18" t="s">
        <v>42</v>
      </c>
      <c r="B18">
        <v>80.58</v>
      </c>
      <c r="C18">
        <v>829.67</v>
      </c>
      <c r="D18">
        <v>81.02</v>
      </c>
      <c r="E18">
        <v>17.079999999999998</v>
      </c>
      <c r="F18">
        <v>19.71</v>
      </c>
      <c r="G18">
        <v>13.14</v>
      </c>
      <c r="H18">
        <v>22.99</v>
      </c>
      <c r="I18">
        <v>30.66</v>
      </c>
      <c r="J18">
        <f t="shared" si="0"/>
        <v>1094.8500000000001</v>
      </c>
    </row>
    <row r="19" spans="1:11" x14ac:dyDescent="0.2">
      <c r="A19" t="s">
        <v>43</v>
      </c>
      <c r="B19">
        <v>73.680000000000007</v>
      </c>
      <c r="C19">
        <v>758.64</v>
      </c>
      <c r="D19">
        <v>74.08</v>
      </c>
      <c r="E19">
        <v>15.62</v>
      </c>
      <c r="F19">
        <v>18.02</v>
      </c>
      <c r="G19">
        <v>12.01</v>
      </c>
      <c r="H19">
        <v>21.02</v>
      </c>
      <c r="I19">
        <v>28.03</v>
      </c>
      <c r="J19">
        <f t="shared" si="0"/>
        <v>1001.0999999999999</v>
      </c>
    </row>
    <row r="20" spans="1:11" x14ac:dyDescent="0.2">
      <c r="A20" t="s">
        <v>503</v>
      </c>
      <c r="B20">
        <v>160.28</v>
      </c>
      <c r="C20">
        <v>625.77</v>
      </c>
      <c r="D20">
        <v>86.36</v>
      </c>
      <c r="E20">
        <v>14.23</v>
      </c>
      <c r="F20">
        <v>20.12</v>
      </c>
      <c r="G20">
        <v>9.0500000000000007</v>
      </c>
      <c r="H20">
        <v>31.12</v>
      </c>
      <c r="I20">
        <v>25.49</v>
      </c>
      <c r="J20">
        <f t="shared" si="0"/>
        <v>972.42</v>
      </c>
    </row>
    <row r="21" spans="1:11" x14ac:dyDescent="0.2">
      <c r="A21" t="s">
        <v>502</v>
      </c>
      <c r="B21">
        <v>612.57000000000005</v>
      </c>
      <c r="C21">
        <v>317.39</v>
      </c>
      <c r="D21">
        <v>178.67</v>
      </c>
      <c r="E21">
        <v>14.42</v>
      </c>
      <c r="F21">
        <v>38.29</v>
      </c>
      <c r="H21">
        <v>89.33</v>
      </c>
      <c r="I21">
        <v>25.52</v>
      </c>
      <c r="J21">
        <f t="shared" si="0"/>
        <v>1276.19</v>
      </c>
    </row>
    <row r="22" spans="1:11" x14ac:dyDescent="0.2">
      <c r="A22" t="s">
        <v>504</v>
      </c>
      <c r="B22">
        <v>551.82000000000005</v>
      </c>
      <c r="C22">
        <v>285.91000000000003</v>
      </c>
      <c r="D22">
        <v>160.94999999999999</v>
      </c>
      <c r="E22">
        <v>12.99</v>
      </c>
      <c r="F22">
        <v>34.49</v>
      </c>
      <c r="H22">
        <v>80.47</v>
      </c>
      <c r="I22">
        <v>22.99</v>
      </c>
      <c r="J22">
        <f t="shared" si="0"/>
        <v>1149.6200000000001</v>
      </c>
      <c r="K22" t="s">
        <v>22</v>
      </c>
    </row>
    <row r="23" spans="1:11" x14ac:dyDescent="0.2">
      <c r="A23" t="s">
        <v>22</v>
      </c>
      <c r="B23">
        <f t="shared" ref="B23:J23" si="1">SUM(B11:B22)</f>
        <v>2007.65</v>
      </c>
      <c r="C23">
        <f t="shared" si="1"/>
        <v>8261.1700000000019</v>
      </c>
      <c r="D23">
        <f t="shared" si="1"/>
        <v>1112.69</v>
      </c>
      <c r="E23">
        <f t="shared" si="1"/>
        <v>186.40999999999997</v>
      </c>
      <c r="F23">
        <f t="shared" si="1"/>
        <v>259.94</v>
      </c>
      <c r="G23">
        <f t="shared" si="1"/>
        <v>120.41</v>
      </c>
      <c r="H23">
        <f t="shared" si="1"/>
        <v>395.78</v>
      </c>
      <c r="I23">
        <f t="shared" si="1"/>
        <v>333.83000000000004</v>
      </c>
      <c r="J23">
        <f t="shared" si="1"/>
        <v>12677.880000000003</v>
      </c>
      <c r="K23">
        <f>J23+J84</f>
        <v>13638.590000000004</v>
      </c>
    </row>
    <row r="25" spans="1:11" x14ac:dyDescent="0.2">
      <c r="A25" t="s">
        <v>117</v>
      </c>
      <c r="B25">
        <f>B23/$J$23</f>
        <v>0.15835849526892506</v>
      </c>
      <c r="C25">
        <f t="shared" ref="C25:I25" si="2">C23/$J$23</f>
        <v>0.65162077571328958</v>
      </c>
      <c r="D25">
        <f t="shared" si="2"/>
        <v>8.7766251139780455E-2</v>
      </c>
      <c r="E25">
        <f t="shared" si="2"/>
        <v>1.4703562425263524E-2</v>
      </c>
      <c r="F25">
        <f t="shared" si="2"/>
        <v>2.0503428017933593E-2</v>
      </c>
      <c r="G25">
        <f t="shared" si="2"/>
        <v>9.497644716624544E-3</v>
      </c>
      <c r="H25">
        <f t="shared" si="2"/>
        <v>3.1218153192805097E-2</v>
      </c>
      <c r="I25">
        <f t="shared" si="2"/>
        <v>2.6331689525378059E-2</v>
      </c>
    </row>
    <row r="27" spans="1:11" x14ac:dyDescent="0.2">
      <c r="A27" t="s">
        <v>86</v>
      </c>
      <c r="B27" t="s">
        <v>6</v>
      </c>
    </row>
    <row r="28" spans="1:11" x14ac:dyDescent="0.2">
      <c r="A28" t="s">
        <v>476</v>
      </c>
    </row>
    <row r="30" spans="1:11" x14ac:dyDescent="0.2">
      <c r="A30" t="s">
        <v>35</v>
      </c>
      <c r="B30">
        <v>109.63</v>
      </c>
      <c r="C30">
        <v>109.63</v>
      </c>
      <c r="D30">
        <v>151.04</v>
      </c>
      <c r="E30">
        <v>1447.79</v>
      </c>
      <c r="F30">
        <v>205.47</v>
      </c>
      <c r="G30">
        <v>420</v>
      </c>
      <c r="H30">
        <v>400</v>
      </c>
      <c r="I30">
        <v>130.35</v>
      </c>
    </row>
    <row r="31" spans="1:11" x14ac:dyDescent="0.2">
      <c r="A31" t="str">
        <f>A12</f>
        <v>January 13</v>
      </c>
      <c r="B31">
        <v>92.66</v>
      </c>
      <c r="C31">
        <v>92.66</v>
      </c>
      <c r="D31">
        <v>130.9</v>
      </c>
      <c r="E31">
        <v>1511.01</v>
      </c>
      <c r="F31">
        <v>232.43</v>
      </c>
      <c r="G31">
        <v>476.69</v>
      </c>
      <c r="H31">
        <v>446.2</v>
      </c>
      <c r="I31">
        <v>130.35</v>
      </c>
    </row>
    <row r="32" spans="1:11" x14ac:dyDescent="0.2">
      <c r="A32" t="s">
        <v>37</v>
      </c>
      <c r="B32">
        <v>102</v>
      </c>
      <c r="C32">
        <v>102</v>
      </c>
      <c r="D32">
        <v>139.77000000000001</v>
      </c>
      <c r="E32">
        <v>1428.64</v>
      </c>
      <c r="F32">
        <v>220</v>
      </c>
      <c r="G32">
        <v>510</v>
      </c>
      <c r="H32">
        <v>473.42</v>
      </c>
      <c r="I32">
        <v>130.35</v>
      </c>
    </row>
    <row r="33" spans="1:10" x14ac:dyDescent="0.2">
      <c r="A33" t="s">
        <v>329</v>
      </c>
      <c r="B33">
        <v>102.67</v>
      </c>
      <c r="C33">
        <f>B33</f>
        <v>102.67</v>
      </c>
      <c r="D33">
        <v>150.49</v>
      </c>
      <c r="E33">
        <v>1528.9</v>
      </c>
      <c r="F33">
        <v>220</v>
      </c>
      <c r="G33">
        <v>470.06</v>
      </c>
      <c r="H33">
        <v>481.27</v>
      </c>
      <c r="I33">
        <v>137.08000000000001</v>
      </c>
    </row>
    <row r="34" spans="1:10" x14ac:dyDescent="0.2">
      <c r="A34" t="s">
        <v>95</v>
      </c>
      <c r="B34">
        <v>104.63</v>
      </c>
      <c r="C34">
        <v>104.63</v>
      </c>
      <c r="D34">
        <v>154.32</v>
      </c>
      <c r="E34">
        <v>1416.07</v>
      </c>
      <c r="F34">
        <v>223</v>
      </c>
      <c r="G34">
        <v>415.54</v>
      </c>
      <c r="H34">
        <v>473.71</v>
      </c>
      <c r="I34">
        <v>137.08000000000001</v>
      </c>
    </row>
    <row r="35" spans="1:10" x14ac:dyDescent="0.2">
      <c r="A35" t="s">
        <v>40</v>
      </c>
      <c r="B35">
        <v>96.42</v>
      </c>
      <c r="C35">
        <v>96.42</v>
      </c>
      <c r="D35">
        <v>135.03</v>
      </c>
      <c r="E35">
        <v>1425.69</v>
      </c>
      <c r="F35">
        <v>204.94</v>
      </c>
      <c r="G35">
        <v>416.95</v>
      </c>
      <c r="H35">
        <v>413.95</v>
      </c>
      <c r="I35">
        <v>137.08000000000001</v>
      </c>
    </row>
    <row r="36" spans="1:10" x14ac:dyDescent="0.2">
      <c r="A36" t="s">
        <v>41</v>
      </c>
      <c r="B36">
        <v>88.88</v>
      </c>
      <c r="C36">
        <v>88.88</v>
      </c>
      <c r="D36">
        <v>124.26</v>
      </c>
      <c r="E36">
        <v>1439.7</v>
      </c>
      <c r="F36">
        <v>200</v>
      </c>
      <c r="G36">
        <v>411.48</v>
      </c>
      <c r="H36">
        <v>400</v>
      </c>
      <c r="I36">
        <v>137.08000000000001</v>
      </c>
    </row>
    <row r="37" spans="1:10" x14ac:dyDescent="0.2">
      <c r="A37" t="s">
        <v>42</v>
      </c>
      <c r="B37">
        <v>84.71</v>
      </c>
      <c r="C37">
        <v>84.71</v>
      </c>
      <c r="D37">
        <v>142.91</v>
      </c>
      <c r="E37">
        <v>1388.82</v>
      </c>
      <c r="F37">
        <v>200</v>
      </c>
      <c r="G37">
        <v>372.11</v>
      </c>
      <c r="H37">
        <v>310.44</v>
      </c>
      <c r="I37">
        <v>137.08000000000001</v>
      </c>
    </row>
    <row r="38" spans="1:10" x14ac:dyDescent="0.2">
      <c r="A38" t="s">
        <v>43</v>
      </c>
      <c r="B38">
        <v>86.78</v>
      </c>
      <c r="C38">
        <v>86.78</v>
      </c>
      <c r="D38">
        <v>142.35</v>
      </c>
      <c r="E38">
        <v>1380.5</v>
      </c>
      <c r="F38">
        <v>200</v>
      </c>
      <c r="G38">
        <v>410</v>
      </c>
      <c r="H38">
        <v>380</v>
      </c>
      <c r="I38">
        <v>137.08000000000001</v>
      </c>
    </row>
    <row r="39" spans="1:10" x14ac:dyDescent="0.2">
      <c r="A39" t="s">
        <v>503</v>
      </c>
      <c r="B39">
        <v>68.53</v>
      </c>
      <c r="C39">
        <v>87.21</v>
      </c>
      <c r="D39">
        <v>114.46</v>
      </c>
      <c r="E39">
        <v>1206.3699999999999</v>
      </c>
      <c r="F39">
        <v>143.99</v>
      </c>
      <c r="G39">
        <v>811.24</v>
      </c>
      <c r="H39">
        <v>177.73</v>
      </c>
      <c r="I39">
        <v>136.69999999999999</v>
      </c>
    </row>
    <row r="40" spans="1:10" x14ac:dyDescent="0.2">
      <c r="A40" t="s">
        <v>502</v>
      </c>
      <c r="B40">
        <v>55</v>
      </c>
      <c r="C40">
        <v>15</v>
      </c>
      <c r="D40">
        <v>100</v>
      </c>
      <c r="E40">
        <v>1250</v>
      </c>
      <c r="F40">
        <v>100</v>
      </c>
      <c r="H40">
        <v>225</v>
      </c>
      <c r="I40">
        <v>135</v>
      </c>
    </row>
    <row r="41" spans="1:10" x14ac:dyDescent="0.2">
      <c r="A41" t="str">
        <f>A22</f>
        <v>November (SP)</v>
      </c>
      <c r="B41">
        <v>55</v>
      </c>
      <c r="C41">
        <v>20</v>
      </c>
      <c r="D41">
        <v>95</v>
      </c>
      <c r="E41">
        <v>1220</v>
      </c>
      <c r="F41">
        <v>100</v>
      </c>
      <c r="H41">
        <v>225</v>
      </c>
      <c r="I41">
        <v>135</v>
      </c>
    </row>
    <row r="43" spans="1:10" x14ac:dyDescent="0.2">
      <c r="A43" t="s">
        <v>24</v>
      </c>
      <c r="C43" t="s">
        <v>6</v>
      </c>
      <c r="G43" t="s">
        <v>6</v>
      </c>
      <c r="H43" t="s">
        <v>330</v>
      </c>
      <c r="I43" t="s">
        <v>6</v>
      </c>
    </row>
    <row r="44" spans="1:10" x14ac:dyDescent="0.2">
      <c r="B44" t="s">
        <v>14</v>
      </c>
      <c r="C44" t="s">
        <v>15</v>
      </c>
      <c r="D44" t="s">
        <v>16</v>
      </c>
      <c r="E44" t="s">
        <v>18</v>
      </c>
      <c r="F44" t="s">
        <v>19</v>
      </c>
      <c r="G44" t="s">
        <v>20</v>
      </c>
      <c r="I44" t="s">
        <v>333</v>
      </c>
      <c r="J44" t="s">
        <v>84</v>
      </c>
    </row>
    <row r="46" spans="1:10" x14ac:dyDescent="0.2">
      <c r="A46" t="s">
        <v>35</v>
      </c>
      <c r="B46">
        <f t="shared" ref="B46:H57" si="3">+B11*B30</f>
        <v>9340.4760000000006</v>
      </c>
      <c r="C46">
        <f t="shared" si="3"/>
        <v>96168.532300000006</v>
      </c>
      <c r="D46">
        <f t="shared" si="3"/>
        <v>12938.086399999998</v>
      </c>
      <c r="E46">
        <f t="shared" si="3"/>
        <v>26147.087399999997</v>
      </c>
      <c r="F46">
        <f t="shared" si="3"/>
        <v>4281.9948000000004</v>
      </c>
      <c r="G46">
        <f t="shared" si="3"/>
        <v>5833.8</v>
      </c>
      <c r="H46">
        <f t="shared" si="3"/>
        <v>9724</v>
      </c>
      <c r="I46">
        <f t="shared" ref="I46:I57" si="4">+I11*-I30</f>
        <v>-4224.6434999999992</v>
      </c>
      <c r="J46">
        <f t="shared" ref="J46:J54" si="5">SUM(B46:I46)</f>
        <v>160209.3334</v>
      </c>
    </row>
    <row r="47" spans="1:10" x14ac:dyDescent="0.2">
      <c r="A47" t="str">
        <f>A31</f>
        <v>January 13</v>
      </c>
      <c r="B47">
        <f t="shared" si="3"/>
        <v>7734.3301999999994</v>
      </c>
      <c r="C47">
        <f t="shared" si="3"/>
        <v>79638.4902</v>
      </c>
      <c r="D47">
        <f t="shared" si="3"/>
        <v>10986.437000000002</v>
      </c>
      <c r="E47">
        <f t="shared" si="3"/>
        <v>26729.766900000002</v>
      </c>
      <c r="F47">
        <f t="shared" si="3"/>
        <v>4746.2206000000006</v>
      </c>
      <c r="G47">
        <f t="shared" si="3"/>
        <v>6487.7509</v>
      </c>
      <c r="H47">
        <f t="shared" si="3"/>
        <v>10628.484</v>
      </c>
      <c r="I47">
        <f t="shared" si="4"/>
        <v>-4139.9160000000002</v>
      </c>
      <c r="J47">
        <f t="shared" si="5"/>
        <v>142811.5638</v>
      </c>
    </row>
    <row r="48" spans="1:10" x14ac:dyDescent="0.2">
      <c r="A48" t="s">
        <v>37</v>
      </c>
      <c r="B48">
        <f t="shared" si="3"/>
        <v>6650.4000000000005</v>
      </c>
      <c r="C48">
        <f t="shared" si="3"/>
        <v>68469.539999999994</v>
      </c>
      <c r="D48">
        <f t="shared" si="3"/>
        <v>9161.9235000000008</v>
      </c>
      <c r="E48">
        <f t="shared" si="3"/>
        <v>19743.804800000002</v>
      </c>
      <c r="F48">
        <f t="shared" si="3"/>
        <v>3506.7999999999997</v>
      </c>
      <c r="G48">
        <f t="shared" si="3"/>
        <v>5421.3</v>
      </c>
      <c r="H48">
        <f t="shared" si="3"/>
        <v>8805.612000000001</v>
      </c>
      <c r="I48">
        <f t="shared" si="4"/>
        <v>-3232.68</v>
      </c>
      <c r="J48">
        <f t="shared" si="5"/>
        <v>118526.7003</v>
      </c>
    </row>
    <row r="49" spans="1:10" x14ac:dyDescent="0.2">
      <c r="A49" t="s">
        <v>329</v>
      </c>
      <c r="B49">
        <f t="shared" si="3"/>
        <v>7114.0043000000005</v>
      </c>
      <c r="C49">
        <f t="shared" si="3"/>
        <v>73246.831399999995</v>
      </c>
      <c r="D49">
        <f t="shared" si="3"/>
        <v>10484.638300000001</v>
      </c>
      <c r="E49">
        <f t="shared" si="3"/>
        <v>22459.541000000001</v>
      </c>
      <c r="F49">
        <f t="shared" si="3"/>
        <v>3729</v>
      </c>
      <c r="G49">
        <f t="shared" si="3"/>
        <v>5311.6780000000008</v>
      </c>
      <c r="H49">
        <f t="shared" si="3"/>
        <v>9514.7078999999994</v>
      </c>
      <c r="I49">
        <f t="shared" si="4"/>
        <v>-3613.4288000000001</v>
      </c>
      <c r="J49">
        <f t="shared" si="5"/>
        <v>128246.97210000001</v>
      </c>
    </row>
    <row r="50" spans="1:10" x14ac:dyDescent="0.2">
      <c r="A50" t="s">
        <v>95</v>
      </c>
      <c r="B50">
        <f t="shared" si="3"/>
        <v>8091.0378999999994</v>
      </c>
      <c r="C50">
        <f t="shared" si="3"/>
        <v>83302.220799999996</v>
      </c>
      <c r="D50">
        <f t="shared" si="3"/>
        <v>11998.38</v>
      </c>
      <c r="E50">
        <f t="shared" si="3"/>
        <v>23209.387299999999</v>
      </c>
      <c r="F50">
        <f t="shared" si="3"/>
        <v>4216.93</v>
      </c>
      <c r="G50">
        <f t="shared" si="3"/>
        <v>5239.9593999999997</v>
      </c>
      <c r="H50">
        <f t="shared" si="3"/>
        <v>10450.042599999999</v>
      </c>
      <c r="I50">
        <f t="shared" si="4"/>
        <v>-4032.8936000000008</v>
      </c>
      <c r="J50">
        <f t="shared" si="5"/>
        <v>142475.06439999997</v>
      </c>
    </row>
    <row r="51" spans="1:10" x14ac:dyDescent="0.2">
      <c r="A51" t="s">
        <v>40</v>
      </c>
      <c r="B51">
        <f t="shared" si="3"/>
        <v>7499.5475999999999</v>
      </c>
      <c r="C51">
        <f t="shared" si="3"/>
        <v>77219.885399999999</v>
      </c>
      <c r="D51">
        <f t="shared" si="3"/>
        <v>10560.6963</v>
      </c>
      <c r="E51">
        <f t="shared" si="3"/>
        <v>23509.628099999998</v>
      </c>
      <c r="F51">
        <f t="shared" si="3"/>
        <v>3897.9587999999999</v>
      </c>
      <c r="G51">
        <f t="shared" si="3"/>
        <v>5286.9259999999995</v>
      </c>
      <c r="H51">
        <f t="shared" si="3"/>
        <v>9185.5504999999994</v>
      </c>
      <c r="I51">
        <f t="shared" si="4"/>
        <v>-4056.1972000000005</v>
      </c>
      <c r="J51">
        <f t="shared" si="5"/>
        <v>133103.99550000002</v>
      </c>
    </row>
    <row r="52" spans="1:10" x14ac:dyDescent="0.2">
      <c r="A52" t="s">
        <v>41</v>
      </c>
      <c r="B52">
        <f t="shared" si="3"/>
        <v>6261.5959999999995</v>
      </c>
      <c r="C52">
        <f t="shared" si="3"/>
        <v>64472.663199999995</v>
      </c>
      <c r="D52">
        <f t="shared" si="3"/>
        <v>8802.5784000000003</v>
      </c>
      <c r="E52">
        <f t="shared" si="3"/>
        <v>21494.721000000001</v>
      </c>
      <c r="F52">
        <f t="shared" si="3"/>
        <v>3446</v>
      </c>
      <c r="G52">
        <f t="shared" si="3"/>
        <v>4727.9052000000001</v>
      </c>
      <c r="H52">
        <f t="shared" si="3"/>
        <v>8040.0000000000009</v>
      </c>
      <c r="I52">
        <f t="shared" si="4"/>
        <v>-3673.7440000000006</v>
      </c>
      <c r="J52">
        <f t="shared" si="5"/>
        <v>113571.71979999999</v>
      </c>
    </row>
    <row r="53" spans="1:10" x14ac:dyDescent="0.2">
      <c r="A53" t="s">
        <v>42</v>
      </c>
      <c r="B53">
        <f t="shared" si="3"/>
        <v>6825.9317999999994</v>
      </c>
      <c r="C53">
        <f t="shared" si="3"/>
        <v>70281.345699999991</v>
      </c>
      <c r="D53">
        <f t="shared" si="3"/>
        <v>11578.5682</v>
      </c>
      <c r="E53">
        <f t="shared" si="3"/>
        <v>23721.045599999998</v>
      </c>
      <c r="F53">
        <f t="shared" si="3"/>
        <v>3942</v>
      </c>
      <c r="G53">
        <f t="shared" si="3"/>
        <v>4889.5254000000004</v>
      </c>
      <c r="H53">
        <f t="shared" si="3"/>
        <v>7137.0155999999997</v>
      </c>
      <c r="I53">
        <f t="shared" si="4"/>
        <v>-4202.8728000000001</v>
      </c>
      <c r="J53">
        <f t="shared" si="5"/>
        <v>124172.55949999999</v>
      </c>
    </row>
    <row r="54" spans="1:10" x14ac:dyDescent="0.2">
      <c r="A54" t="s">
        <v>43</v>
      </c>
      <c r="B54">
        <f t="shared" si="3"/>
        <v>6393.9504000000006</v>
      </c>
      <c r="C54">
        <f t="shared" si="3"/>
        <v>65834.779200000004</v>
      </c>
      <c r="D54">
        <f t="shared" si="3"/>
        <v>10545.287999999999</v>
      </c>
      <c r="E54">
        <f t="shared" si="3"/>
        <v>21563.41</v>
      </c>
      <c r="F54">
        <f t="shared" si="3"/>
        <v>3604</v>
      </c>
      <c r="G54">
        <f t="shared" si="3"/>
        <v>4924.1000000000004</v>
      </c>
      <c r="H54">
        <f t="shared" si="3"/>
        <v>7987.5999999999995</v>
      </c>
      <c r="I54">
        <f t="shared" si="4"/>
        <v>-3842.3524000000007</v>
      </c>
      <c r="J54">
        <f t="shared" si="5"/>
        <v>117010.77520000002</v>
      </c>
    </row>
    <row r="55" spans="1:10" x14ac:dyDescent="0.2">
      <c r="A55" t="s">
        <v>503</v>
      </c>
      <c r="B55">
        <f t="shared" si="3"/>
        <v>10983.9884</v>
      </c>
      <c r="C55">
        <f t="shared" si="3"/>
        <v>54573.401699999995</v>
      </c>
      <c r="D55">
        <f t="shared" si="3"/>
        <v>9884.7655999999988</v>
      </c>
      <c r="E55">
        <f t="shared" si="3"/>
        <v>17166.645099999998</v>
      </c>
      <c r="F55">
        <f t="shared" si="3"/>
        <v>2897.0788000000002</v>
      </c>
      <c r="G55">
        <f t="shared" si="3"/>
        <v>7341.7220000000007</v>
      </c>
      <c r="H55">
        <f t="shared" si="3"/>
        <v>5530.9575999999997</v>
      </c>
      <c r="I55">
        <f t="shared" si="4"/>
        <v>-3484.4829999999997</v>
      </c>
      <c r="J55">
        <f>SUM(B55:I55)</f>
        <v>104894.07619999998</v>
      </c>
    </row>
    <row r="56" spans="1:10" x14ac:dyDescent="0.2">
      <c r="A56" t="s">
        <v>502</v>
      </c>
      <c r="B56">
        <f t="shared" si="3"/>
        <v>33691.350000000006</v>
      </c>
      <c r="C56">
        <f t="shared" si="3"/>
        <v>4760.8499999999995</v>
      </c>
      <c r="D56">
        <f t="shared" si="3"/>
        <v>17867</v>
      </c>
      <c r="E56">
        <f t="shared" si="3"/>
        <v>18025</v>
      </c>
      <c r="F56">
        <f t="shared" si="3"/>
        <v>3829</v>
      </c>
      <c r="G56">
        <f t="shared" si="3"/>
        <v>0</v>
      </c>
      <c r="H56">
        <f t="shared" si="3"/>
        <v>20099.25</v>
      </c>
      <c r="I56">
        <f t="shared" si="4"/>
        <v>-3445.2</v>
      </c>
      <c r="J56">
        <f>SUM(B56:I56)</f>
        <v>94827.250000000015</v>
      </c>
    </row>
    <row r="57" spans="1:10" x14ac:dyDescent="0.2">
      <c r="A57" t="s">
        <v>34</v>
      </c>
      <c r="B57">
        <f t="shared" si="3"/>
        <v>30350.100000000002</v>
      </c>
      <c r="C57">
        <f t="shared" si="3"/>
        <v>5718.2000000000007</v>
      </c>
      <c r="D57">
        <f t="shared" si="3"/>
        <v>15290.249999999998</v>
      </c>
      <c r="E57">
        <f t="shared" si="3"/>
        <v>15847.800000000001</v>
      </c>
      <c r="F57">
        <f t="shared" si="3"/>
        <v>3449</v>
      </c>
      <c r="G57">
        <f t="shared" si="3"/>
        <v>0</v>
      </c>
      <c r="H57">
        <f t="shared" si="3"/>
        <v>18105.75</v>
      </c>
      <c r="I57">
        <f t="shared" si="4"/>
        <v>-3103.6499999999996</v>
      </c>
      <c r="J57">
        <f>SUM(B57:I57)</f>
        <v>85657.450000000012</v>
      </c>
    </row>
    <row r="58" spans="1:10" x14ac:dyDescent="0.2">
      <c r="A58" t="s">
        <v>88</v>
      </c>
      <c r="B58">
        <f t="shared" ref="B58:J58" si="6">SUM(B46:B57)</f>
        <v>140936.7126</v>
      </c>
      <c r="C58">
        <f t="shared" si="6"/>
        <v>743686.73989999993</v>
      </c>
      <c r="D58">
        <f t="shared" si="6"/>
        <v>140098.61169999998</v>
      </c>
      <c r="E58">
        <f t="shared" si="6"/>
        <v>259617.83719999995</v>
      </c>
      <c r="F58">
        <f t="shared" si="6"/>
        <v>45545.983000000007</v>
      </c>
      <c r="G58">
        <f t="shared" si="6"/>
        <v>55464.666900000004</v>
      </c>
      <c r="H58">
        <f t="shared" si="6"/>
        <v>125208.9702</v>
      </c>
      <c r="I58">
        <f t="shared" si="6"/>
        <v>-45052.061300000001</v>
      </c>
      <c r="J58">
        <f t="shared" si="6"/>
        <v>1465507.4602000001</v>
      </c>
    </row>
    <row r="60" spans="1:10" x14ac:dyDescent="0.2">
      <c r="A60" t="s">
        <v>89</v>
      </c>
    </row>
    <row r="61" spans="1:10" x14ac:dyDescent="0.2">
      <c r="J61" t="s">
        <v>6</v>
      </c>
    </row>
    <row r="62" spans="1:10" x14ac:dyDescent="0.2">
      <c r="J62" t="s">
        <v>6</v>
      </c>
    </row>
    <row r="63" spans="1:10" x14ac:dyDescent="0.2">
      <c r="F63" t="s">
        <v>0</v>
      </c>
    </row>
    <row r="64" spans="1:10" x14ac:dyDescent="0.2">
      <c r="F64" t="s">
        <v>1</v>
      </c>
    </row>
    <row r="65" spans="1:10" x14ac:dyDescent="0.2">
      <c r="F65" t="s">
        <v>378</v>
      </c>
    </row>
    <row r="66" spans="1:10" x14ac:dyDescent="0.2">
      <c r="F66" t="str">
        <f>E5</f>
        <v>After Thirteenth  Year</v>
      </c>
    </row>
    <row r="68" spans="1:10" x14ac:dyDescent="0.2">
      <c r="B68" t="s">
        <v>81</v>
      </c>
    </row>
    <row r="69" spans="1:10" x14ac:dyDescent="0.2">
      <c r="G69" t="s">
        <v>6</v>
      </c>
      <c r="H69" t="s">
        <v>330</v>
      </c>
      <c r="I69" t="s">
        <v>6</v>
      </c>
    </row>
    <row r="70" spans="1:10" x14ac:dyDescent="0.2">
      <c r="A70" t="s">
        <v>9</v>
      </c>
      <c r="B70" t="s">
        <v>14</v>
      </c>
      <c r="C70" t="s">
        <v>15</v>
      </c>
      <c r="D70" t="s">
        <v>16</v>
      </c>
      <c r="E70" t="s">
        <v>18</v>
      </c>
      <c r="F70" t="s">
        <v>19</v>
      </c>
      <c r="G70" t="s">
        <v>20</v>
      </c>
      <c r="H70" t="s">
        <v>331</v>
      </c>
      <c r="I70" t="s">
        <v>333</v>
      </c>
      <c r="J70" t="s">
        <v>84</v>
      </c>
    </row>
    <row r="72" spans="1:10" x14ac:dyDescent="0.2">
      <c r="A72" t="s">
        <v>423</v>
      </c>
      <c r="B72">
        <v>3.81</v>
      </c>
      <c r="C72">
        <v>56.1</v>
      </c>
      <c r="D72">
        <v>11.4</v>
      </c>
      <c r="E72">
        <v>0.64</v>
      </c>
      <c r="F72">
        <v>0.7</v>
      </c>
      <c r="G72">
        <v>0.44</v>
      </c>
      <c r="H72">
        <v>0.32</v>
      </c>
      <c r="I72">
        <v>7.3</v>
      </c>
      <c r="J72">
        <f t="shared" ref="J72:J83" si="7">SUM(B72:I72)</f>
        <v>80.709999999999994</v>
      </c>
    </row>
    <row r="73" spans="1:10" x14ac:dyDescent="0.2">
      <c r="A73" t="s">
        <v>489</v>
      </c>
      <c r="B73">
        <v>3.81</v>
      </c>
      <c r="C73">
        <v>56.1</v>
      </c>
      <c r="D73">
        <v>11.4</v>
      </c>
      <c r="E73">
        <v>0.64</v>
      </c>
      <c r="F73">
        <v>0.7</v>
      </c>
      <c r="G73">
        <v>0.44</v>
      </c>
      <c r="H73">
        <v>0.32</v>
      </c>
      <c r="I73">
        <v>7.49</v>
      </c>
      <c r="J73">
        <f t="shared" si="7"/>
        <v>80.899999999999991</v>
      </c>
    </row>
    <row r="74" spans="1:10" x14ac:dyDescent="0.2">
      <c r="A74" t="s">
        <v>37</v>
      </c>
      <c r="B74">
        <v>3.81</v>
      </c>
      <c r="C74">
        <v>56.1</v>
      </c>
      <c r="D74">
        <v>11.4</v>
      </c>
      <c r="E74">
        <v>0.64</v>
      </c>
      <c r="F74">
        <v>0.7</v>
      </c>
      <c r="G74">
        <v>0.45</v>
      </c>
      <c r="H74">
        <v>0.32</v>
      </c>
      <c r="I74">
        <v>6.81</v>
      </c>
      <c r="J74">
        <f t="shared" si="7"/>
        <v>80.23</v>
      </c>
    </row>
    <row r="75" spans="1:10" x14ac:dyDescent="0.2">
      <c r="A75" t="s">
        <v>329</v>
      </c>
      <c r="B75">
        <v>3.81</v>
      </c>
      <c r="C75">
        <v>56.1</v>
      </c>
      <c r="D75">
        <v>11.4</v>
      </c>
      <c r="E75">
        <v>0.64</v>
      </c>
      <c r="F75">
        <v>0.7</v>
      </c>
      <c r="G75">
        <v>0.44</v>
      </c>
      <c r="H75">
        <v>0.32</v>
      </c>
      <c r="I75">
        <v>6.85</v>
      </c>
      <c r="J75">
        <f t="shared" si="7"/>
        <v>80.259999999999991</v>
      </c>
    </row>
    <row r="76" spans="1:10" x14ac:dyDescent="0.2">
      <c r="A76" t="s">
        <v>95</v>
      </c>
      <c r="B76">
        <v>3.81</v>
      </c>
      <c r="C76">
        <v>56.1</v>
      </c>
      <c r="D76">
        <v>11.4</v>
      </c>
      <c r="E76">
        <v>0.64</v>
      </c>
      <c r="F76">
        <v>0.7</v>
      </c>
      <c r="G76">
        <v>0.44</v>
      </c>
      <c r="H76">
        <v>0.32</v>
      </c>
      <c r="I76">
        <v>6.87</v>
      </c>
      <c r="J76">
        <f t="shared" si="7"/>
        <v>80.28</v>
      </c>
    </row>
    <row r="77" spans="1:10" x14ac:dyDescent="0.2">
      <c r="A77" t="s">
        <v>40</v>
      </c>
      <c r="B77">
        <v>3.81</v>
      </c>
      <c r="C77">
        <v>56.1</v>
      </c>
      <c r="D77">
        <v>11.4</v>
      </c>
      <c r="E77">
        <v>0.64</v>
      </c>
      <c r="F77">
        <v>0.7</v>
      </c>
      <c r="G77">
        <v>0.44</v>
      </c>
      <c r="H77">
        <v>0.32</v>
      </c>
      <c r="I77">
        <v>6.92</v>
      </c>
      <c r="J77">
        <f t="shared" si="7"/>
        <v>80.33</v>
      </c>
    </row>
    <row r="78" spans="1:10" x14ac:dyDescent="0.2">
      <c r="A78" t="s">
        <v>41</v>
      </c>
      <c r="B78">
        <v>3.81</v>
      </c>
      <c r="C78">
        <v>56.1</v>
      </c>
      <c r="D78">
        <v>11.4</v>
      </c>
      <c r="E78">
        <v>0.64</v>
      </c>
      <c r="F78">
        <v>0.7</v>
      </c>
      <c r="G78">
        <v>0.44</v>
      </c>
      <c r="H78">
        <v>0.32</v>
      </c>
      <c r="I78">
        <v>6.26</v>
      </c>
      <c r="J78">
        <f t="shared" si="7"/>
        <v>79.67</v>
      </c>
    </row>
    <row r="79" spans="1:10" x14ac:dyDescent="0.2">
      <c r="A79" t="s">
        <v>42</v>
      </c>
      <c r="B79">
        <v>3.81</v>
      </c>
      <c r="C79">
        <v>56.1</v>
      </c>
      <c r="D79">
        <v>11.4</v>
      </c>
      <c r="E79">
        <v>0.64</v>
      </c>
      <c r="F79">
        <v>0.7</v>
      </c>
      <c r="G79">
        <v>0.44</v>
      </c>
      <c r="H79">
        <v>0.32</v>
      </c>
      <c r="I79">
        <v>6.67</v>
      </c>
      <c r="J79">
        <f t="shared" si="7"/>
        <v>80.08</v>
      </c>
    </row>
    <row r="80" spans="1:10" x14ac:dyDescent="0.2">
      <c r="A80" t="s">
        <v>43</v>
      </c>
      <c r="B80">
        <v>3.81</v>
      </c>
      <c r="C80">
        <v>56.1</v>
      </c>
      <c r="D80">
        <v>11.4</v>
      </c>
      <c r="E80">
        <v>0.64</v>
      </c>
      <c r="F80">
        <v>0.7</v>
      </c>
      <c r="G80">
        <v>0.44</v>
      </c>
      <c r="H80">
        <v>0.32</v>
      </c>
      <c r="I80">
        <v>6.38</v>
      </c>
      <c r="J80">
        <f t="shared" si="7"/>
        <v>79.789999999999992</v>
      </c>
    </row>
    <row r="81" spans="1:10" x14ac:dyDescent="0.2">
      <c r="A81" t="s">
        <v>503</v>
      </c>
      <c r="B81">
        <v>3.81</v>
      </c>
      <c r="C81">
        <v>56.1</v>
      </c>
      <c r="D81">
        <v>11.4</v>
      </c>
      <c r="E81">
        <v>0.64</v>
      </c>
      <c r="F81">
        <v>0.7</v>
      </c>
      <c r="G81">
        <v>0.44</v>
      </c>
      <c r="H81">
        <v>0.32</v>
      </c>
      <c r="I81">
        <v>6.1</v>
      </c>
      <c r="J81">
        <f t="shared" si="7"/>
        <v>79.509999999999991</v>
      </c>
    </row>
    <row r="82" spans="1:10" x14ac:dyDescent="0.2">
      <c r="A82" t="s">
        <v>502</v>
      </c>
      <c r="B82">
        <v>3.81</v>
      </c>
      <c r="C82">
        <v>56.1</v>
      </c>
      <c r="D82">
        <v>11.4</v>
      </c>
      <c r="E82">
        <v>0.64</v>
      </c>
      <c r="F82">
        <v>0.7</v>
      </c>
      <c r="H82">
        <v>0.76</v>
      </c>
      <c r="I82">
        <v>6.34</v>
      </c>
      <c r="J82">
        <f t="shared" si="7"/>
        <v>79.750000000000014</v>
      </c>
    </row>
    <row r="83" spans="1:10" x14ac:dyDescent="0.2">
      <c r="A83" t="s">
        <v>34</v>
      </c>
      <c r="B83">
        <v>3.81</v>
      </c>
      <c r="C83">
        <v>56.1</v>
      </c>
      <c r="D83">
        <v>11.4</v>
      </c>
      <c r="E83">
        <v>0.64</v>
      </c>
      <c r="F83">
        <v>0.7</v>
      </c>
      <c r="H83">
        <v>0.76</v>
      </c>
      <c r="I83">
        <v>5.79</v>
      </c>
      <c r="J83">
        <f t="shared" si="7"/>
        <v>79.200000000000017</v>
      </c>
    </row>
    <row r="84" spans="1:10" x14ac:dyDescent="0.2">
      <c r="A84" t="s">
        <v>22</v>
      </c>
      <c r="B84">
        <f t="shared" ref="B84:J84" si="8">SUM(B72:B83)</f>
        <v>45.720000000000006</v>
      </c>
      <c r="C84">
        <f t="shared" si="8"/>
        <v>673.20000000000016</v>
      </c>
      <c r="D84">
        <f t="shared" si="8"/>
        <v>136.80000000000004</v>
      </c>
      <c r="E84">
        <f t="shared" si="8"/>
        <v>7.6799999999999988</v>
      </c>
      <c r="F84">
        <f t="shared" si="8"/>
        <v>8.4</v>
      </c>
      <c r="G84">
        <f t="shared" si="8"/>
        <v>4.41</v>
      </c>
      <c r="H84">
        <f t="shared" si="8"/>
        <v>4.72</v>
      </c>
      <c r="I84">
        <f t="shared" si="8"/>
        <v>79.78</v>
      </c>
      <c r="J84">
        <f t="shared" si="8"/>
        <v>960.71</v>
      </c>
    </row>
    <row r="86" spans="1:10" x14ac:dyDescent="0.2">
      <c r="A86" t="s">
        <v>117</v>
      </c>
      <c r="B86">
        <f>B84/$J$84</f>
        <v>4.7589803374587548E-2</v>
      </c>
      <c r="C86">
        <f t="shared" ref="C86:J86" si="9">C84/$J$84</f>
        <v>0.70073175047621039</v>
      </c>
      <c r="D86">
        <f t="shared" si="9"/>
        <v>0.14239468726254545</v>
      </c>
      <c r="E86">
        <f t="shared" si="9"/>
        <v>7.9940877059674603E-3</v>
      </c>
      <c r="F86">
        <f t="shared" si="9"/>
        <v>8.7435334284019107E-3</v>
      </c>
      <c r="J86">
        <f t="shared" si="9"/>
        <v>1</v>
      </c>
    </row>
    <row r="88" spans="1:10" x14ac:dyDescent="0.2">
      <c r="A88" t="s">
        <v>86</v>
      </c>
    </row>
    <row r="89" spans="1:10" x14ac:dyDescent="0.2">
      <c r="A89" t="str">
        <f>A28</f>
        <v>Stated at 100% of Market</v>
      </c>
    </row>
    <row r="91" spans="1:10" x14ac:dyDescent="0.2">
      <c r="A91" t="s">
        <v>35</v>
      </c>
      <c r="B91">
        <f t="shared" ref="B91:I102" si="10">B30</f>
        <v>109.63</v>
      </c>
      <c r="C91">
        <f t="shared" si="10"/>
        <v>109.63</v>
      </c>
      <c r="D91">
        <f t="shared" si="10"/>
        <v>151.04</v>
      </c>
      <c r="E91">
        <f t="shared" si="10"/>
        <v>1447.79</v>
      </c>
      <c r="F91">
        <f t="shared" si="10"/>
        <v>205.47</v>
      </c>
      <c r="G91">
        <f t="shared" si="10"/>
        <v>420</v>
      </c>
      <c r="H91">
        <f t="shared" si="10"/>
        <v>400</v>
      </c>
      <c r="I91">
        <f t="shared" si="10"/>
        <v>130.35</v>
      </c>
    </row>
    <row r="92" spans="1:10" x14ac:dyDescent="0.2">
      <c r="A92" t="s">
        <v>489</v>
      </c>
      <c r="B92">
        <f t="shared" si="10"/>
        <v>92.66</v>
      </c>
      <c r="C92">
        <f t="shared" si="10"/>
        <v>92.66</v>
      </c>
      <c r="D92">
        <f t="shared" si="10"/>
        <v>130.9</v>
      </c>
      <c r="E92">
        <f t="shared" si="10"/>
        <v>1511.01</v>
      </c>
      <c r="F92">
        <f t="shared" si="10"/>
        <v>232.43</v>
      </c>
      <c r="G92">
        <f t="shared" ref="G92:I94" si="11">G31</f>
        <v>476.69</v>
      </c>
      <c r="H92">
        <f t="shared" si="11"/>
        <v>446.2</v>
      </c>
      <c r="I92">
        <f t="shared" si="11"/>
        <v>130.35</v>
      </c>
    </row>
    <row r="93" spans="1:10" x14ac:dyDescent="0.2">
      <c r="A93" t="s">
        <v>37</v>
      </c>
      <c r="B93">
        <f t="shared" si="10"/>
        <v>102</v>
      </c>
      <c r="C93">
        <f t="shared" si="10"/>
        <v>102</v>
      </c>
      <c r="D93">
        <f t="shared" si="10"/>
        <v>139.77000000000001</v>
      </c>
      <c r="E93">
        <f t="shared" si="10"/>
        <v>1428.64</v>
      </c>
      <c r="F93">
        <f t="shared" si="10"/>
        <v>220</v>
      </c>
      <c r="G93">
        <f t="shared" si="11"/>
        <v>510</v>
      </c>
      <c r="H93">
        <f t="shared" si="11"/>
        <v>473.42</v>
      </c>
      <c r="I93">
        <f t="shared" si="11"/>
        <v>130.35</v>
      </c>
    </row>
    <row r="94" spans="1:10" x14ac:dyDescent="0.2">
      <c r="A94" t="s">
        <v>329</v>
      </c>
      <c r="B94">
        <f t="shared" si="10"/>
        <v>102.67</v>
      </c>
      <c r="C94">
        <f t="shared" si="10"/>
        <v>102.67</v>
      </c>
      <c r="D94">
        <f t="shared" si="10"/>
        <v>150.49</v>
      </c>
      <c r="E94">
        <f t="shared" si="10"/>
        <v>1528.9</v>
      </c>
      <c r="F94">
        <f t="shared" si="10"/>
        <v>220</v>
      </c>
      <c r="G94">
        <f t="shared" si="11"/>
        <v>470.06</v>
      </c>
      <c r="H94">
        <f t="shared" si="11"/>
        <v>481.27</v>
      </c>
      <c r="I94">
        <f t="shared" si="11"/>
        <v>137.08000000000001</v>
      </c>
    </row>
    <row r="95" spans="1:10" x14ac:dyDescent="0.2">
      <c r="A95" t="s">
        <v>95</v>
      </c>
      <c r="B95">
        <f t="shared" si="10"/>
        <v>104.63</v>
      </c>
      <c r="C95">
        <f t="shared" si="10"/>
        <v>104.63</v>
      </c>
      <c r="D95">
        <f t="shared" si="10"/>
        <v>154.32</v>
      </c>
      <c r="E95">
        <f t="shared" si="10"/>
        <v>1416.07</v>
      </c>
      <c r="F95">
        <f t="shared" si="10"/>
        <v>223</v>
      </c>
      <c r="G95">
        <f t="shared" si="10"/>
        <v>415.54</v>
      </c>
      <c r="H95">
        <f t="shared" si="10"/>
        <v>473.71</v>
      </c>
      <c r="I95">
        <f t="shared" si="10"/>
        <v>137.08000000000001</v>
      </c>
    </row>
    <row r="96" spans="1:10" x14ac:dyDescent="0.2">
      <c r="A96" t="s">
        <v>40</v>
      </c>
      <c r="B96">
        <f t="shared" si="10"/>
        <v>96.42</v>
      </c>
      <c r="C96">
        <f t="shared" si="10"/>
        <v>96.42</v>
      </c>
      <c r="D96">
        <f t="shared" si="10"/>
        <v>135.03</v>
      </c>
      <c r="E96">
        <f t="shared" si="10"/>
        <v>1425.69</v>
      </c>
      <c r="F96">
        <f t="shared" si="10"/>
        <v>204.94</v>
      </c>
      <c r="G96">
        <f t="shared" si="10"/>
        <v>416.95</v>
      </c>
      <c r="H96">
        <f t="shared" si="10"/>
        <v>413.95</v>
      </c>
      <c r="I96">
        <f t="shared" si="10"/>
        <v>137.08000000000001</v>
      </c>
    </row>
    <row r="97" spans="1:10" x14ac:dyDescent="0.2">
      <c r="A97" t="s">
        <v>41</v>
      </c>
      <c r="B97">
        <f t="shared" si="10"/>
        <v>88.88</v>
      </c>
      <c r="C97">
        <f t="shared" si="10"/>
        <v>88.88</v>
      </c>
      <c r="D97">
        <f t="shared" si="10"/>
        <v>124.26</v>
      </c>
      <c r="E97">
        <f t="shared" si="10"/>
        <v>1439.7</v>
      </c>
      <c r="F97">
        <f t="shared" si="10"/>
        <v>200</v>
      </c>
      <c r="G97">
        <f t="shared" si="10"/>
        <v>411.48</v>
      </c>
      <c r="H97">
        <f t="shared" si="10"/>
        <v>400</v>
      </c>
      <c r="I97">
        <f t="shared" si="10"/>
        <v>137.08000000000001</v>
      </c>
    </row>
    <row r="98" spans="1:10" x14ac:dyDescent="0.2">
      <c r="A98" t="s">
        <v>42</v>
      </c>
      <c r="B98">
        <f t="shared" si="10"/>
        <v>84.71</v>
      </c>
      <c r="C98">
        <f t="shared" si="10"/>
        <v>84.71</v>
      </c>
      <c r="D98">
        <f t="shared" si="10"/>
        <v>142.91</v>
      </c>
      <c r="E98">
        <f t="shared" si="10"/>
        <v>1388.82</v>
      </c>
      <c r="F98">
        <f t="shared" si="10"/>
        <v>200</v>
      </c>
      <c r="G98">
        <f t="shared" si="10"/>
        <v>372.11</v>
      </c>
      <c r="H98">
        <f t="shared" si="10"/>
        <v>310.44</v>
      </c>
      <c r="I98">
        <f t="shared" si="10"/>
        <v>137.08000000000001</v>
      </c>
    </row>
    <row r="99" spans="1:10" x14ac:dyDescent="0.2">
      <c r="A99" t="s">
        <v>43</v>
      </c>
      <c r="B99">
        <f t="shared" si="10"/>
        <v>86.78</v>
      </c>
      <c r="C99">
        <f t="shared" si="10"/>
        <v>86.78</v>
      </c>
      <c r="D99">
        <f t="shared" si="10"/>
        <v>142.35</v>
      </c>
      <c r="E99">
        <f t="shared" si="10"/>
        <v>1380.5</v>
      </c>
      <c r="F99">
        <f t="shared" si="10"/>
        <v>200</v>
      </c>
      <c r="G99">
        <f t="shared" si="10"/>
        <v>410</v>
      </c>
      <c r="H99">
        <f t="shared" si="10"/>
        <v>380</v>
      </c>
      <c r="I99">
        <f t="shared" si="10"/>
        <v>137.08000000000001</v>
      </c>
    </row>
    <row r="100" spans="1:10" x14ac:dyDescent="0.2">
      <c r="A100" t="s">
        <v>503</v>
      </c>
      <c r="B100">
        <f t="shared" si="10"/>
        <v>68.53</v>
      </c>
      <c r="C100">
        <f t="shared" si="10"/>
        <v>87.21</v>
      </c>
      <c r="D100">
        <f t="shared" si="10"/>
        <v>114.46</v>
      </c>
      <c r="E100">
        <f t="shared" si="10"/>
        <v>1206.3699999999999</v>
      </c>
      <c r="F100">
        <f t="shared" si="10"/>
        <v>143.99</v>
      </c>
      <c r="G100">
        <f t="shared" si="10"/>
        <v>811.24</v>
      </c>
      <c r="H100">
        <f t="shared" si="10"/>
        <v>177.73</v>
      </c>
      <c r="I100">
        <f t="shared" si="10"/>
        <v>136.69999999999999</v>
      </c>
    </row>
    <row r="101" spans="1:10" x14ac:dyDescent="0.2">
      <c r="A101" t="s">
        <v>502</v>
      </c>
      <c r="B101">
        <f t="shared" si="10"/>
        <v>55</v>
      </c>
      <c r="C101">
        <f t="shared" si="10"/>
        <v>15</v>
      </c>
      <c r="D101">
        <f t="shared" si="10"/>
        <v>100</v>
      </c>
      <c r="E101">
        <f t="shared" si="10"/>
        <v>1250</v>
      </c>
      <c r="F101">
        <f t="shared" si="10"/>
        <v>100</v>
      </c>
      <c r="G101">
        <f t="shared" si="10"/>
        <v>0</v>
      </c>
      <c r="H101">
        <f t="shared" si="10"/>
        <v>225</v>
      </c>
      <c r="I101">
        <f t="shared" si="10"/>
        <v>135</v>
      </c>
    </row>
    <row r="102" spans="1:10" x14ac:dyDescent="0.2">
      <c r="A102" t="s">
        <v>34</v>
      </c>
      <c r="B102">
        <f t="shared" si="10"/>
        <v>55</v>
      </c>
      <c r="C102">
        <f t="shared" si="10"/>
        <v>20</v>
      </c>
      <c r="D102">
        <f t="shared" si="10"/>
        <v>95</v>
      </c>
      <c r="E102">
        <f t="shared" si="10"/>
        <v>1220</v>
      </c>
      <c r="F102">
        <f t="shared" si="10"/>
        <v>100</v>
      </c>
      <c r="G102">
        <f t="shared" si="10"/>
        <v>0</v>
      </c>
      <c r="H102">
        <f t="shared" si="10"/>
        <v>225</v>
      </c>
      <c r="I102">
        <f t="shared" si="10"/>
        <v>135</v>
      </c>
    </row>
    <row r="104" spans="1:10" x14ac:dyDescent="0.2">
      <c r="A104" t="s">
        <v>24</v>
      </c>
      <c r="B104" t="s">
        <v>14</v>
      </c>
      <c r="C104" t="s">
        <v>15</v>
      </c>
      <c r="D104" t="s">
        <v>16</v>
      </c>
      <c r="E104" t="s">
        <v>18</v>
      </c>
      <c r="F104" t="s">
        <v>19</v>
      </c>
      <c r="G104" t="s">
        <v>20</v>
      </c>
      <c r="H104" t="s">
        <v>331</v>
      </c>
      <c r="I104" t="s">
        <v>333</v>
      </c>
      <c r="J104" t="s">
        <v>84</v>
      </c>
    </row>
    <row r="106" spans="1:10" x14ac:dyDescent="0.2">
      <c r="A106" t="s">
        <v>35</v>
      </c>
      <c r="B106">
        <f t="shared" ref="B106:H117" si="12">B72*B91</f>
        <v>417.69029999999998</v>
      </c>
      <c r="C106">
        <f t="shared" si="12"/>
        <v>6150.2429999999995</v>
      </c>
      <c r="D106">
        <f t="shared" si="12"/>
        <v>1721.856</v>
      </c>
      <c r="E106">
        <f t="shared" si="12"/>
        <v>926.5856</v>
      </c>
      <c r="F106">
        <f t="shared" si="12"/>
        <v>143.82899999999998</v>
      </c>
      <c r="G106">
        <f t="shared" si="12"/>
        <v>184.8</v>
      </c>
      <c r="H106">
        <f t="shared" si="12"/>
        <v>128</v>
      </c>
      <c r="I106">
        <f t="shared" ref="I106:I117" si="13">I72*-I91</f>
        <v>-951.55499999999995</v>
      </c>
      <c r="J106">
        <f t="shared" ref="J106:J114" si="14">SUM(B106:I106)</f>
        <v>8721.4488999999994</v>
      </c>
    </row>
    <row r="107" spans="1:10" x14ac:dyDescent="0.2">
      <c r="A107" t="s">
        <v>489</v>
      </c>
      <c r="B107">
        <f t="shared" si="12"/>
        <v>353.03460000000001</v>
      </c>
      <c r="C107">
        <f t="shared" si="12"/>
        <v>5198.2259999999997</v>
      </c>
      <c r="D107">
        <f t="shared" si="12"/>
        <v>1492.2600000000002</v>
      </c>
      <c r="E107">
        <f t="shared" si="12"/>
        <v>967.04640000000006</v>
      </c>
      <c r="F107">
        <f t="shared" si="12"/>
        <v>162.70099999999999</v>
      </c>
      <c r="G107">
        <f t="shared" si="12"/>
        <v>209.74359999999999</v>
      </c>
      <c r="H107">
        <f t="shared" si="12"/>
        <v>142.78399999999999</v>
      </c>
      <c r="I107">
        <f t="shared" si="13"/>
        <v>-976.32150000000001</v>
      </c>
      <c r="J107">
        <f t="shared" si="14"/>
        <v>7549.4740999999995</v>
      </c>
    </row>
    <row r="108" spans="1:10" x14ac:dyDescent="0.2">
      <c r="A108" t="s">
        <v>37</v>
      </c>
      <c r="B108">
        <f t="shared" si="12"/>
        <v>388.62</v>
      </c>
      <c r="C108">
        <f t="shared" si="12"/>
        <v>5722.2</v>
      </c>
      <c r="D108">
        <f t="shared" si="12"/>
        <v>1593.3780000000002</v>
      </c>
      <c r="E108">
        <f t="shared" si="12"/>
        <v>914.32960000000003</v>
      </c>
      <c r="F108">
        <f t="shared" si="12"/>
        <v>154</v>
      </c>
      <c r="G108">
        <f t="shared" si="12"/>
        <v>229.5</v>
      </c>
      <c r="H108">
        <f t="shared" si="12"/>
        <v>151.49440000000001</v>
      </c>
      <c r="I108">
        <f t="shared" si="13"/>
        <v>-887.68349999999987</v>
      </c>
      <c r="J108">
        <f t="shared" si="14"/>
        <v>8265.8385000000017</v>
      </c>
    </row>
    <row r="109" spans="1:10" x14ac:dyDescent="0.2">
      <c r="A109" t="s">
        <v>329</v>
      </c>
      <c r="B109">
        <f t="shared" si="12"/>
        <v>391.17270000000002</v>
      </c>
      <c r="C109">
        <f t="shared" si="12"/>
        <v>5759.7870000000003</v>
      </c>
      <c r="D109">
        <f t="shared" si="12"/>
        <v>1715.5860000000002</v>
      </c>
      <c r="E109">
        <f t="shared" si="12"/>
        <v>978.49600000000009</v>
      </c>
      <c r="F109">
        <f t="shared" si="12"/>
        <v>154</v>
      </c>
      <c r="G109">
        <f t="shared" si="12"/>
        <v>206.82640000000001</v>
      </c>
      <c r="H109">
        <f t="shared" si="12"/>
        <v>154.00639999999999</v>
      </c>
      <c r="I109">
        <f t="shared" si="13"/>
        <v>-938.99800000000005</v>
      </c>
      <c r="J109">
        <f t="shared" si="14"/>
        <v>8420.8765000000021</v>
      </c>
    </row>
    <row r="110" spans="1:10" x14ac:dyDescent="0.2">
      <c r="A110" t="s">
        <v>95</v>
      </c>
      <c r="B110">
        <f t="shared" si="12"/>
        <v>398.64029999999997</v>
      </c>
      <c r="C110">
        <f t="shared" si="12"/>
        <v>5869.7429999999995</v>
      </c>
      <c r="D110">
        <f t="shared" si="12"/>
        <v>1759.248</v>
      </c>
      <c r="E110">
        <f t="shared" si="12"/>
        <v>906.28480000000002</v>
      </c>
      <c r="F110">
        <f t="shared" si="12"/>
        <v>156.1</v>
      </c>
      <c r="G110">
        <f t="shared" si="12"/>
        <v>182.83760000000001</v>
      </c>
      <c r="H110">
        <f t="shared" si="12"/>
        <v>151.5872</v>
      </c>
      <c r="I110">
        <f t="shared" si="13"/>
        <v>-941.73960000000011</v>
      </c>
      <c r="J110">
        <f t="shared" si="14"/>
        <v>8482.7012999999988</v>
      </c>
    </row>
    <row r="111" spans="1:10" x14ac:dyDescent="0.2">
      <c r="A111" t="s">
        <v>40</v>
      </c>
      <c r="B111">
        <f t="shared" si="12"/>
        <v>367.36020000000002</v>
      </c>
      <c r="C111">
        <f t="shared" si="12"/>
        <v>5409.1620000000003</v>
      </c>
      <c r="D111">
        <f t="shared" si="12"/>
        <v>1539.3420000000001</v>
      </c>
      <c r="E111">
        <f t="shared" si="12"/>
        <v>912.44160000000011</v>
      </c>
      <c r="F111">
        <f t="shared" si="12"/>
        <v>143.458</v>
      </c>
      <c r="G111">
        <f t="shared" si="12"/>
        <v>183.458</v>
      </c>
      <c r="H111">
        <f t="shared" si="12"/>
        <v>132.464</v>
      </c>
      <c r="I111">
        <f t="shared" si="13"/>
        <v>-948.59360000000004</v>
      </c>
      <c r="J111">
        <f t="shared" si="14"/>
        <v>7739.092200000001</v>
      </c>
    </row>
    <row r="112" spans="1:10" x14ac:dyDescent="0.2">
      <c r="A112" t="s">
        <v>41</v>
      </c>
      <c r="B112">
        <f t="shared" si="12"/>
        <v>338.63279999999997</v>
      </c>
      <c r="C112">
        <f t="shared" si="12"/>
        <v>4986.1679999999997</v>
      </c>
      <c r="D112">
        <f t="shared" si="12"/>
        <v>1416.5640000000001</v>
      </c>
      <c r="E112">
        <f t="shared" si="12"/>
        <v>921.40800000000002</v>
      </c>
      <c r="F112">
        <f t="shared" si="12"/>
        <v>140</v>
      </c>
      <c r="G112">
        <f t="shared" si="12"/>
        <v>181.05120000000002</v>
      </c>
      <c r="H112">
        <f t="shared" si="12"/>
        <v>128</v>
      </c>
      <c r="I112">
        <f t="shared" si="13"/>
        <v>-858.12080000000003</v>
      </c>
      <c r="J112">
        <f t="shared" si="14"/>
        <v>7253.7032000000008</v>
      </c>
    </row>
    <row r="113" spans="1:10" x14ac:dyDescent="0.2">
      <c r="A113" t="s">
        <v>42</v>
      </c>
      <c r="B113">
        <f t="shared" si="12"/>
        <v>322.74509999999998</v>
      </c>
      <c r="C113">
        <f t="shared" si="12"/>
        <v>4752.2309999999998</v>
      </c>
      <c r="D113">
        <f t="shared" si="12"/>
        <v>1629.174</v>
      </c>
      <c r="E113">
        <f t="shared" si="12"/>
        <v>888.84479999999996</v>
      </c>
      <c r="F113">
        <f t="shared" si="12"/>
        <v>140</v>
      </c>
      <c r="G113">
        <f t="shared" si="12"/>
        <v>163.72839999999999</v>
      </c>
      <c r="H113">
        <f t="shared" si="12"/>
        <v>99.340800000000002</v>
      </c>
      <c r="I113">
        <f t="shared" si="13"/>
        <v>-914.32360000000006</v>
      </c>
      <c r="J113">
        <f t="shared" si="14"/>
        <v>7081.7404999999999</v>
      </c>
    </row>
    <row r="114" spans="1:10" x14ac:dyDescent="0.2">
      <c r="A114" t="s">
        <v>43</v>
      </c>
      <c r="B114">
        <f t="shared" si="12"/>
        <v>330.6318</v>
      </c>
      <c r="C114">
        <f t="shared" si="12"/>
        <v>4868.3580000000002</v>
      </c>
      <c r="D114">
        <f t="shared" si="12"/>
        <v>1622.79</v>
      </c>
      <c r="E114">
        <f t="shared" si="12"/>
        <v>883.52</v>
      </c>
      <c r="F114">
        <f t="shared" si="12"/>
        <v>140</v>
      </c>
      <c r="G114">
        <f t="shared" si="12"/>
        <v>180.4</v>
      </c>
      <c r="H114">
        <f t="shared" si="12"/>
        <v>121.60000000000001</v>
      </c>
      <c r="I114">
        <f t="shared" si="13"/>
        <v>-874.57040000000006</v>
      </c>
      <c r="J114">
        <f t="shared" si="14"/>
        <v>7272.7294000000002</v>
      </c>
    </row>
    <row r="115" spans="1:10" x14ac:dyDescent="0.2">
      <c r="A115" t="s">
        <v>503</v>
      </c>
      <c r="B115">
        <f t="shared" si="12"/>
        <v>261.09930000000003</v>
      </c>
      <c r="C115">
        <f t="shared" si="12"/>
        <v>4892.4809999999998</v>
      </c>
      <c r="D115">
        <f t="shared" si="12"/>
        <v>1304.8440000000001</v>
      </c>
      <c r="E115">
        <f t="shared" si="12"/>
        <v>772.07679999999993</v>
      </c>
      <c r="F115">
        <f t="shared" si="12"/>
        <v>100.79300000000001</v>
      </c>
      <c r="G115">
        <f t="shared" si="12"/>
        <v>356.94560000000001</v>
      </c>
      <c r="H115">
        <f t="shared" si="12"/>
        <v>56.873599999999996</v>
      </c>
      <c r="I115">
        <f t="shared" si="13"/>
        <v>-833.86999999999989</v>
      </c>
      <c r="J115">
        <f>SUM(B115:I115)</f>
        <v>6911.2432999999992</v>
      </c>
    </row>
    <row r="116" spans="1:10" x14ac:dyDescent="0.2">
      <c r="A116" t="s">
        <v>502</v>
      </c>
      <c r="B116">
        <f t="shared" si="12"/>
        <v>209.55</v>
      </c>
      <c r="C116">
        <f t="shared" si="12"/>
        <v>841.5</v>
      </c>
      <c r="D116">
        <f t="shared" si="12"/>
        <v>1140</v>
      </c>
      <c r="E116">
        <f t="shared" si="12"/>
        <v>800</v>
      </c>
      <c r="F116">
        <f t="shared" si="12"/>
        <v>70</v>
      </c>
      <c r="G116">
        <f t="shared" si="12"/>
        <v>0</v>
      </c>
      <c r="H116">
        <f t="shared" si="12"/>
        <v>171</v>
      </c>
      <c r="I116">
        <f t="shared" si="13"/>
        <v>-855.9</v>
      </c>
      <c r="J116">
        <f>SUM(B116:I116)</f>
        <v>2376.15</v>
      </c>
    </row>
    <row r="117" spans="1:10" x14ac:dyDescent="0.2">
      <c r="A117" t="s">
        <v>34</v>
      </c>
      <c r="B117">
        <f t="shared" si="12"/>
        <v>209.55</v>
      </c>
      <c r="C117">
        <f t="shared" si="12"/>
        <v>1122</v>
      </c>
      <c r="D117">
        <f t="shared" si="12"/>
        <v>1083</v>
      </c>
      <c r="E117">
        <f t="shared" si="12"/>
        <v>780.80000000000007</v>
      </c>
      <c r="F117">
        <f t="shared" si="12"/>
        <v>70</v>
      </c>
      <c r="G117">
        <f t="shared" si="12"/>
        <v>0</v>
      </c>
      <c r="H117">
        <f t="shared" si="12"/>
        <v>171</v>
      </c>
      <c r="I117">
        <f t="shared" si="13"/>
        <v>-781.65</v>
      </c>
      <c r="J117">
        <f>SUM(B117:I117)</f>
        <v>2654.7000000000003</v>
      </c>
    </row>
    <row r="118" spans="1:10" x14ac:dyDescent="0.2">
      <c r="A118" t="s">
        <v>88</v>
      </c>
      <c r="B118">
        <f t="shared" ref="B118:J118" si="15">SUM(B106:B117)</f>
        <v>3988.7271000000005</v>
      </c>
      <c r="C118">
        <f t="shared" si="15"/>
        <v>55572.098999999995</v>
      </c>
      <c r="D118">
        <f t="shared" si="15"/>
        <v>18018.042000000005</v>
      </c>
      <c r="E118">
        <f t="shared" si="15"/>
        <v>10651.8336</v>
      </c>
      <c r="F118">
        <f t="shared" si="15"/>
        <v>1574.8809999999999</v>
      </c>
      <c r="G118">
        <f t="shared" si="15"/>
        <v>2079.2908000000002</v>
      </c>
      <c r="H118">
        <f t="shared" si="15"/>
        <v>1608.1503999999998</v>
      </c>
      <c r="I118">
        <f t="shared" si="15"/>
        <v>-10763.325999999997</v>
      </c>
      <c r="J118">
        <f t="shared" si="15"/>
        <v>82729.697899999999</v>
      </c>
    </row>
    <row r="120" spans="1:10" x14ac:dyDescent="0.2">
      <c r="A120" t="s">
        <v>467</v>
      </c>
    </row>
    <row r="121" spans="1:10" x14ac:dyDescent="0.2">
      <c r="A121" t="s">
        <v>468</v>
      </c>
      <c r="B121" t="s">
        <v>14</v>
      </c>
      <c r="C121" t="s">
        <v>15</v>
      </c>
      <c r="D121" t="s">
        <v>16</v>
      </c>
      <c r="E121" t="s">
        <v>18</v>
      </c>
      <c r="F121" t="s">
        <v>19</v>
      </c>
      <c r="G121" t="s">
        <v>20</v>
      </c>
      <c r="H121" t="s">
        <v>331</v>
      </c>
      <c r="I121" t="s">
        <v>333</v>
      </c>
      <c r="J121" t="s">
        <v>84</v>
      </c>
    </row>
    <row r="122" spans="1:10" x14ac:dyDescent="0.2">
      <c r="A122" t="s">
        <v>35</v>
      </c>
      <c r="B122">
        <f t="shared" ref="B122:I133" si="16">B46+B106</f>
        <v>9758.1663000000008</v>
      </c>
      <c r="C122">
        <f t="shared" si="16"/>
        <v>102318.77530000001</v>
      </c>
      <c r="D122">
        <f t="shared" si="16"/>
        <v>14659.942399999998</v>
      </c>
      <c r="E122">
        <f t="shared" si="16"/>
        <v>27073.672999999995</v>
      </c>
      <c r="F122">
        <f t="shared" si="16"/>
        <v>4425.8238000000001</v>
      </c>
      <c r="G122">
        <f t="shared" si="16"/>
        <v>6018.6</v>
      </c>
      <c r="H122">
        <f t="shared" si="16"/>
        <v>9852</v>
      </c>
      <c r="I122">
        <f t="shared" si="16"/>
        <v>-5176.1984999999995</v>
      </c>
      <c r="J122">
        <f t="shared" ref="J122:J130" si="17">SUM(B122:I122)</f>
        <v>168930.78230000002</v>
      </c>
    </row>
    <row r="123" spans="1:10" x14ac:dyDescent="0.2">
      <c r="A123" t="s">
        <v>457</v>
      </c>
      <c r="B123">
        <f t="shared" si="16"/>
        <v>8087.3647999999994</v>
      </c>
      <c r="C123">
        <f t="shared" si="16"/>
        <v>84836.716199999995</v>
      </c>
      <c r="D123">
        <f t="shared" si="16"/>
        <v>12478.697000000002</v>
      </c>
      <c r="E123">
        <f t="shared" si="16"/>
        <v>27696.813300000002</v>
      </c>
      <c r="F123">
        <f t="shared" si="16"/>
        <v>4908.9216000000006</v>
      </c>
      <c r="G123">
        <f t="shared" si="16"/>
        <v>6697.4944999999998</v>
      </c>
      <c r="H123">
        <f t="shared" si="16"/>
        <v>10771.268</v>
      </c>
      <c r="I123">
        <f t="shared" si="16"/>
        <v>-5116.2375000000002</v>
      </c>
      <c r="J123">
        <f t="shared" si="17"/>
        <v>150361.03790000002</v>
      </c>
    </row>
    <row r="124" spans="1:10" x14ac:dyDescent="0.2">
      <c r="A124" t="s">
        <v>37</v>
      </c>
      <c r="B124">
        <f t="shared" si="16"/>
        <v>7039.02</v>
      </c>
      <c r="C124">
        <f t="shared" si="16"/>
        <v>74191.739999999991</v>
      </c>
      <c r="D124">
        <f t="shared" si="16"/>
        <v>10755.301500000001</v>
      </c>
      <c r="E124">
        <f t="shared" si="16"/>
        <v>20658.134400000003</v>
      </c>
      <c r="F124">
        <f t="shared" si="16"/>
        <v>3660.7999999999997</v>
      </c>
      <c r="G124">
        <f t="shared" si="16"/>
        <v>5650.8</v>
      </c>
      <c r="H124">
        <f t="shared" si="16"/>
        <v>8957.1064000000006</v>
      </c>
      <c r="I124">
        <f t="shared" si="16"/>
        <v>-4120.3634999999995</v>
      </c>
      <c r="J124">
        <f t="shared" si="17"/>
        <v>126792.53880000001</v>
      </c>
    </row>
    <row r="125" spans="1:10" x14ac:dyDescent="0.2">
      <c r="A125" t="s">
        <v>329</v>
      </c>
      <c r="B125">
        <f t="shared" si="16"/>
        <v>7505.1770000000006</v>
      </c>
      <c r="C125">
        <f t="shared" si="16"/>
        <v>79006.618399999992</v>
      </c>
      <c r="D125">
        <f t="shared" si="16"/>
        <v>12200.224300000002</v>
      </c>
      <c r="E125">
        <f t="shared" si="16"/>
        <v>23438.037</v>
      </c>
      <c r="F125">
        <f t="shared" si="16"/>
        <v>3883</v>
      </c>
      <c r="G125">
        <f t="shared" si="16"/>
        <v>5518.5044000000007</v>
      </c>
      <c r="H125">
        <f t="shared" si="16"/>
        <v>9668.7142999999996</v>
      </c>
      <c r="I125">
        <f t="shared" si="16"/>
        <v>-4552.4268000000002</v>
      </c>
      <c r="J125">
        <f t="shared" si="17"/>
        <v>136667.8486</v>
      </c>
    </row>
    <row r="126" spans="1:10" x14ac:dyDescent="0.2">
      <c r="A126" t="s">
        <v>95</v>
      </c>
      <c r="B126">
        <f t="shared" si="16"/>
        <v>8489.6781999999985</v>
      </c>
      <c r="C126">
        <f t="shared" si="16"/>
        <v>89171.963799999998</v>
      </c>
      <c r="D126">
        <f t="shared" si="16"/>
        <v>13757.627999999999</v>
      </c>
      <c r="E126">
        <f t="shared" si="16"/>
        <v>24115.6721</v>
      </c>
      <c r="F126">
        <f t="shared" si="16"/>
        <v>4373.0300000000007</v>
      </c>
      <c r="G126">
        <f t="shared" si="16"/>
        <v>5422.7969999999996</v>
      </c>
      <c r="H126">
        <f t="shared" si="16"/>
        <v>10601.629799999999</v>
      </c>
      <c r="I126">
        <f t="shared" si="16"/>
        <v>-4974.6332000000011</v>
      </c>
      <c r="J126">
        <f t="shared" si="17"/>
        <v>150957.76569999996</v>
      </c>
    </row>
    <row r="127" spans="1:10" x14ac:dyDescent="0.2">
      <c r="A127" t="s">
        <v>40</v>
      </c>
      <c r="B127">
        <f t="shared" si="16"/>
        <v>7866.9078</v>
      </c>
      <c r="C127">
        <f t="shared" si="16"/>
        <v>82629.047399999996</v>
      </c>
      <c r="D127">
        <f t="shared" si="16"/>
        <v>12100.0383</v>
      </c>
      <c r="E127">
        <f t="shared" si="16"/>
        <v>24422.0697</v>
      </c>
      <c r="F127">
        <f t="shared" si="16"/>
        <v>4041.4168</v>
      </c>
      <c r="G127">
        <f t="shared" si="16"/>
        <v>5470.3839999999991</v>
      </c>
      <c r="H127">
        <f t="shared" si="16"/>
        <v>9318.0144999999993</v>
      </c>
      <c r="I127">
        <f t="shared" si="16"/>
        <v>-5004.7908000000007</v>
      </c>
      <c r="J127">
        <f t="shared" si="17"/>
        <v>140843.0877</v>
      </c>
    </row>
    <row r="128" spans="1:10" x14ac:dyDescent="0.2">
      <c r="A128" t="s">
        <v>41</v>
      </c>
      <c r="B128">
        <f t="shared" si="16"/>
        <v>6600.2287999999999</v>
      </c>
      <c r="C128">
        <f t="shared" si="16"/>
        <v>69458.831200000001</v>
      </c>
      <c r="D128">
        <f t="shared" si="16"/>
        <v>10219.142400000001</v>
      </c>
      <c r="E128">
        <f t="shared" si="16"/>
        <v>22416.129000000001</v>
      </c>
      <c r="F128">
        <f t="shared" si="16"/>
        <v>3586</v>
      </c>
      <c r="G128">
        <f t="shared" si="16"/>
        <v>4908.9564</v>
      </c>
      <c r="H128">
        <f t="shared" si="16"/>
        <v>8168.0000000000009</v>
      </c>
      <c r="I128">
        <f t="shared" si="16"/>
        <v>-4531.8648000000003</v>
      </c>
      <c r="J128">
        <f t="shared" si="17"/>
        <v>120825.423</v>
      </c>
    </row>
    <row r="129" spans="1:10" x14ac:dyDescent="0.2">
      <c r="A129" t="s">
        <v>42</v>
      </c>
      <c r="B129">
        <f t="shared" si="16"/>
        <v>7148.6768999999995</v>
      </c>
      <c r="C129">
        <f t="shared" si="16"/>
        <v>75033.576699999991</v>
      </c>
      <c r="D129">
        <f t="shared" si="16"/>
        <v>13207.742200000001</v>
      </c>
      <c r="E129">
        <f t="shared" si="16"/>
        <v>24609.890399999997</v>
      </c>
      <c r="F129">
        <f t="shared" si="16"/>
        <v>4082</v>
      </c>
      <c r="G129">
        <f t="shared" si="16"/>
        <v>5053.2538000000004</v>
      </c>
      <c r="H129">
        <f t="shared" si="16"/>
        <v>7236.3563999999997</v>
      </c>
      <c r="I129">
        <f t="shared" si="16"/>
        <v>-5117.1963999999998</v>
      </c>
      <c r="J129">
        <f t="shared" si="17"/>
        <v>131254.30000000002</v>
      </c>
    </row>
    <row r="130" spans="1:10" x14ac:dyDescent="0.2">
      <c r="A130" t="s">
        <v>43</v>
      </c>
      <c r="B130">
        <f t="shared" si="16"/>
        <v>6724.5822000000007</v>
      </c>
      <c r="C130">
        <f t="shared" si="16"/>
        <v>70703.137199999997</v>
      </c>
      <c r="D130">
        <f t="shared" si="16"/>
        <v>12168.077999999998</v>
      </c>
      <c r="E130">
        <f t="shared" si="16"/>
        <v>22446.93</v>
      </c>
      <c r="F130">
        <f t="shared" si="16"/>
        <v>3744</v>
      </c>
      <c r="G130">
        <f t="shared" si="16"/>
        <v>5104.5</v>
      </c>
      <c r="H130">
        <f t="shared" si="16"/>
        <v>8109.2</v>
      </c>
      <c r="I130">
        <f t="shared" si="16"/>
        <v>-4716.9228000000003</v>
      </c>
      <c r="J130">
        <f t="shared" si="17"/>
        <v>124283.5046</v>
      </c>
    </row>
    <row r="131" spans="1:10" x14ac:dyDescent="0.2">
      <c r="A131" t="s">
        <v>503</v>
      </c>
      <c r="B131">
        <f t="shared" si="16"/>
        <v>11245.0877</v>
      </c>
      <c r="C131">
        <f t="shared" si="16"/>
        <v>59465.882699999995</v>
      </c>
      <c r="D131">
        <f t="shared" si="16"/>
        <v>11189.6096</v>
      </c>
      <c r="E131">
        <f t="shared" si="16"/>
        <v>17938.721899999997</v>
      </c>
      <c r="F131">
        <f t="shared" si="16"/>
        <v>2997.8718000000003</v>
      </c>
      <c r="G131">
        <f t="shared" si="16"/>
        <v>7698.6676000000007</v>
      </c>
      <c r="H131">
        <f t="shared" si="16"/>
        <v>5587.8311999999996</v>
      </c>
      <c r="I131">
        <f t="shared" si="16"/>
        <v>-4318.3529999999992</v>
      </c>
      <c r="J131">
        <f>SUM(B131:I131)</f>
        <v>111805.31949999998</v>
      </c>
    </row>
    <row r="132" spans="1:10" x14ac:dyDescent="0.2">
      <c r="A132" t="s">
        <v>502</v>
      </c>
      <c r="B132">
        <f t="shared" si="16"/>
        <v>33900.900000000009</v>
      </c>
      <c r="C132">
        <f t="shared" si="16"/>
        <v>5602.3499999999995</v>
      </c>
      <c r="D132">
        <f t="shared" si="16"/>
        <v>19007</v>
      </c>
      <c r="E132">
        <f t="shared" si="16"/>
        <v>18825</v>
      </c>
      <c r="F132">
        <f t="shared" si="16"/>
        <v>3899</v>
      </c>
      <c r="G132">
        <f t="shared" si="16"/>
        <v>0</v>
      </c>
      <c r="H132">
        <f t="shared" si="16"/>
        <v>20270.25</v>
      </c>
      <c r="I132">
        <f t="shared" si="16"/>
        <v>-4301.0999999999995</v>
      </c>
      <c r="J132">
        <f>SUM(B132:I132)</f>
        <v>97203.4</v>
      </c>
    </row>
    <row r="133" spans="1:10" x14ac:dyDescent="0.2">
      <c r="A133" t="s">
        <v>34</v>
      </c>
      <c r="B133">
        <f t="shared" si="16"/>
        <v>30559.65</v>
      </c>
      <c r="C133">
        <f t="shared" si="16"/>
        <v>6840.2000000000007</v>
      </c>
      <c r="D133">
        <f t="shared" si="16"/>
        <v>16373.249999999998</v>
      </c>
      <c r="E133">
        <f t="shared" si="16"/>
        <v>16628.600000000002</v>
      </c>
      <c r="F133">
        <f t="shared" si="16"/>
        <v>3519</v>
      </c>
      <c r="G133">
        <f t="shared" si="16"/>
        <v>0</v>
      </c>
      <c r="H133">
        <f t="shared" si="16"/>
        <v>18276.75</v>
      </c>
      <c r="I133">
        <f t="shared" si="16"/>
        <v>-3885.2999999999997</v>
      </c>
      <c r="J133">
        <f>SUM(B133:I133)</f>
        <v>88312.150000000009</v>
      </c>
    </row>
    <row r="134" spans="1:10" x14ac:dyDescent="0.2">
      <c r="A134" t="s">
        <v>22</v>
      </c>
      <c r="B134">
        <f t="shared" ref="B134:J134" si="18">SUM(B122:B133)</f>
        <v>144925.43970000002</v>
      </c>
      <c r="C134">
        <f t="shared" si="18"/>
        <v>799258.83889999974</v>
      </c>
      <c r="D134">
        <f t="shared" si="18"/>
        <v>158116.65369999997</v>
      </c>
      <c r="E134">
        <f t="shared" si="18"/>
        <v>270269.67080000002</v>
      </c>
      <c r="F134">
        <f t="shared" si="18"/>
        <v>47120.864000000001</v>
      </c>
      <c r="G134">
        <f t="shared" si="18"/>
        <v>57543.957699999999</v>
      </c>
      <c r="H134">
        <f t="shared" si="18"/>
        <v>126817.12060000001</v>
      </c>
      <c r="I134">
        <f t="shared" si="18"/>
        <v>-55815.387300000009</v>
      </c>
      <c r="J134">
        <f t="shared" si="18"/>
        <v>1548237.1580999999</v>
      </c>
    </row>
  </sheetData>
  <phoneticPr fontId="6" type="noConversion"/>
  <pageMargins left="0.75" right="0.75" top="1" bottom="1" header="0.5" footer="0.5"/>
  <pageSetup scale="70" orientation="portrait" r:id="rId1"/>
  <headerFooter alignWithMargins="0"/>
  <rowBreaks count="2" manualBreakCount="2">
    <brk id="62" max="16383" man="1"/>
    <brk id="135"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4"/>
  <sheetViews>
    <sheetView topLeftCell="A29" zoomScaleNormal="100" workbookViewId="0">
      <selection activeCell="G59" sqref="G59"/>
    </sheetView>
  </sheetViews>
  <sheetFormatPr defaultRowHeight="15" x14ac:dyDescent="0.2"/>
  <cols>
    <col min="10" max="10" width="10.44140625" bestFit="1" customWidth="1"/>
  </cols>
  <sheetData>
    <row r="1" spans="1:5" x14ac:dyDescent="0.2">
      <c r="E1" t="s">
        <v>0</v>
      </c>
    </row>
    <row r="2" spans="1:5" x14ac:dyDescent="0.2">
      <c r="E2" t="s">
        <v>1</v>
      </c>
    </row>
    <row r="3" spans="1:5" x14ac:dyDescent="0.2">
      <c r="E3" t="s">
        <v>2</v>
      </c>
    </row>
    <row r="6" spans="1:5" x14ac:dyDescent="0.2">
      <c r="A6" t="s">
        <v>519</v>
      </c>
    </row>
    <row r="8" spans="1:5" x14ac:dyDescent="0.2">
      <c r="A8" t="s">
        <v>423</v>
      </c>
    </row>
    <row r="9" spans="1:5" x14ac:dyDescent="0.2">
      <c r="A9" t="s">
        <v>506</v>
      </c>
    </row>
    <row r="10" spans="1:5" x14ac:dyDescent="0.2">
      <c r="A10" t="s">
        <v>6</v>
      </c>
    </row>
    <row r="12" spans="1:5" x14ac:dyDescent="0.2">
      <c r="C12" t="s">
        <v>30</v>
      </c>
      <c r="D12" t="s">
        <v>31</v>
      </c>
    </row>
    <row r="13" spans="1:5" x14ac:dyDescent="0.2">
      <c r="A13" t="s">
        <v>92</v>
      </c>
      <c r="C13" t="s">
        <v>26</v>
      </c>
      <c r="D13" t="s">
        <v>32</v>
      </c>
    </row>
    <row r="15" spans="1:5" x14ac:dyDescent="0.2">
      <c r="A15" t="s">
        <v>518</v>
      </c>
      <c r="C15">
        <f>33217+17289</f>
        <v>50506</v>
      </c>
      <c r="D15">
        <f>'15th year actual'!J46</f>
        <v>87128.05</v>
      </c>
    </row>
    <row r="16" spans="1:5" x14ac:dyDescent="0.2">
      <c r="A16" t="s">
        <v>510</v>
      </c>
      <c r="C16">
        <f>33292+17246</f>
        <v>50538</v>
      </c>
      <c r="D16">
        <f>'15th year actual'!J47</f>
        <v>82515.849999999991</v>
      </c>
    </row>
    <row r="17" spans="1:9" x14ac:dyDescent="0.2">
      <c r="A17" t="s">
        <v>37</v>
      </c>
      <c r="C17">
        <f>33225+17222</f>
        <v>50447</v>
      </c>
      <c r="D17">
        <f>'15th year actual'!J48</f>
        <v>66095.75</v>
      </c>
    </row>
    <row r="18" spans="1:9" x14ac:dyDescent="0.2">
      <c r="A18" t="s">
        <v>38</v>
      </c>
      <c r="C18">
        <f>33201+17219</f>
        <v>50420</v>
      </c>
      <c r="D18">
        <f>'15th year actual'!J49</f>
        <v>78263.249999999985</v>
      </c>
    </row>
    <row r="19" spans="1:9" x14ac:dyDescent="0.2">
      <c r="A19" t="s">
        <v>95</v>
      </c>
      <c r="C19">
        <f>33516+17358</f>
        <v>50874</v>
      </c>
      <c r="D19">
        <f>'15th year actual'!J50</f>
        <v>80190.799999999988</v>
      </c>
    </row>
    <row r="20" spans="1:9" x14ac:dyDescent="0.2">
      <c r="A20" t="s">
        <v>40</v>
      </c>
      <c r="C20">
        <f>33795+17572</f>
        <v>51367</v>
      </c>
      <c r="D20">
        <f>'15th year actual'!J51</f>
        <v>76580.849999999991</v>
      </c>
    </row>
    <row r="21" spans="1:9" x14ac:dyDescent="0.2">
      <c r="A21" t="s">
        <v>41</v>
      </c>
      <c r="C21">
        <f>33929+17737</f>
        <v>51666</v>
      </c>
      <c r="D21">
        <f>'15th year actual'!J52</f>
        <v>72902.599999999991</v>
      </c>
    </row>
    <row r="22" spans="1:9" x14ac:dyDescent="0.2">
      <c r="A22" t="s">
        <v>42</v>
      </c>
      <c r="C22">
        <f>33978+17834</f>
        <v>51812</v>
      </c>
      <c r="D22">
        <f>'15th year actual'!J53</f>
        <v>83426.349999999991</v>
      </c>
    </row>
    <row r="23" spans="1:9" x14ac:dyDescent="0.2">
      <c r="A23" t="s">
        <v>43</v>
      </c>
      <c r="C23">
        <f>33984+17824</f>
        <v>51808</v>
      </c>
      <c r="D23">
        <f>'15th year actual'!J54</f>
        <v>81959.099999999991</v>
      </c>
    </row>
    <row r="24" spans="1:9" x14ac:dyDescent="0.2">
      <c r="A24" t="s">
        <v>44</v>
      </c>
      <c r="C24">
        <f>34031+17818</f>
        <v>51849</v>
      </c>
      <c r="D24">
        <f>'15th year actual'!J55</f>
        <v>82339.350000000006</v>
      </c>
    </row>
    <row r="25" spans="1:9" x14ac:dyDescent="0.2">
      <c r="A25" t="s">
        <v>72</v>
      </c>
      <c r="C25">
        <f>34169+17785</f>
        <v>51954</v>
      </c>
      <c r="D25">
        <f>'15th year actual'!J56</f>
        <v>81911.099999999991</v>
      </c>
    </row>
    <row r="26" spans="1:9" x14ac:dyDescent="0.2">
      <c r="A26" t="s">
        <v>34</v>
      </c>
      <c r="C26">
        <f>34201+17703</f>
        <v>51904</v>
      </c>
      <c r="D26">
        <f>'15th year actual'!J57</f>
        <v>70498.099999999991</v>
      </c>
    </row>
    <row r="27" spans="1:9" x14ac:dyDescent="0.2">
      <c r="A27" t="s">
        <v>96</v>
      </c>
      <c r="C27">
        <f>SUM(C14:C26)</f>
        <v>615145</v>
      </c>
      <c r="D27">
        <f>SUM(D14:D26)</f>
        <v>943811.14999999979</v>
      </c>
    </row>
    <row r="29" spans="1:9" x14ac:dyDescent="0.2">
      <c r="A29" t="s">
        <v>516</v>
      </c>
    </row>
    <row r="31" spans="1:9" x14ac:dyDescent="0.2">
      <c r="A31" t="s">
        <v>515</v>
      </c>
      <c r="I31" t="s">
        <v>6</v>
      </c>
    </row>
    <row r="33" spans="1:7" x14ac:dyDescent="0.2">
      <c r="A33" t="s">
        <v>101</v>
      </c>
      <c r="D33" t="s">
        <v>511</v>
      </c>
      <c r="E33">
        <v>2.89</v>
      </c>
    </row>
    <row r="34" spans="1:7" x14ac:dyDescent="0.2">
      <c r="A34" t="s">
        <v>499</v>
      </c>
      <c r="D34" t="s">
        <v>511</v>
      </c>
      <c r="E34">
        <v>0.15</v>
      </c>
    </row>
    <row r="35" spans="1:7" x14ac:dyDescent="0.2">
      <c r="A35" t="s">
        <v>101</v>
      </c>
      <c r="D35" t="s">
        <v>512</v>
      </c>
      <c r="E35">
        <v>2.4300000000000002</v>
      </c>
    </row>
    <row r="38" spans="1:7" x14ac:dyDescent="0.2">
      <c r="A38" t="s">
        <v>513</v>
      </c>
      <c r="G38">
        <f>(SUM(C15:C17)*(E33+E34)+SUM(C18:C26)*E35)</f>
        <v>1587211.8599999999</v>
      </c>
    </row>
    <row r="40" spans="1:7" x14ac:dyDescent="0.2">
      <c r="A40" t="s">
        <v>50</v>
      </c>
      <c r="F40">
        <f>D27</f>
        <v>943811.14999999979</v>
      </c>
    </row>
    <row r="42" spans="1:7" x14ac:dyDescent="0.2">
      <c r="A42" t="s">
        <v>350</v>
      </c>
      <c r="G42">
        <f>F40-F41</f>
        <v>943811.14999999979</v>
      </c>
    </row>
    <row r="44" spans="1:7" x14ac:dyDescent="0.2">
      <c r="A44" t="s">
        <v>351</v>
      </c>
      <c r="G44">
        <f>G42-G38</f>
        <v>-643400.71000000008</v>
      </c>
    </row>
    <row r="46" spans="1:7" x14ac:dyDescent="0.2">
      <c r="A46" t="s">
        <v>106</v>
      </c>
    </row>
    <row r="48" spans="1:7" x14ac:dyDescent="0.2">
      <c r="A48" t="s">
        <v>107</v>
      </c>
      <c r="F48">
        <f>G44</f>
        <v>-643400.71000000008</v>
      </c>
    </row>
    <row r="49" spans="1:7" x14ac:dyDescent="0.2">
      <c r="A49" t="s">
        <v>415</v>
      </c>
      <c r="F49">
        <f>SUM(C15:C26)</f>
        <v>615145</v>
      </c>
    </row>
    <row r="50" spans="1:7" x14ac:dyDescent="0.2">
      <c r="A50" t="s">
        <v>108</v>
      </c>
      <c r="F50">
        <f>F48/F49</f>
        <v>-1.0459334140731049</v>
      </c>
    </row>
    <row r="55" spans="1:7" x14ac:dyDescent="0.2">
      <c r="A55" t="s">
        <v>354</v>
      </c>
      <c r="G55" t="s">
        <v>418</v>
      </c>
    </row>
    <row r="56" spans="1:7" x14ac:dyDescent="0.2">
      <c r="A56" t="s">
        <v>416</v>
      </c>
      <c r="G56">
        <f>SUM(D15:D26)</f>
        <v>943811.14999999979</v>
      </c>
    </row>
    <row r="57" spans="1:7" x14ac:dyDescent="0.2">
      <c r="A57" t="s">
        <v>417</v>
      </c>
      <c r="G57">
        <f>SUM(C15:C26)</f>
        <v>615145</v>
      </c>
    </row>
    <row r="59" spans="1:7" x14ac:dyDescent="0.2">
      <c r="D59" t="s">
        <v>359</v>
      </c>
      <c r="G59">
        <f>G56/G57</f>
        <v>1.5342905331263357</v>
      </c>
    </row>
    <row r="60" spans="1:7" x14ac:dyDescent="0.2">
      <c r="D60" t="s">
        <v>360</v>
      </c>
      <c r="G60">
        <f>F50</f>
        <v>-1.0459334140731049</v>
      </c>
    </row>
    <row r="61" spans="1:7" x14ac:dyDescent="0.2">
      <c r="E61" t="s">
        <v>361</v>
      </c>
      <c r="G61">
        <f>G59+G60</f>
        <v>0.48835711905323076</v>
      </c>
    </row>
    <row r="65" spans="1:5" x14ac:dyDescent="0.2">
      <c r="E65" t="s">
        <v>0</v>
      </c>
    </row>
    <row r="66" spans="1:5" x14ac:dyDescent="0.2">
      <c r="E66" t="s">
        <v>1</v>
      </c>
    </row>
    <row r="67" spans="1:5" x14ac:dyDescent="0.2">
      <c r="E67" t="s">
        <v>342</v>
      </c>
    </row>
    <row r="70" spans="1:5" x14ac:dyDescent="0.2">
      <c r="A70" t="str">
        <f>A6</f>
        <v>After Fifteenth Year Commodity Adjustment</v>
      </c>
    </row>
    <row r="72" spans="1:5" x14ac:dyDescent="0.2">
      <c r="A72" t="s">
        <v>423</v>
      </c>
    </row>
    <row r="73" spans="1:5" x14ac:dyDescent="0.2">
      <c r="A73" t="s">
        <v>506</v>
      </c>
    </row>
    <row r="74" spans="1:5" x14ac:dyDescent="0.2">
      <c r="A74" t="s">
        <v>6</v>
      </c>
    </row>
    <row r="76" spans="1:5" x14ac:dyDescent="0.2">
      <c r="A76" t="s">
        <v>344</v>
      </c>
      <c r="C76" t="s">
        <v>30</v>
      </c>
      <c r="D76" t="s">
        <v>31</v>
      </c>
    </row>
    <row r="77" spans="1:5" x14ac:dyDescent="0.2">
      <c r="A77" t="s">
        <v>92</v>
      </c>
      <c r="C77" t="s">
        <v>145</v>
      </c>
      <c r="D77" t="s">
        <v>32</v>
      </c>
    </row>
    <row r="79" spans="1:5" x14ac:dyDescent="0.2">
      <c r="A79" t="s">
        <v>35</v>
      </c>
      <c r="C79">
        <f>5313+1788</f>
        <v>7101</v>
      </c>
      <c r="D79">
        <f>'15th year actual'!J106</f>
        <v>5762.1</v>
      </c>
    </row>
    <row r="80" spans="1:5" x14ac:dyDescent="0.2">
      <c r="A80" t="s">
        <v>510</v>
      </c>
      <c r="C80">
        <f>5371+1782</f>
        <v>7153</v>
      </c>
      <c r="D80">
        <f>'15th year actual'!J107</f>
        <v>5773.8</v>
      </c>
    </row>
    <row r="81" spans="1:4" x14ac:dyDescent="0.2">
      <c r="A81" t="s">
        <v>37</v>
      </c>
      <c r="C81">
        <f>5349+1763</f>
        <v>7112</v>
      </c>
      <c r="D81">
        <f>'15th year actual'!J108</f>
        <v>5100.7</v>
      </c>
    </row>
    <row r="82" spans="1:4" x14ac:dyDescent="0.2">
      <c r="A82" t="s">
        <v>38</v>
      </c>
      <c r="C82">
        <f>5052+1785</f>
        <v>6837</v>
      </c>
      <c r="D82">
        <f>'15th year actual'!J109</f>
        <v>5534.95</v>
      </c>
    </row>
    <row r="83" spans="1:4" x14ac:dyDescent="0.2">
      <c r="A83" t="s">
        <v>95</v>
      </c>
      <c r="C83">
        <f>5341+1807</f>
        <v>7148</v>
      </c>
      <c r="D83">
        <f>'15th year actual'!J110</f>
        <v>5749.3499999999995</v>
      </c>
    </row>
    <row r="84" spans="1:4" x14ac:dyDescent="0.2">
      <c r="A84" t="s">
        <v>40</v>
      </c>
      <c r="C84">
        <f>5697+1805</f>
        <v>7502</v>
      </c>
      <c r="D84">
        <f>'15th year actual'!J111</f>
        <v>5759.15</v>
      </c>
    </row>
    <row r="85" spans="1:4" x14ac:dyDescent="0.2">
      <c r="A85" t="s">
        <v>41</v>
      </c>
      <c r="C85">
        <f>5738+1815</f>
        <v>7553</v>
      </c>
      <c r="D85">
        <f>'15th year actual'!J112</f>
        <v>5438.0000000000009</v>
      </c>
    </row>
    <row r="86" spans="1:4" x14ac:dyDescent="0.2">
      <c r="A86" t="s">
        <v>42</v>
      </c>
      <c r="C86">
        <f>5680+1854</f>
        <v>7534</v>
      </c>
      <c r="D86">
        <f>'15th year actual'!J113</f>
        <v>5938.85</v>
      </c>
    </row>
    <row r="87" spans="1:4" x14ac:dyDescent="0.2">
      <c r="A87" t="s">
        <v>43</v>
      </c>
      <c r="C87">
        <f>5770+1816</f>
        <v>7586</v>
      </c>
      <c r="D87">
        <f>'15th year actual'!J114</f>
        <v>5477.85</v>
      </c>
    </row>
    <row r="88" spans="1:4" x14ac:dyDescent="0.2">
      <c r="A88" t="s">
        <v>44</v>
      </c>
      <c r="C88">
        <f>5770+1797</f>
        <v>7567</v>
      </c>
      <c r="D88">
        <f>'15th year actual'!J115</f>
        <v>5683.45</v>
      </c>
    </row>
    <row r="89" spans="1:4" x14ac:dyDescent="0.2">
      <c r="A89" t="s">
        <v>72</v>
      </c>
      <c r="C89">
        <f>5773+1790</f>
        <v>7563</v>
      </c>
      <c r="D89">
        <f>'15th year actual'!J116</f>
        <v>5926.95</v>
      </c>
    </row>
    <row r="90" spans="1:4" x14ac:dyDescent="0.2">
      <c r="A90" t="s">
        <v>34</v>
      </c>
      <c r="C90">
        <f>5694+1788</f>
        <v>7482</v>
      </c>
      <c r="D90">
        <f>'15th year actual'!J117</f>
        <v>4874.6000000000004</v>
      </c>
    </row>
    <row r="91" spans="1:4" x14ac:dyDescent="0.2">
      <c r="A91" t="s">
        <v>96</v>
      </c>
      <c r="C91">
        <f>SUM(C78:C90)</f>
        <v>88138</v>
      </c>
      <c r="D91">
        <f>SUM(D78:D90)</f>
        <v>67019.75</v>
      </c>
    </row>
    <row r="93" spans="1:4" x14ac:dyDescent="0.2">
      <c r="A93" t="s">
        <v>516</v>
      </c>
    </row>
    <row r="95" spans="1:4" x14ac:dyDescent="0.2">
      <c r="A95" t="s">
        <v>515</v>
      </c>
    </row>
    <row r="97" spans="1:8" x14ac:dyDescent="0.2">
      <c r="A97" t="s">
        <v>343</v>
      </c>
      <c r="D97" t="s">
        <v>511</v>
      </c>
      <c r="E97">
        <v>1.23</v>
      </c>
    </row>
    <row r="98" spans="1:8" x14ac:dyDescent="0.2">
      <c r="A98" t="s">
        <v>514</v>
      </c>
      <c r="D98" t="s">
        <v>511</v>
      </c>
      <c r="E98">
        <v>0.06</v>
      </c>
    </row>
    <row r="99" spans="1:8" x14ac:dyDescent="0.2">
      <c r="A99" t="s">
        <v>343</v>
      </c>
      <c r="D99" t="s">
        <v>512</v>
      </c>
      <c r="E99">
        <v>1.01</v>
      </c>
    </row>
    <row r="102" spans="1:8" x14ac:dyDescent="0.2">
      <c r="A102" t="s">
        <v>517</v>
      </c>
      <c r="G102">
        <f>(SUM(C79:C81)*(E97+E98)+SUM(C82:C90)*E99)</f>
        <v>95001.86</v>
      </c>
    </row>
    <row r="103" spans="1:8" x14ac:dyDescent="0.2">
      <c r="H103" t="s">
        <v>6</v>
      </c>
    </row>
    <row r="104" spans="1:8" x14ac:dyDescent="0.2">
      <c r="A104" t="s">
        <v>50</v>
      </c>
      <c r="F104">
        <f>D91</f>
        <v>67019.75</v>
      </c>
      <c r="H104" t="s">
        <v>6</v>
      </c>
    </row>
    <row r="106" spans="1:8" x14ac:dyDescent="0.2">
      <c r="A106" t="s">
        <v>364</v>
      </c>
      <c r="G106">
        <f>F104-F105</f>
        <v>67019.75</v>
      </c>
    </row>
    <row r="108" spans="1:8" x14ac:dyDescent="0.2">
      <c r="A108" t="s">
        <v>190</v>
      </c>
      <c r="G108">
        <f>G106-G102</f>
        <v>-27982.11</v>
      </c>
    </row>
    <row r="110" spans="1:8" x14ac:dyDescent="0.2">
      <c r="A110" t="s">
        <v>365</v>
      </c>
    </row>
    <row r="112" spans="1:8" x14ac:dyDescent="0.2">
      <c r="A112" t="s">
        <v>107</v>
      </c>
      <c r="F112">
        <f>G108</f>
        <v>-27982.11</v>
      </c>
    </row>
    <row r="113" spans="1:7" x14ac:dyDescent="0.2">
      <c r="A113" t="s">
        <v>419</v>
      </c>
      <c r="F113">
        <f>SUM(C79:C90)</f>
        <v>88138</v>
      </c>
    </row>
    <row r="114" spans="1:7" x14ac:dyDescent="0.2">
      <c r="A114" t="s">
        <v>349</v>
      </c>
      <c r="F114">
        <f>ROUND(F112/F113,2)</f>
        <v>-0.32</v>
      </c>
    </row>
    <row r="118" spans="1:7" x14ac:dyDescent="0.2">
      <c r="A118" t="s">
        <v>354</v>
      </c>
      <c r="G118" t="s">
        <v>418</v>
      </c>
    </row>
    <row r="119" spans="1:7" x14ac:dyDescent="0.2">
      <c r="A119" t="s">
        <v>416</v>
      </c>
      <c r="G119">
        <f>SUM(D79:D90)</f>
        <v>67019.75</v>
      </c>
    </row>
    <row r="120" spans="1:7" x14ac:dyDescent="0.2">
      <c r="A120" t="s">
        <v>420</v>
      </c>
      <c r="G120">
        <f>SUM(C79:C90)</f>
        <v>88138</v>
      </c>
    </row>
    <row r="122" spans="1:7" x14ac:dyDescent="0.2">
      <c r="D122" t="s">
        <v>422</v>
      </c>
      <c r="G122">
        <f>G119/G120</f>
        <v>0.76039562958088447</v>
      </c>
    </row>
    <row r="123" spans="1:7" x14ac:dyDescent="0.2">
      <c r="D123" t="s">
        <v>469</v>
      </c>
      <c r="G123">
        <f>F114</f>
        <v>-0.32</v>
      </c>
    </row>
    <row r="124" spans="1:7" x14ac:dyDescent="0.2">
      <c r="E124" t="s">
        <v>361</v>
      </c>
      <c r="G124">
        <f>SUM(G122:G123)</f>
        <v>0.44039562958088446</v>
      </c>
    </row>
  </sheetData>
  <pageMargins left="0.7" right="0.7" top="0.75" bottom="0.75" header="0.3" footer="0.3"/>
  <pageSetup scale="73" orientation="portrait" r:id="rId1"/>
  <rowBreaks count="1" manualBreakCount="1">
    <brk id="62" max="6"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134"/>
  <sheetViews>
    <sheetView workbookViewId="0">
      <selection sqref="A1:K138"/>
    </sheetView>
  </sheetViews>
  <sheetFormatPr defaultRowHeight="15" x14ac:dyDescent="0.2"/>
  <cols>
    <col min="1" max="1" width="13.88671875" customWidth="1"/>
    <col min="12" max="14" width="9.44140625" bestFit="1" customWidth="1"/>
  </cols>
  <sheetData>
    <row r="2" spans="1:10" x14ac:dyDescent="0.2">
      <c r="E2" t="s">
        <v>0</v>
      </c>
    </row>
    <row r="3" spans="1:10" x14ac:dyDescent="0.2">
      <c r="E3" t="s">
        <v>1</v>
      </c>
    </row>
    <row r="4" spans="1:10" x14ac:dyDescent="0.2">
      <c r="E4" t="s">
        <v>2</v>
      </c>
    </row>
    <row r="5" spans="1:10" x14ac:dyDescent="0.2">
      <c r="E5" t="s">
        <v>520</v>
      </c>
    </row>
    <row r="7" spans="1:10" x14ac:dyDescent="0.2">
      <c r="B7" t="s">
        <v>81</v>
      </c>
    </row>
    <row r="8" spans="1:10" x14ac:dyDescent="0.2">
      <c r="G8" t="s">
        <v>6</v>
      </c>
      <c r="H8" t="s">
        <v>330</v>
      </c>
      <c r="I8" t="s">
        <v>6</v>
      </c>
    </row>
    <row r="9" spans="1:10" x14ac:dyDescent="0.2">
      <c r="B9" t="s">
        <v>14</v>
      </c>
      <c r="C9" t="s">
        <v>15</v>
      </c>
      <c r="D9" t="s">
        <v>16</v>
      </c>
      <c r="E9" t="s">
        <v>18</v>
      </c>
      <c r="F9" t="s">
        <v>19</v>
      </c>
      <c r="G9" t="s">
        <v>20</v>
      </c>
      <c r="H9" t="s">
        <v>331</v>
      </c>
      <c r="I9" t="s">
        <v>333</v>
      </c>
      <c r="J9" t="s">
        <v>84</v>
      </c>
    </row>
    <row r="10" spans="1:10" x14ac:dyDescent="0.2">
      <c r="A10" t="s">
        <v>9</v>
      </c>
    </row>
    <row r="11" spans="1:10" x14ac:dyDescent="0.2">
      <c r="A11" t="s">
        <v>35</v>
      </c>
      <c r="B11">
        <v>575.17999999999995</v>
      </c>
      <c r="C11">
        <v>298.02</v>
      </c>
      <c r="D11">
        <v>167.78</v>
      </c>
      <c r="E11">
        <v>13.54</v>
      </c>
      <c r="F11">
        <v>35.950000000000003</v>
      </c>
      <c r="H11">
        <v>83.88</v>
      </c>
      <c r="I11">
        <v>23.97</v>
      </c>
      <c r="J11">
        <f t="shared" ref="J11:J22" si="0">SUM(B11:I11)</f>
        <v>1198.32</v>
      </c>
    </row>
    <row r="12" spans="1:10" x14ac:dyDescent="0.2">
      <c r="A12" t="s">
        <v>507</v>
      </c>
      <c r="B12">
        <v>542.52</v>
      </c>
      <c r="C12">
        <v>281.08999999999997</v>
      </c>
      <c r="D12">
        <v>158.22999999999999</v>
      </c>
      <c r="E12">
        <v>12.77</v>
      </c>
      <c r="F12">
        <v>33.9</v>
      </c>
      <c r="H12">
        <v>79.12</v>
      </c>
      <c r="I12">
        <v>22.61</v>
      </c>
      <c r="J12">
        <f t="shared" si="0"/>
        <v>1130.24</v>
      </c>
    </row>
    <row r="13" spans="1:10" x14ac:dyDescent="0.2">
      <c r="A13" t="s">
        <v>37</v>
      </c>
      <c r="B13">
        <v>428.49</v>
      </c>
      <c r="C13">
        <v>222.01</v>
      </c>
      <c r="D13">
        <v>124.98</v>
      </c>
      <c r="E13">
        <v>10.08</v>
      </c>
      <c r="F13">
        <v>26.79</v>
      </c>
      <c r="H13">
        <v>62.49</v>
      </c>
      <c r="I13">
        <v>17.850000000000001</v>
      </c>
      <c r="J13">
        <f t="shared" si="0"/>
        <v>892.69</v>
      </c>
    </row>
    <row r="14" spans="1:10" x14ac:dyDescent="0.2">
      <c r="A14" t="s">
        <v>329</v>
      </c>
      <c r="B14">
        <v>491.33</v>
      </c>
      <c r="C14">
        <v>254.57</v>
      </c>
      <c r="D14">
        <v>143.31</v>
      </c>
      <c r="E14">
        <v>11.57</v>
      </c>
      <c r="F14">
        <v>30.71</v>
      </c>
      <c r="H14">
        <v>71.650000000000006</v>
      </c>
      <c r="I14">
        <v>20.48</v>
      </c>
      <c r="J14">
        <f t="shared" si="0"/>
        <v>1023.6200000000001</v>
      </c>
    </row>
    <row r="15" spans="1:10" x14ac:dyDescent="0.2">
      <c r="A15" t="s">
        <v>95</v>
      </c>
      <c r="B15">
        <v>507.67</v>
      </c>
      <c r="C15">
        <v>263.04000000000002</v>
      </c>
      <c r="D15">
        <v>148.07</v>
      </c>
      <c r="E15">
        <v>11.95</v>
      </c>
      <c r="F15">
        <v>31.73</v>
      </c>
      <c r="H15">
        <v>74.03</v>
      </c>
      <c r="I15">
        <v>21.16</v>
      </c>
      <c r="J15">
        <f t="shared" si="0"/>
        <v>1057.6500000000001</v>
      </c>
    </row>
    <row r="16" spans="1:10" x14ac:dyDescent="0.2">
      <c r="A16" t="s">
        <v>40</v>
      </c>
      <c r="B16">
        <v>483.94</v>
      </c>
      <c r="C16">
        <v>250.74</v>
      </c>
      <c r="D16">
        <v>141.15</v>
      </c>
      <c r="E16">
        <v>11.39</v>
      </c>
      <c r="F16">
        <v>30.25</v>
      </c>
      <c r="H16">
        <v>70.58</v>
      </c>
      <c r="I16">
        <v>20.16</v>
      </c>
      <c r="J16">
        <f t="shared" si="0"/>
        <v>1008.21</v>
      </c>
    </row>
    <row r="17" spans="1:11" x14ac:dyDescent="0.2">
      <c r="A17" t="s">
        <v>41</v>
      </c>
      <c r="B17">
        <v>465.87</v>
      </c>
      <c r="C17">
        <v>241.38</v>
      </c>
      <c r="D17">
        <v>135.88</v>
      </c>
      <c r="E17">
        <v>10.97</v>
      </c>
      <c r="F17">
        <v>29.12</v>
      </c>
      <c r="H17">
        <v>67.94</v>
      </c>
      <c r="I17">
        <v>19.41</v>
      </c>
      <c r="J17">
        <f t="shared" si="0"/>
        <v>970.57</v>
      </c>
    </row>
    <row r="18" spans="1:11" x14ac:dyDescent="0.2">
      <c r="A18" t="s">
        <v>42</v>
      </c>
      <c r="B18">
        <v>533.16999999999996</v>
      </c>
      <c r="C18">
        <v>276.25</v>
      </c>
      <c r="D18">
        <v>155.5</v>
      </c>
      <c r="E18">
        <v>12.55</v>
      </c>
      <c r="F18">
        <v>33.32</v>
      </c>
      <c r="H18">
        <v>77.760000000000005</v>
      </c>
      <c r="I18">
        <v>22.22</v>
      </c>
      <c r="J18">
        <f t="shared" si="0"/>
        <v>1110.77</v>
      </c>
    </row>
    <row r="19" spans="1:11" x14ac:dyDescent="0.2">
      <c r="A19" t="s">
        <v>43</v>
      </c>
      <c r="B19">
        <v>519.99</v>
      </c>
      <c r="C19">
        <v>269.42</v>
      </c>
      <c r="D19">
        <v>151.66</v>
      </c>
      <c r="E19">
        <v>12.24</v>
      </c>
      <c r="F19">
        <v>32.5</v>
      </c>
      <c r="H19">
        <v>75.83</v>
      </c>
      <c r="I19">
        <v>21.67</v>
      </c>
      <c r="J19">
        <f t="shared" si="0"/>
        <v>1083.3100000000002</v>
      </c>
    </row>
    <row r="20" spans="1:11" x14ac:dyDescent="0.2">
      <c r="A20" t="s">
        <v>508</v>
      </c>
      <c r="B20">
        <v>527.29999999999995</v>
      </c>
      <c r="C20">
        <v>273.20999999999998</v>
      </c>
      <c r="D20">
        <v>153.80000000000001</v>
      </c>
      <c r="E20">
        <v>12.41</v>
      </c>
      <c r="F20">
        <v>32.96</v>
      </c>
      <c r="H20">
        <v>76.89</v>
      </c>
      <c r="I20">
        <v>21.97</v>
      </c>
      <c r="J20">
        <f t="shared" si="0"/>
        <v>1098.54</v>
      </c>
    </row>
    <row r="21" spans="1:11" x14ac:dyDescent="0.2">
      <c r="A21" t="s">
        <v>116</v>
      </c>
      <c r="B21">
        <v>524.5</v>
      </c>
      <c r="C21">
        <v>271.76</v>
      </c>
      <c r="D21">
        <v>152.97999999999999</v>
      </c>
      <c r="E21">
        <v>12.35</v>
      </c>
      <c r="F21">
        <v>32.78</v>
      </c>
      <c r="H21">
        <v>76.489999999999995</v>
      </c>
      <c r="I21">
        <v>21.86</v>
      </c>
      <c r="J21">
        <f t="shared" si="0"/>
        <v>1092.7199999999998</v>
      </c>
    </row>
    <row r="22" spans="1:11" x14ac:dyDescent="0.2">
      <c r="A22" t="s">
        <v>34</v>
      </c>
      <c r="B22">
        <v>478.21</v>
      </c>
      <c r="C22">
        <v>247.77</v>
      </c>
      <c r="D22">
        <v>139.47999999999999</v>
      </c>
      <c r="E22">
        <v>11.26</v>
      </c>
      <c r="F22">
        <v>29.89</v>
      </c>
      <c r="H22">
        <v>69.739999999999995</v>
      </c>
      <c r="I22">
        <v>19.93</v>
      </c>
      <c r="J22">
        <f t="shared" si="0"/>
        <v>996.28</v>
      </c>
      <c r="K22" t="s">
        <v>22</v>
      </c>
    </row>
    <row r="23" spans="1:11" x14ac:dyDescent="0.2">
      <c r="A23" t="s">
        <v>22</v>
      </c>
      <c r="B23">
        <f t="shared" ref="B23:J23" si="1">SUM(B11:B22)</f>
        <v>6078.17</v>
      </c>
      <c r="C23">
        <f t="shared" si="1"/>
        <v>3149.2599999999998</v>
      </c>
      <c r="D23">
        <f t="shared" si="1"/>
        <v>1772.82</v>
      </c>
      <c r="E23">
        <f t="shared" si="1"/>
        <v>143.07999999999998</v>
      </c>
      <c r="F23">
        <f t="shared" si="1"/>
        <v>379.9</v>
      </c>
      <c r="G23">
        <f t="shared" si="1"/>
        <v>0</v>
      </c>
      <c r="H23">
        <f t="shared" si="1"/>
        <v>886.4</v>
      </c>
      <c r="I23">
        <f t="shared" si="1"/>
        <v>253.29000000000002</v>
      </c>
      <c r="J23">
        <f t="shared" si="1"/>
        <v>12662.919999999998</v>
      </c>
      <c r="K23">
        <f>J23+J84</f>
        <v>13561.579999999998</v>
      </c>
    </row>
    <row r="25" spans="1:11" x14ac:dyDescent="0.2">
      <c r="A25" t="s">
        <v>117</v>
      </c>
      <c r="B25">
        <f>B23/$J$23</f>
        <v>0.47999750452502271</v>
      </c>
      <c r="C25">
        <f t="shared" ref="C25:I25" si="2">C23/$J$23</f>
        <v>0.24869935212415464</v>
      </c>
      <c r="D25">
        <f t="shared" si="2"/>
        <v>0.14000088447214387</v>
      </c>
      <c r="E25">
        <f t="shared" si="2"/>
        <v>1.129913163788447E-2</v>
      </c>
      <c r="F25">
        <f t="shared" si="2"/>
        <v>3.0000979237016424E-2</v>
      </c>
      <c r="G25">
        <f t="shared" si="2"/>
        <v>0</v>
      </c>
      <c r="H25">
        <f t="shared" si="2"/>
        <v>6.9999652528800638E-2</v>
      </c>
      <c r="I25">
        <f t="shared" si="2"/>
        <v>2.0002495474977341E-2</v>
      </c>
    </row>
    <row r="27" spans="1:11" x14ac:dyDescent="0.2">
      <c r="A27" t="s">
        <v>86</v>
      </c>
    </row>
    <row r="28" spans="1:11" x14ac:dyDescent="0.2">
      <c r="A28" t="s">
        <v>476</v>
      </c>
    </row>
    <row r="30" spans="1:11" x14ac:dyDescent="0.2">
      <c r="A30" t="s">
        <v>35</v>
      </c>
      <c r="B30">
        <v>55</v>
      </c>
      <c r="C30">
        <v>20</v>
      </c>
      <c r="D30">
        <v>80</v>
      </c>
      <c r="E30">
        <v>1220</v>
      </c>
      <c r="F30">
        <v>110</v>
      </c>
      <c r="H30">
        <v>225</v>
      </c>
      <c r="I30">
        <v>135</v>
      </c>
    </row>
    <row r="31" spans="1:11" x14ac:dyDescent="0.2">
      <c r="A31" t="str">
        <f>A12</f>
        <v>January 14</v>
      </c>
      <c r="B31">
        <v>55</v>
      </c>
      <c r="C31">
        <v>20</v>
      </c>
      <c r="D31">
        <v>80</v>
      </c>
      <c r="E31">
        <v>1220</v>
      </c>
      <c r="F31">
        <v>120</v>
      </c>
      <c r="H31">
        <v>225</v>
      </c>
      <c r="I31">
        <v>135</v>
      </c>
    </row>
    <row r="32" spans="1:11" x14ac:dyDescent="0.2">
      <c r="A32" t="s">
        <v>37</v>
      </c>
      <c r="B32">
        <v>55</v>
      </c>
      <c r="C32">
        <v>20</v>
      </c>
      <c r="D32">
        <v>85</v>
      </c>
      <c r="E32">
        <v>1250</v>
      </c>
      <c r="F32">
        <v>120</v>
      </c>
      <c r="H32">
        <v>225</v>
      </c>
      <c r="I32">
        <v>135</v>
      </c>
    </row>
    <row r="33" spans="1:10" x14ac:dyDescent="0.2">
      <c r="A33" t="s">
        <v>329</v>
      </c>
      <c r="B33">
        <v>55</v>
      </c>
      <c r="C33">
        <v>20</v>
      </c>
      <c r="D33">
        <v>90</v>
      </c>
      <c r="E33">
        <v>1370</v>
      </c>
      <c r="F33">
        <v>120</v>
      </c>
      <c r="H33">
        <v>230</v>
      </c>
      <c r="I33">
        <v>135</v>
      </c>
    </row>
    <row r="34" spans="1:10" x14ac:dyDescent="0.2">
      <c r="A34" t="s">
        <v>95</v>
      </c>
      <c r="B34">
        <v>55</v>
      </c>
      <c r="C34">
        <v>20</v>
      </c>
      <c r="D34">
        <v>75</v>
      </c>
      <c r="E34">
        <v>1500</v>
      </c>
      <c r="F34">
        <v>120</v>
      </c>
      <c r="H34">
        <v>230</v>
      </c>
      <c r="I34">
        <v>135</v>
      </c>
    </row>
    <row r="35" spans="1:10" x14ac:dyDescent="0.2">
      <c r="A35" t="s">
        <v>40</v>
      </c>
      <c r="B35">
        <v>55</v>
      </c>
      <c r="C35">
        <v>20</v>
      </c>
      <c r="D35">
        <v>75</v>
      </c>
      <c r="E35">
        <v>1450</v>
      </c>
      <c r="F35">
        <v>120</v>
      </c>
      <c r="H35">
        <v>240</v>
      </c>
      <c r="I35">
        <v>135</v>
      </c>
    </row>
    <row r="36" spans="1:10" x14ac:dyDescent="0.2">
      <c r="A36" t="s">
        <v>41</v>
      </c>
      <c r="B36">
        <v>55</v>
      </c>
      <c r="C36">
        <v>20</v>
      </c>
      <c r="D36">
        <v>70</v>
      </c>
      <c r="E36">
        <v>1450</v>
      </c>
      <c r="F36">
        <v>115</v>
      </c>
      <c r="H36">
        <v>240</v>
      </c>
      <c r="I36">
        <v>135</v>
      </c>
    </row>
    <row r="37" spans="1:10" x14ac:dyDescent="0.2">
      <c r="A37" t="s">
        <v>42</v>
      </c>
      <c r="B37">
        <v>55</v>
      </c>
      <c r="C37">
        <v>20</v>
      </c>
      <c r="D37">
        <v>70</v>
      </c>
      <c r="E37">
        <v>1450</v>
      </c>
      <c r="F37">
        <v>115</v>
      </c>
      <c r="H37">
        <v>240</v>
      </c>
      <c r="I37">
        <v>135</v>
      </c>
    </row>
    <row r="38" spans="1:10" x14ac:dyDescent="0.2">
      <c r="A38" t="s">
        <v>43</v>
      </c>
      <c r="B38">
        <v>55</v>
      </c>
      <c r="C38">
        <v>20</v>
      </c>
      <c r="D38">
        <v>70</v>
      </c>
      <c r="E38">
        <v>1450</v>
      </c>
      <c r="F38">
        <v>110</v>
      </c>
      <c r="H38">
        <v>250</v>
      </c>
      <c r="I38">
        <v>135</v>
      </c>
    </row>
    <row r="39" spans="1:10" x14ac:dyDescent="0.2">
      <c r="A39" t="s">
        <v>44</v>
      </c>
      <c r="B39">
        <v>55</v>
      </c>
      <c r="C39">
        <v>20</v>
      </c>
      <c r="D39">
        <v>65</v>
      </c>
      <c r="E39">
        <v>1450</v>
      </c>
      <c r="F39">
        <v>110</v>
      </c>
      <c r="H39">
        <v>250</v>
      </c>
      <c r="I39">
        <v>135</v>
      </c>
    </row>
    <row r="40" spans="1:10" x14ac:dyDescent="0.2">
      <c r="A40" t="s">
        <v>116</v>
      </c>
      <c r="B40">
        <v>55</v>
      </c>
      <c r="C40">
        <v>20</v>
      </c>
      <c r="D40">
        <v>65</v>
      </c>
      <c r="E40">
        <v>1450</v>
      </c>
      <c r="F40">
        <v>110</v>
      </c>
      <c r="H40">
        <v>250</v>
      </c>
      <c r="I40">
        <v>135</v>
      </c>
    </row>
    <row r="41" spans="1:10" x14ac:dyDescent="0.2">
      <c r="A41" t="str">
        <f>A22</f>
        <v>November</v>
      </c>
      <c r="B41">
        <v>55</v>
      </c>
      <c r="C41">
        <v>20</v>
      </c>
      <c r="D41">
        <v>60</v>
      </c>
      <c r="E41">
        <v>1450</v>
      </c>
      <c r="F41">
        <v>110</v>
      </c>
      <c r="H41">
        <v>200</v>
      </c>
      <c r="I41">
        <v>135</v>
      </c>
    </row>
    <row r="43" spans="1:10" x14ac:dyDescent="0.2">
      <c r="A43" t="s">
        <v>24</v>
      </c>
      <c r="C43" t="s">
        <v>6</v>
      </c>
      <c r="G43" t="s">
        <v>6</v>
      </c>
      <c r="H43" t="s">
        <v>330</v>
      </c>
      <c r="I43" t="s">
        <v>6</v>
      </c>
    </row>
    <row r="44" spans="1:10" x14ac:dyDescent="0.2">
      <c r="B44" t="s">
        <v>14</v>
      </c>
      <c r="C44" t="s">
        <v>15</v>
      </c>
      <c r="D44" t="s">
        <v>16</v>
      </c>
      <c r="E44" t="s">
        <v>18</v>
      </c>
      <c r="F44" t="s">
        <v>19</v>
      </c>
      <c r="G44" t="s">
        <v>20</v>
      </c>
      <c r="H44" t="s">
        <v>331</v>
      </c>
      <c r="I44" t="s">
        <v>333</v>
      </c>
      <c r="J44" t="s">
        <v>84</v>
      </c>
    </row>
    <row r="46" spans="1:10" x14ac:dyDescent="0.2">
      <c r="A46" t="s">
        <v>35</v>
      </c>
      <c r="B46">
        <f t="shared" ref="B46:H57" si="3">+B11*B30</f>
        <v>31634.899999999998</v>
      </c>
      <c r="C46">
        <f t="shared" si="3"/>
        <v>5960.4</v>
      </c>
      <c r="D46">
        <f t="shared" si="3"/>
        <v>13422.4</v>
      </c>
      <c r="E46">
        <f t="shared" si="3"/>
        <v>16518.8</v>
      </c>
      <c r="F46">
        <f t="shared" si="3"/>
        <v>3954.5000000000005</v>
      </c>
      <c r="G46">
        <f t="shared" si="3"/>
        <v>0</v>
      </c>
      <c r="H46">
        <f t="shared" si="3"/>
        <v>18873</v>
      </c>
      <c r="I46">
        <f t="shared" ref="I46:I57" si="4">+I11*-I30</f>
        <v>-3235.95</v>
      </c>
      <c r="J46">
        <f t="shared" ref="J46:J54" si="5">SUM(B46:I46)</f>
        <v>87128.05</v>
      </c>
    </row>
    <row r="47" spans="1:10" x14ac:dyDescent="0.2">
      <c r="A47" t="str">
        <f>A31</f>
        <v>January 14</v>
      </c>
      <c r="B47">
        <f t="shared" si="3"/>
        <v>29838.6</v>
      </c>
      <c r="C47">
        <f t="shared" si="3"/>
        <v>5621.7999999999993</v>
      </c>
      <c r="D47">
        <f t="shared" si="3"/>
        <v>12658.4</v>
      </c>
      <c r="E47">
        <f t="shared" si="3"/>
        <v>15579.4</v>
      </c>
      <c r="F47">
        <f t="shared" si="3"/>
        <v>4068</v>
      </c>
      <c r="G47">
        <f t="shared" si="3"/>
        <v>0</v>
      </c>
      <c r="H47">
        <f t="shared" si="3"/>
        <v>17802</v>
      </c>
      <c r="I47">
        <f t="shared" si="4"/>
        <v>-3052.35</v>
      </c>
      <c r="J47">
        <f t="shared" si="5"/>
        <v>82515.849999999991</v>
      </c>
    </row>
    <row r="48" spans="1:10" x14ac:dyDescent="0.2">
      <c r="A48" t="s">
        <v>37</v>
      </c>
      <c r="B48">
        <f t="shared" si="3"/>
        <v>23566.95</v>
      </c>
      <c r="C48">
        <f t="shared" si="3"/>
        <v>4440.2</v>
      </c>
      <c r="D48">
        <f t="shared" si="3"/>
        <v>10623.300000000001</v>
      </c>
      <c r="E48">
        <f t="shared" si="3"/>
        <v>12600</v>
      </c>
      <c r="F48">
        <f t="shared" si="3"/>
        <v>3214.7999999999997</v>
      </c>
      <c r="G48">
        <f t="shared" si="3"/>
        <v>0</v>
      </c>
      <c r="H48">
        <f t="shared" si="3"/>
        <v>14060.25</v>
      </c>
      <c r="I48">
        <f t="shared" si="4"/>
        <v>-2409.75</v>
      </c>
      <c r="J48">
        <f t="shared" si="5"/>
        <v>66095.75</v>
      </c>
    </row>
    <row r="49" spans="1:11" x14ac:dyDescent="0.2">
      <c r="A49" t="s">
        <v>329</v>
      </c>
      <c r="B49">
        <f t="shared" si="3"/>
        <v>27023.149999999998</v>
      </c>
      <c r="C49">
        <f t="shared" si="3"/>
        <v>5091.3999999999996</v>
      </c>
      <c r="D49">
        <f t="shared" si="3"/>
        <v>12897.9</v>
      </c>
      <c r="E49">
        <f t="shared" si="3"/>
        <v>15850.9</v>
      </c>
      <c r="F49">
        <f t="shared" si="3"/>
        <v>3685.2000000000003</v>
      </c>
      <c r="G49">
        <f t="shared" si="3"/>
        <v>0</v>
      </c>
      <c r="H49">
        <f t="shared" si="3"/>
        <v>16479.5</v>
      </c>
      <c r="I49">
        <f t="shared" si="4"/>
        <v>-2764.8</v>
      </c>
      <c r="J49">
        <f t="shared" si="5"/>
        <v>78263.249999999985</v>
      </c>
    </row>
    <row r="50" spans="1:11" x14ac:dyDescent="0.2">
      <c r="A50" t="s">
        <v>95</v>
      </c>
      <c r="B50">
        <f t="shared" si="3"/>
        <v>27921.850000000002</v>
      </c>
      <c r="C50">
        <f t="shared" si="3"/>
        <v>5260.8</v>
      </c>
      <c r="D50">
        <f t="shared" si="3"/>
        <v>11105.25</v>
      </c>
      <c r="E50">
        <f t="shared" si="3"/>
        <v>17925</v>
      </c>
      <c r="F50">
        <f t="shared" si="3"/>
        <v>3807.6</v>
      </c>
      <c r="G50">
        <f t="shared" si="3"/>
        <v>0</v>
      </c>
      <c r="H50">
        <f t="shared" si="3"/>
        <v>17026.900000000001</v>
      </c>
      <c r="I50">
        <f t="shared" si="4"/>
        <v>-2856.6</v>
      </c>
      <c r="J50">
        <f t="shared" si="5"/>
        <v>80190.799999999988</v>
      </c>
    </row>
    <row r="51" spans="1:11" x14ac:dyDescent="0.2">
      <c r="A51" t="s">
        <v>40</v>
      </c>
      <c r="B51">
        <f t="shared" si="3"/>
        <v>26616.7</v>
      </c>
      <c r="C51">
        <f t="shared" si="3"/>
        <v>5014.8</v>
      </c>
      <c r="D51">
        <f t="shared" si="3"/>
        <v>10586.25</v>
      </c>
      <c r="E51">
        <f t="shared" si="3"/>
        <v>16515.5</v>
      </c>
      <c r="F51">
        <f t="shared" si="3"/>
        <v>3630</v>
      </c>
      <c r="G51">
        <f t="shared" si="3"/>
        <v>0</v>
      </c>
      <c r="H51">
        <f t="shared" si="3"/>
        <v>16939.2</v>
      </c>
      <c r="I51">
        <f t="shared" si="4"/>
        <v>-2721.6</v>
      </c>
      <c r="J51">
        <f t="shared" si="5"/>
        <v>76580.849999999991</v>
      </c>
    </row>
    <row r="52" spans="1:11" x14ac:dyDescent="0.2">
      <c r="A52" t="s">
        <v>41</v>
      </c>
      <c r="B52">
        <f t="shared" si="3"/>
        <v>25622.85</v>
      </c>
      <c r="C52">
        <f t="shared" si="3"/>
        <v>4827.6000000000004</v>
      </c>
      <c r="D52">
        <f t="shared" si="3"/>
        <v>9511.6</v>
      </c>
      <c r="E52">
        <f t="shared" si="3"/>
        <v>15906.500000000002</v>
      </c>
      <c r="F52">
        <f t="shared" si="3"/>
        <v>3348.8</v>
      </c>
      <c r="G52">
        <f t="shared" si="3"/>
        <v>0</v>
      </c>
      <c r="H52">
        <f t="shared" si="3"/>
        <v>16305.599999999999</v>
      </c>
      <c r="I52">
        <f t="shared" si="4"/>
        <v>-2620.35</v>
      </c>
      <c r="J52">
        <f t="shared" si="5"/>
        <v>72902.599999999991</v>
      </c>
    </row>
    <row r="53" spans="1:11" x14ac:dyDescent="0.2">
      <c r="A53" t="s">
        <v>42</v>
      </c>
      <c r="B53">
        <f t="shared" si="3"/>
        <v>29324.35</v>
      </c>
      <c r="C53">
        <f t="shared" si="3"/>
        <v>5525</v>
      </c>
      <c r="D53">
        <f t="shared" si="3"/>
        <v>10885</v>
      </c>
      <c r="E53">
        <f t="shared" si="3"/>
        <v>18197.5</v>
      </c>
      <c r="F53">
        <f t="shared" si="3"/>
        <v>3831.8</v>
      </c>
      <c r="G53">
        <f t="shared" si="3"/>
        <v>0</v>
      </c>
      <c r="H53">
        <f t="shared" si="3"/>
        <v>18662.400000000001</v>
      </c>
      <c r="I53">
        <f t="shared" si="4"/>
        <v>-2999.7</v>
      </c>
      <c r="J53">
        <f t="shared" si="5"/>
        <v>83426.349999999991</v>
      </c>
    </row>
    <row r="54" spans="1:11" x14ac:dyDescent="0.2">
      <c r="A54" t="s">
        <v>43</v>
      </c>
      <c r="B54">
        <f t="shared" si="3"/>
        <v>28599.45</v>
      </c>
      <c r="C54">
        <f t="shared" si="3"/>
        <v>5388.4000000000005</v>
      </c>
      <c r="D54">
        <f t="shared" si="3"/>
        <v>10616.199999999999</v>
      </c>
      <c r="E54">
        <f t="shared" si="3"/>
        <v>17748</v>
      </c>
      <c r="F54">
        <f t="shared" si="3"/>
        <v>3575</v>
      </c>
      <c r="G54">
        <f t="shared" si="3"/>
        <v>0</v>
      </c>
      <c r="H54">
        <f t="shared" si="3"/>
        <v>18957.5</v>
      </c>
      <c r="I54">
        <f t="shared" si="4"/>
        <v>-2925.4500000000003</v>
      </c>
      <c r="J54">
        <f t="shared" si="5"/>
        <v>81959.099999999991</v>
      </c>
    </row>
    <row r="55" spans="1:11" x14ac:dyDescent="0.2">
      <c r="A55" t="s">
        <v>44</v>
      </c>
      <c r="B55">
        <f t="shared" si="3"/>
        <v>29001.499999999996</v>
      </c>
      <c r="C55">
        <f t="shared" si="3"/>
        <v>5464.2</v>
      </c>
      <c r="D55">
        <f t="shared" si="3"/>
        <v>9997</v>
      </c>
      <c r="E55">
        <f t="shared" si="3"/>
        <v>17994.5</v>
      </c>
      <c r="F55">
        <f t="shared" si="3"/>
        <v>3625.6</v>
      </c>
      <c r="G55">
        <f t="shared" si="3"/>
        <v>0</v>
      </c>
      <c r="H55">
        <f t="shared" si="3"/>
        <v>19222.5</v>
      </c>
      <c r="I55">
        <f t="shared" si="4"/>
        <v>-2965.95</v>
      </c>
      <c r="J55">
        <f>SUM(B55:I55)</f>
        <v>82339.350000000006</v>
      </c>
    </row>
    <row r="56" spans="1:11" x14ac:dyDescent="0.2">
      <c r="A56" t="s">
        <v>509</v>
      </c>
      <c r="B56">
        <f t="shared" si="3"/>
        <v>28847.5</v>
      </c>
      <c r="C56">
        <f t="shared" si="3"/>
        <v>5435.2</v>
      </c>
      <c r="D56">
        <f t="shared" si="3"/>
        <v>9943.6999999999989</v>
      </c>
      <c r="E56">
        <f t="shared" si="3"/>
        <v>17907.5</v>
      </c>
      <c r="F56">
        <f t="shared" si="3"/>
        <v>3605.8</v>
      </c>
      <c r="G56">
        <f t="shared" si="3"/>
        <v>0</v>
      </c>
      <c r="H56">
        <f t="shared" si="3"/>
        <v>19122.5</v>
      </c>
      <c r="I56">
        <f t="shared" si="4"/>
        <v>-2951.1</v>
      </c>
      <c r="J56">
        <f>SUM(B56:I56)</f>
        <v>81911.099999999991</v>
      </c>
    </row>
    <row r="57" spans="1:11" x14ac:dyDescent="0.2">
      <c r="A57" t="s">
        <v>34</v>
      </c>
      <c r="B57">
        <f t="shared" si="3"/>
        <v>26301.55</v>
      </c>
      <c r="C57">
        <f t="shared" si="3"/>
        <v>4955.4000000000005</v>
      </c>
      <c r="D57">
        <f t="shared" si="3"/>
        <v>8368.7999999999993</v>
      </c>
      <c r="E57">
        <f t="shared" si="3"/>
        <v>16327</v>
      </c>
      <c r="F57">
        <f t="shared" si="3"/>
        <v>3287.9</v>
      </c>
      <c r="G57">
        <f t="shared" si="3"/>
        <v>0</v>
      </c>
      <c r="H57">
        <f t="shared" si="3"/>
        <v>13947.999999999998</v>
      </c>
      <c r="I57">
        <f t="shared" si="4"/>
        <v>-2690.55</v>
      </c>
      <c r="J57">
        <f>SUM(B57:I57)</f>
        <v>70498.099999999991</v>
      </c>
    </row>
    <row r="58" spans="1:11" x14ac:dyDescent="0.2">
      <c r="A58" t="s">
        <v>88</v>
      </c>
      <c r="B58">
        <f t="shared" ref="B58:J58" si="6">SUM(B46:B57)</f>
        <v>334299.34999999998</v>
      </c>
      <c r="C58">
        <f t="shared" si="6"/>
        <v>62985.19999999999</v>
      </c>
      <c r="D58">
        <f t="shared" si="6"/>
        <v>130615.8</v>
      </c>
      <c r="E58">
        <f t="shared" si="6"/>
        <v>199070.6</v>
      </c>
      <c r="F58">
        <f t="shared" si="6"/>
        <v>43635</v>
      </c>
      <c r="G58">
        <f t="shared" si="6"/>
        <v>0</v>
      </c>
      <c r="H58">
        <f t="shared" si="6"/>
        <v>207399.34999999998</v>
      </c>
      <c r="I58">
        <f t="shared" si="6"/>
        <v>-34194.15</v>
      </c>
      <c r="J58">
        <f t="shared" si="6"/>
        <v>943811.14999999979</v>
      </c>
      <c r="K58">
        <f>J58+J118</f>
        <v>1010830.8999999998</v>
      </c>
    </row>
    <row r="60" spans="1:11" x14ac:dyDescent="0.2">
      <c r="A60" t="s">
        <v>89</v>
      </c>
    </row>
    <row r="61" spans="1:11" x14ac:dyDescent="0.2">
      <c r="J61" t="s">
        <v>6</v>
      </c>
    </row>
    <row r="62" spans="1:11" x14ac:dyDescent="0.2">
      <c r="J62" t="s">
        <v>6</v>
      </c>
    </row>
    <row r="63" spans="1:11" x14ac:dyDescent="0.2">
      <c r="F63" t="s">
        <v>0</v>
      </c>
    </row>
    <row r="64" spans="1:11" x14ac:dyDescent="0.2">
      <c r="F64" t="s">
        <v>1</v>
      </c>
    </row>
    <row r="65" spans="1:10" x14ac:dyDescent="0.2">
      <c r="F65" t="s">
        <v>378</v>
      </c>
    </row>
    <row r="66" spans="1:10" x14ac:dyDescent="0.2">
      <c r="F66" t="str">
        <f>E5</f>
        <v>After Fifteenth  Year</v>
      </c>
    </row>
    <row r="68" spans="1:10" x14ac:dyDescent="0.2">
      <c r="B68" t="s">
        <v>81</v>
      </c>
    </row>
    <row r="69" spans="1:10" x14ac:dyDescent="0.2">
      <c r="G69" t="s">
        <v>6</v>
      </c>
      <c r="H69" t="s">
        <v>330</v>
      </c>
      <c r="I69" t="s">
        <v>6</v>
      </c>
    </row>
    <row r="70" spans="1:10" x14ac:dyDescent="0.2">
      <c r="A70" t="s">
        <v>9</v>
      </c>
      <c r="B70" t="s">
        <v>14</v>
      </c>
      <c r="C70" t="s">
        <v>15</v>
      </c>
      <c r="D70" t="s">
        <v>16</v>
      </c>
      <c r="E70" t="s">
        <v>18</v>
      </c>
      <c r="F70" t="s">
        <v>19</v>
      </c>
      <c r="G70" t="s">
        <v>20</v>
      </c>
      <c r="H70" t="s">
        <v>331</v>
      </c>
      <c r="I70" t="s">
        <v>333</v>
      </c>
      <c r="J70" t="s">
        <v>84</v>
      </c>
    </row>
    <row r="72" spans="1:10" x14ac:dyDescent="0.2">
      <c r="A72" t="s">
        <v>35</v>
      </c>
      <c r="B72">
        <v>38.01</v>
      </c>
      <c r="C72">
        <v>19.690000000000001</v>
      </c>
      <c r="D72">
        <v>11.09</v>
      </c>
      <c r="E72">
        <v>0.9</v>
      </c>
      <c r="F72">
        <v>2.37</v>
      </c>
      <c r="H72">
        <v>5.54</v>
      </c>
      <c r="I72">
        <v>1.59</v>
      </c>
      <c r="J72">
        <f t="shared" ref="J72:J83" si="7">SUM(B72:I72)</f>
        <v>79.190000000000026</v>
      </c>
    </row>
    <row r="73" spans="1:10" x14ac:dyDescent="0.2">
      <c r="A73" t="s">
        <v>507</v>
      </c>
      <c r="B73">
        <v>38.01</v>
      </c>
      <c r="C73">
        <v>19.7</v>
      </c>
      <c r="D73">
        <v>11.09</v>
      </c>
      <c r="E73">
        <v>0.89</v>
      </c>
      <c r="F73">
        <v>2.37</v>
      </c>
      <c r="H73">
        <v>5.54</v>
      </c>
      <c r="I73">
        <v>1.59</v>
      </c>
      <c r="J73">
        <f t="shared" si="7"/>
        <v>79.190000000000012</v>
      </c>
    </row>
    <row r="74" spans="1:10" x14ac:dyDescent="0.2">
      <c r="A74" t="s">
        <v>37</v>
      </c>
      <c r="B74">
        <v>33.06</v>
      </c>
      <c r="C74">
        <v>17.13</v>
      </c>
      <c r="D74">
        <v>9.64</v>
      </c>
      <c r="E74">
        <v>0.78</v>
      </c>
      <c r="F74">
        <v>2.06</v>
      </c>
      <c r="H74">
        <v>4.82</v>
      </c>
      <c r="I74">
        <v>1.38</v>
      </c>
      <c r="J74">
        <f t="shared" si="7"/>
        <v>68.87</v>
      </c>
    </row>
    <row r="75" spans="1:10" x14ac:dyDescent="0.2">
      <c r="A75" t="s">
        <v>329</v>
      </c>
      <c r="B75">
        <v>34.71</v>
      </c>
      <c r="C75">
        <v>17.98</v>
      </c>
      <c r="D75">
        <v>10.119999999999999</v>
      </c>
      <c r="E75">
        <v>0.82</v>
      </c>
      <c r="F75">
        <v>2.17</v>
      </c>
      <c r="H75">
        <v>5.07</v>
      </c>
      <c r="I75">
        <v>1.44</v>
      </c>
      <c r="J75">
        <f t="shared" si="7"/>
        <v>72.31</v>
      </c>
    </row>
    <row r="76" spans="1:10" x14ac:dyDescent="0.2">
      <c r="A76" t="s">
        <v>95</v>
      </c>
      <c r="B76">
        <v>36.36</v>
      </c>
      <c r="C76">
        <v>18.850000000000001</v>
      </c>
      <c r="D76">
        <v>10.6</v>
      </c>
      <c r="E76">
        <v>0.86</v>
      </c>
      <c r="F76">
        <v>2.27</v>
      </c>
      <c r="H76">
        <v>5.3</v>
      </c>
      <c r="I76">
        <v>1.51</v>
      </c>
      <c r="J76">
        <f t="shared" si="7"/>
        <v>75.75</v>
      </c>
    </row>
    <row r="77" spans="1:10" x14ac:dyDescent="0.2">
      <c r="A77" t="s">
        <v>40</v>
      </c>
      <c r="B77">
        <v>36.36</v>
      </c>
      <c r="C77">
        <v>18.84</v>
      </c>
      <c r="D77">
        <v>10.6</v>
      </c>
      <c r="E77">
        <v>0.86</v>
      </c>
      <c r="F77">
        <v>2.27</v>
      </c>
      <c r="H77">
        <v>5.3</v>
      </c>
      <c r="I77">
        <v>1.51</v>
      </c>
      <c r="J77">
        <f t="shared" si="7"/>
        <v>75.739999999999995</v>
      </c>
    </row>
    <row r="78" spans="1:10" x14ac:dyDescent="0.2">
      <c r="A78" t="s">
        <v>41</v>
      </c>
      <c r="B78">
        <v>34.71</v>
      </c>
      <c r="C78">
        <v>17.98</v>
      </c>
      <c r="D78">
        <v>10.119999999999999</v>
      </c>
      <c r="E78">
        <v>0.82</v>
      </c>
      <c r="F78">
        <v>2.17</v>
      </c>
      <c r="H78">
        <v>5.07</v>
      </c>
      <c r="I78">
        <v>1.44</v>
      </c>
      <c r="J78">
        <f t="shared" si="7"/>
        <v>72.31</v>
      </c>
    </row>
    <row r="79" spans="1:10" x14ac:dyDescent="0.2">
      <c r="A79" t="s">
        <v>42</v>
      </c>
      <c r="B79">
        <v>38.01</v>
      </c>
      <c r="C79">
        <v>19.7</v>
      </c>
      <c r="D79">
        <v>11.09</v>
      </c>
      <c r="E79">
        <v>0.89</v>
      </c>
      <c r="F79">
        <v>2.37</v>
      </c>
      <c r="H79">
        <v>5.54</v>
      </c>
      <c r="I79">
        <v>1.59</v>
      </c>
      <c r="J79">
        <f t="shared" si="7"/>
        <v>79.190000000000012</v>
      </c>
    </row>
    <row r="80" spans="1:10" x14ac:dyDescent="0.2">
      <c r="A80" t="s">
        <v>43</v>
      </c>
      <c r="B80">
        <v>34.71</v>
      </c>
      <c r="C80">
        <v>17.98</v>
      </c>
      <c r="D80">
        <v>10.119999999999999</v>
      </c>
      <c r="E80">
        <v>0.82</v>
      </c>
      <c r="F80">
        <v>2.17</v>
      </c>
      <c r="H80">
        <v>5.07</v>
      </c>
      <c r="I80">
        <v>1.44</v>
      </c>
      <c r="J80">
        <f t="shared" si="7"/>
        <v>72.31</v>
      </c>
    </row>
    <row r="81" spans="1:11" x14ac:dyDescent="0.2">
      <c r="A81" t="s">
        <v>44</v>
      </c>
      <c r="B81">
        <v>36.36</v>
      </c>
      <c r="C81">
        <v>18.84</v>
      </c>
      <c r="D81">
        <v>10.6</v>
      </c>
      <c r="E81">
        <v>0.86</v>
      </c>
      <c r="F81">
        <v>2.27</v>
      </c>
      <c r="H81">
        <v>5.3</v>
      </c>
      <c r="I81">
        <v>1.51</v>
      </c>
      <c r="J81">
        <f t="shared" si="7"/>
        <v>75.739999999999995</v>
      </c>
    </row>
    <row r="82" spans="1:11" x14ac:dyDescent="0.2">
      <c r="A82" t="s">
        <v>509</v>
      </c>
      <c r="B82">
        <v>38.01</v>
      </c>
      <c r="C82">
        <v>19.7</v>
      </c>
      <c r="D82">
        <v>11.09</v>
      </c>
      <c r="E82">
        <v>0.89</v>
      </c>
      <c r="F82">
        <v>2.37</v>
      </c>
      <c r="H82">
        <v>5.54</v>
      </c>
      <c r="I82">
        <v>1.59</v>
      </c>
      <c r="J82">
        <f t="shared" si="7"/>
        <v>79.190000000000012</v>
      </c>
    </row>
    <row r="83" spans="1:11" x14ac:dyDescent="0.2">
      <c r="A83" t="s">
        <v>34</v>
      </c>
      <c r="B83">
        <v>33.06</v>
      </c>
      <c r="C83">
        <v>17.13</v>
      </c>
      <c r="D83">
        <v>9.64</v>
      </c>
      <c r="E83">
        <v>0.78</v>
      </c>
      <c r="F83">
        <v>2.06</v>
      </c>
      <c r="H83">
        <v>4.82</v>
      </c>
      <c r="I83">
        <v>1.38</v>
      </c>
      <c r="J83">
        <f t="shared" si="7"/>
        <v>68.87</v>
      </c>
    </row>
    <row r="84" spans="1:11" x14ac:dyDescent="0.2">
      <c r="A84" t="s">
        <v>22</v>
      </c>
      <c r="B84">
        <f t="shared" ref="B84:J84" si="8">SUM(B72:B83)</f>
        <v>431.37</v>
      </c>
      <c r="C84">
        <f t="shared" si="8"/>
        <v>223.51999999999995</v>
      </c>
      <c r="D84">
        <f t="shared" si="8"/>
        <v>125.80000000000001</v>
      </c>
      <c r="E84">
        <f t="shared" si="8"/>
        <v>10.17</v>
      </c>
      <c r="F84">
        <f t="shared" si="8"/>
        <v>26.919999999999998</v>
      </c>
      <c r="G84">
        <f t="shared" si="8"/>
        <v>0</v>
      </c>
      <c r="H84">
        <f t="shared" si="8"/>
        <v>62.91</v>
      </c>
      <c r="I84">
        <f t="shared" si="8"/>
        <v>17.97</v>
      </c>
      <c r="J84">
        <f t="shared" si="8"/>
        <v>898.6600000000002</v>
      </c>
      <c r="K84">
        <f>766.57</f>
        <v>766.57</v>
      </c>
    </row>
    <row r="86" spans="1:11" x14ac:dyDescent="0.2">
      <c r="A86" t="s">
        <v>117</v>
      </c>
      <c r="B86">
        <f>B84/$J$84</f>
        <v>0.480014688536265</v>
      </c>
      <c r="C86">
        <f t="shared" ref="C86:I86" si="9">C84/$J$84</f>
        <v>0.24872588075579186</v>
      </c>
      <c r="D86">
        <f t="shared" si="9"/>
        <v>0.13998620167805398</v>
      </c>
      <c r="E86">
        <f t="shared" si="9"/>
        <v>1.1316849531524712E-2</v>
      </c>
      <c r="F86">
        <f t="shared" si="9"/>
        <v>2.9955711837624899E-2</v>
      </c>
      <c r="H86">
        <f t="shared" si="9"/>
        <v>7.0004228518015688E-2</v>
      </c>
      <c r="I86">
        <f t="shared" si="9"/>
        <v>1.9996439142723605E-2</v>
      </c>
      <c r="J86">
        <f>SUM(B86:I86)</f>
        <v>0.99999999999999978</v>
      </c>
    </row>
    <row r="88" spans="1:11" x14ac:dyDescent="0.2">
      <c r="A88" t="s">
        <v>86</v>
      </c>
    </row>
    <row r="89" spans="1:11" x14ac:dyDescent="0.2">
      <c r="A89" t="str">
        <f>A28</f>
        <v>Stated at 100% of Market</v>
      </c>
    </row>
    <row r="90" spans="1:11" x14ac:dyDescent="0.2">
      <c r="C90">
        <f>5694+1788</f>
        <v>7482</v>
      </c>
    </row>
    <row r="91" spans="1:11" x14ac:dyDescent="0.2">
      <c r="A91" t="s">
        <v>35</v>
      </c>
      <c r="B91">
        <f t="shared" ref="B91:I102" si="10">B30</f>
        <v>55</v>
      </c>
      <c r="C91">
        <f t="shared" si="10"/>
        <v>20</v>
      </c>
      <c r="D91">
        <f t="shared" si="10"/>
        <v>80</v>
      </c>
      <c r="E91">
        <f t="shared" si="10"/>
        <v>1220</v>
      </c>
      <c r="F91">
        <f t="shared" si="10"/>
        <v>110</v>
      </c>
      <c r="G91">
        <f t="shared" si="10"/>
        <v>0</v>
      </c>
      <c r="H91">
        <f t="shared" si="10"/>
        <v>225</v>
      </c>
      <c r="I91">
        <f t="shared" si="10"/>
        <v>135</v>
      </c>
    </row>
    <row r="92" spans="1:11" x14ac:dyDescent="0.2">
      <c r="A92" t="s">
        <v>507</v>
      </c>
      <c r="B92">
        <f t="shared" si="10"/>
        <v>55</v>
      </c>
      <c r="C92">
        <f t="shared" si="10"/>
        <v>20</v>
      </c>
      <c r="D92">
        <f t="shared" si="10"/>
        <v>80</v>
      </c>
      <c r="E92">
        <f t="shared" si="10"/>
        <v>1220</v>
      </c>
      <c r="F92">
        <f t="shared" si="10"/>
        <v>120</v>
      </c>
      <c r="G92">
        <f t="shared" si="10"/>
        <v>0</v>
      </c>
      <c r="H92">
        <f t="shared" si="10"/>
        <v>225</v>
      </c>
      <c r="I92">
        <f t="shared" si="10"/>
        <v>135</v>
      </c>
    </row>
    <row r="93" spans="1:11" x14ac:dyDescent="0.2">
      <c r="A93" t="s">
        <v>37</v>
      </c>
      <c r="B93">
        <f t="shared" si="10"/>
        <v>55</v>
      </c>
      <c r="C93">
        <f t="shared" si="10"/>
        <v>20</v>
      </c>
      <c r="D93">
        <f t="shared" si="10"/>
        <v>85</v>
      </c>
      <c r="E93">
        <f t="shared" si="10"/>
        <v>1250</v>
      </c>
      <c r="F93">
        <f t="shared" si="10"/>
        <v>120</v>
      </c>
      <c r="G93">
        <f t="shared" si="10"/>
        <v>0</v>
      </c>
      <c r="H93">
        <f t="shared" si="10"/>
        <v>225</v>
      </c>
      <c r="I93">
        <f t="shared" si="10"/>
        <v>135</v>
      </c>
    </row>
    <row r="94" spans="1:11" x14ac:dyDescent="0.2">
      <c r="A94" t="s">
        <v>329</v>
      </c>
      <c r="B94">
        <f t="shared" si="10"/>
        <v>55</v>
      </c>
      <c r="C94">
        <f t="shared" si="10"/>
        <v>20</v>
      </c>
      <c r="D94">
        <f t="shared" si="10"/>
        <v>90</v>
      </c>
      <c r="E94">
        <f t="shared" si="10"/>
        <v>1370</v>
      </c>
      <c r="F94">
        <f t="shared" si="10"/>
        <v>120</v>
      </c>
      <c r="G94">
        <f t="shared" si="10"/>
        <v>0</v>
      </c>
      <c r="H94">
        <f t="shared" si="10"/>
        <v>230</v>
      </c>
      <c r="I94">
        <f t="shared" si="10"/>
        <v>135</v>
      </c>
    </row>
    <row r="95" spans="1:11" x14ac:dyDescent="0.2">
      <c r="A95" t="s">
        <v>95</v>
      </c>
      <c r="B95">
        <f t="shared" si="10"/>
        <v>55</v>
      </c>
      <c r="C95">
        <f t="shared" si="10"/>
        <v>20</v>
      </c>
      <c r="D95">
        <f t="shared" si="10"/>
        <v>75</v>
      </c>
      <c r="E95">
        <f t="shared" si="10"/>
        <v>1500</v>
      </c>
      <c r="F95">
        <f t="shared" si="10"/>
        <v>120</v>
      </c>
      <c r="G95">
        <f t="shared" si="10"/>
        <v>0</v>
      </c>
      <c r="H95">
        <f t="shared" si="10"/>
        <v>230</v>
      </c>
      <c r="I95">
        <f t="shared" si="10"/>
        <v>135</v>
      </c>
    </row>
    <row r="96" spans="1:11" x14ac:dyDescent="0.2">
      <c r="A96" t="s">
        <v>40</v>
      </c>
      <c r="B96">
        <f t="shared" si="10"/>
        <v>55</v>
      </c>
      <c r="C96">
        <f t="shared" si="10"/>
        <v>20</v>
      </c>
      <c r="D96">
        <f t="shared" si="10"/>
        <v>75</v>
      </c>
      <c r="E96">
        <f t="shared" si="10"/>
        <v>1450</v>
      </c>
      <c r="F96">
        <f t="shared" si="10"/>
        <v>120</v>
      </c>
      <c r="G96">
        <f t="shared" si="10"/>
        <v>0</v>
      </c>
      <c r="H96">
        <f t="shared" si="10"/>
        <v>240</v>
      </c>
      <c r="I96">
        <f t="shared" si="10"/>
        <v>135</v>
      </c>
    </row>
    <row r="97" spans="1:10" x14ac:dyDescent="0.2">
      <c r="A97" t="s">
        <v>41</v>
      </c>
      <c r="B97">
        <f t="shared" si="10"/>
        <v>55</v>
      </c>
      <c r="C97">
        <f t="shared" si="10"/>
        <v>20</v>
      </c>
      <c r="D97">
        <f t="shared" si="10"/>
        <v>70</v>
      </c>
      <c r="E97">
        <f t="shared" si="10"/>
        <v>1450</v>
      </c>
      <c r="F97">
        <f t="shared" si="10"/>
        <v>115</v>
      </c>
      <c r="G97">
        <f t="shared" si="10"/>
        <v>0</v>
      </c>
      <c r="H97">
        <f t="shared" si="10"/>
        <v>240</v>
      </c>
      <c r="I97">
        <f t="shared" si="10"/>
        <v>135</v>
      </c>
    </row>
    <row r="98" spans="1:10" x14ac:dyDescent="0.2">
      <c r="A98" t="s">
        <v>42</v>
      </c>
      <c r="B98">
        <f t="shared" si="10"/>
        <v>55</v>
      </c>
      <c r="C98">
        <f t="shared" si="10"/>
        <v>20</v>
      </c>
      <c r="D98">
        <f t="shared" si="10"/>
        <v>70</v>
      </c>
      <c r="E98">
        <f t="shared" si="10"/>
        <v>1450</v>
      </c>
      <c r="F98">
        <f t="shared" si="10"/>
        <v>115</v>
      </c>
      <c r="G98">
        <f t="shared" si="10"/>
        <v>0</v>
      </c>
      <c r="H98">
        <f t="shared" si="10"/>
        <v>240</v>
      </c>
      <c r="I98">
        <f t="shared" si="10"/>
        <v>135</v>
      </c>
    </row>
    <row r="99" spans="1:10" x14ac:dyDescent="0.2">
      <c r="A99" t="s">
        <v>43</v>
      </c>
      <c r="B99">
        <f t="shared" si="10"/>
        <v>55</v>
      </c>
      <c r="C99">
        <f t="shared" si="10"/>
        <v>20</v>
      </c>
      <c r="D99">
        <f t="shared" si="10"/>
        <v>70</v>
      </c>
      <c r="E99">
        <f t="shared" si="10"/>
        <v>1450</v>
      </c>
      <c r="F99">
        <f t="shared" si="10"/>
        <v>110</v>
      </c>
      <c r="G99">
        <f t="shared" si="10"/>
        <v>0</v>
      </c>
      <c r="H99">
        <f t="shared" si="10"/>
        <v>250</v>
      </c>
      <c r="I99">
        <f t="shared" si="10"/>
        <v>135</v>
      </c>
    </row>
    <row r="100" spans="1:10" x14ac:dyDescent="0.2">
      <c r="A100" t="s">
        <v>508</v>
      </c>
      <c r="B100">
        <f t="shared" si="10"/>
        <v>55</v>
      </c>
      <c r="C100">
        <f t="shared" si="10"/>
        <v>20</v>
      </c>
      <c r="D100">
        <f t="shared" si="10"/>
        <v>65</v>
      </c>
      <c r="E100">
        <f t="shared" si="10"/>
        <v>1450</v>
      </c>
      <c r="F100">
        <f t="shared" si="10"/>
        <v>110</v>
      </c>
      <c r="G100">
        <f t="shared" si="10"/>
        <v>0</v>
      </c>
      <c r="H100">
        <f t="shared" si="10"/>
        <v>250</v>
      </c>
      <c r="I100">
        <f t="shared" si="10"/>
        <v>135</v>
      </c>
    </row>
    <row r="101" spans="1:10" x14ac:dyDescent="0.2">
      <c r="A101" t="s">
        <v>509</v>
      </c>
      <c r="B101">
        <f t="shared" si="10"/>
        <v>55</v>
      </c>
      <c r="C101">
        <f t="shared" si="10"/>
        <v>20</v>
      </c>
      <c r="D101">
        <f t="shared" si="10"/>
        <v>65</v>
      </c>
      <c r="E101">
        <f t="shared" si="10"/>
        <v>1450</v>
      </c>
      <c r="F101">
        <f t="shared" si="10"/>
        <v>110</v>
      </c>
      <c r="G101">
        <f t="shared" si="10"/>
        <v>0</v>
      </c>
      <c r="H101">
        <f t="shared" si="10"/>
        <v>250</v>
      </c>
      <c r="I101">
        <f t="shared" si="10"/>
        <v>135</v>
      </c>
    </row>
    <row r="102" spans="1:10" x14ac:dyDescent="0.2">
      <c r="A102" t="s">
        <v>34</v>
      </c>
      <c r="B102">
        <f t="shared" si="10"/>
        <v>55</v>
      </c>
      <c r="C102">
        <f t="shared" si="10"/>
        <v>20</v>
      </c>
      <c r="D102">
        <f t="shared" si="10"/>
        <v>60</v>
      </c>
      <c r="E102">
        <f t="shared" si="10"/>
        <v>1450</v>
      </c>
      <c r="F102">
        <f t="shared" si="10"/>
        <v>110</v>
      </c>
      <c r="G102">
        <f t="shared" si="10"/>
        <v>0</v>
      </c>
      <c r="H102">
        <f t="shared" si="10"/>
        <v>200</v>
      </c>
      <c r="I102">
        <f t="shared" si="10"/>
        <v>135</v>
      </c>
    </row>
    <row r="104" spans="1:10" x14ac:dyDescent="0.2">
      <c r="A104" t="s">
        <v>24</v>
      </c>
      <c r="B104" t="s">
        <v>14</v>
      </c>
      <c r="C104" t="s">
        <v>15</v>
      </c>
      <c r="D104" t="s">
        <v>16</v>
      </c>
      <c r="E104" t="s">
        <v>18</v>
      </c>
      <c r="F104" t="s">
        <v>19</v>
      </c>
      <c r="G104" t="s">
        <v>20</v>
      </c>
      <c r="H104" t="s">
        <v>331</v>
      </c>
      <c r="I104" t="s">
        <v>333</v>
      </c>
      <c r="J104" t="s">
        <v>84</v>
      </c>
    </row>
    <row r="106" spans="1:10" x14ac:dyDescent="0.2">
      <c r="A106" t="s">
        <v>35</v>
      </c>
      <c r="B106">
        <f t="shared" ref="B106:H117" si="11">B72*B91</f>
        <v>2090.5499999999997</v>
      </c>
      <c r="C106">
        <f t="shared" si="11"/>
        <v>393.8</v>
      </c>
      <c r="D106">
        <f t="shared" si="11"/>
        <v>887.2</v>
      </c>
      <c r="E106">
        <f t="shared" si="11"/>
        <v>1098</v>
      </c>
      <c r="F106">
        <f t="shared" si="11"/>
        <v>260.7</v>
      </c>
      <c r="G106">
        <f t="shared" si="11"/>
        <v>0</v>
      </c>
      <c r="H106">
        <f t="shared" si="11"/>
        <v>1246.5</v>
      </c>
      <c r="I106">
        <f t="shared" ref="I106:I117" si="12">I72*-I91</f>
        <v>-214.65</v>
      </c>
      <c r="J106">
        <f t="shared" ref="J106:J114" si="13">SUM(B106:I106)</f>
        <v>5762.1</v>
      </c>
    </row>
    <row r="107" spans="1:10" x14ac:dyDescent="0.2">
      <c r="A107" t="s">
        <v>507</v>
      </c>
      <c r="B107">
        <f t="shared" si="11"/>
        <v>2090.5499999999997</v>
      </c>
      <c r="C107">
        <f t="shared" si="11"/>
        <v>394</v>
      </c>
      <c r="D107">
        <f t="shared" si="11"/>
        <v>887.2</v>
      </c>
      <c r="E107">
        <f t="shared" si="11"/>
        <v>1085.8</v>
      </c>
      <c r="F107">
        <f t="shared" si="11"/>
        <v>284.40000000000003</v>
      </c>
      <c r="G107">
        <f t="shared" si="11"/>
        <v>0</v>
      </c>
      <c r="H107">
        <f t="shared" si="11"/>
        <v>1246.5</v>
      </c>
      <c r="I107">
        <f t="shared" si="12"/>
        <v>-214.65</v>
      </c>
      <c r="J107">
        <f t="shared" si="13"/>
        <v>5773.8</v>
      </c>
    </row>
    <row r="108" spans="1:10" x14ac:dyDescent="0.2">
      <c r="A108" t="s">
        <v>37</v>
      </c>
      <c r="B108">
        <f t="shared" si="11"/>
        <v>1818.3000000000002</v>
      </c>
      <c r="C108">
        <f t="shared" si="11"/>
        <v>342.59999999999997</v>
      </c>
      <c r="D108">
        <f t="shared" si="11"/>
        <v>819.40000000000009</v>
      </c>
      <c r="E108">
        <f t="shared" si="11"/>
        <v>975</v>
      </c>
      <c r="F108">
        <f t="shared" si="11"/>
        <v>247.20000000000002</v>
      </c>
      <c r="G108">
        <f t="shared" si="11"/>
        <v>0</v>
      </c>
      <c r="H108">
        <f t="shared" si="11"/>
        <v>1084.5</v>
      </c>
      <c r="I108">
        <f t="shared" si="12"/>
        <v>-186.29999999999998</v>
      </c>
      <c r="J108">
        <f t="shared" si="13"/>
        <v>5100.7</v>
      </c>
    </row>
    <row r="109" spans="1:10" x14ac:dyDescent="0.2">
      <c r="A109" t="s">
        <v>329</v>
      </c>
      <c r="B109">
        <f t="shared" si="11"/>
        <v>1909.05</v>
      </c>
      <c r="C109">
        <f t="shared" si="11"/>
        <v>359.6</v>
      </c>
      <c r="D109">
        <f t="shared" si="11"/>
        <v>910.8</v>
      </c>
      <c r="E109">
        <f t="shared" si="11"/>
        <v>1123.3999999999999</v>
      </c>
      <c r="F109">
        <f t="shared" si="11"/>
        <v>260.39999999999998</v>
      </c>
      <c r="G109">
        <f t="shared" si="11"/>
        <v>0</v>
      </c>
      <c r="H109">
        <f t="shared" si="11"/>
        <v>1166.1000000000001</v>
      </c>
      <c r="I109">
        <f t="shared" si="12"/>
        <v>-194.4</v>
      </c>
      <c r="J109">
        <f t="shared" si="13"/>
        <v>5534.95</v>
      </c>
    </row>
    <row r="110" spans="1:10" x14ac:dyDescent="0.2">
      <c r="A110" t="s">
        <v>95</v>
      </c>
      <c r="B110">
        <f t="shared" si="11"/>
        <v>1999.8</v>
      </c>
      <c r="C110">
        <f t="shared" si="11"/>
        <v>377</v>
      </c>
      <c r="D110">
        <f t="shared" si="11"/>
        <v>795</v>
      </c>
      <c r="E110">
        <f t="shared" si="11"/>
        <v>1290</v>
      </c>
      <c r="F110">
        <f t="shared" si="11"/>
        <v>272.39999999999998</v>
      </c>
      <c r="G110">
        <f t="shared" si="11"/>
        <v>0</v>
      </c>
      <c r="H110">
        <f t="shared" si="11"/>
        <v>1219</v>
      </c>
      <c r="I110">
        <f t="shared" si="12"/>
        <v>-203.85</v>
      </c>
      <c r="J110">
        <f t="shared" si="13"/>
        <v>5749.3499999999995</v>
      </c>
    </row>
    <row r="111" spans="1:10" x14ac:dyDescent="0.2">
      <c r="A111" t="s">
        <v>40</v>
      </c>
      <c r="B111">
        <f t="shared" si="11"/>
        <v>1999.8</v>
      </c>
      <c r="C111">
        <f t="shared" si="11"/>
        <v>376.8</v>
      </c>
      <c r="D111">
        <f t="shared" si="11"/>
        <v>795</v>
      </c>
      <c r="E111">
        <f t="shared" si="11"/>
        <v>1247</v>
      </c>
      <c r="F111">
        <f t="shared" si="11"/>
        <v>272.39999999999998</v>
      </c>
      <c r="G111">
        <f t="shared" si="11"/>
        <v>0</v>
      </c>
      <c r="H111">
        <f t="shared" si="11"/>
        <v>1272</v>
      </c>
      <c r="I111">
        <f t="shared" si="12"/>
        <v>-203.85</v>
      </c>
      <c r="J111">
        <f t="shared" si="13"/>
        <v>5759.15</v>
      </c>
    </row>
    <row r="112" spans="1:10" x14ac:dyDescent="0.2">
      <c r="A112" t="s">
        <v>41</v>
      </c>
      <c r="B112">
        <f t="shared" si="11"/>
        <v>1909.05</v>
      </c>
      <c r="C112">
        <f t="shared" si="11"/>
        <v>359.6</v>
      </c>
      <c r="D112">
        <f t="shared" si="11"/>
        <v>708.4</v>
      </c>
      <c r="E112">
        <f t="shared" si="11"/>
        <v>1189</v>
      </c>
      <c r="F112">
        <f t="shared" si="11"/>
        <v>249.54999999999998</v>
      </c>
      <c r="G112">
        <f t="shared" si="11"/>
        <v>0</v>
      </c>
      <c r="H112">
        <f t="shared" si="11"/>
        <v>1216.8000000000002</v>
      </c>
      <c r="I112">
        <f t="shared" si="12"/>
        <v>-194.4</v>
      </c>
      <c r="J112">
        <f t="shared" si="13"/>
        <v>5438.0000000000009</v>
      </c>
    </row>
    <row r="113" spans="1:10" x14ac:dyDescent="0.2">
      <c r="A113" t="s">
        <v>42</v>
      </c>
      <c r="B113">
        <f t="shared" si="11"/>
        <v>2090.5499999999997</v>
      </c>
      <c r="C113">
        <f t="shared" si="11"/>
        <v>394</v>
      </c>
      <c r="D113">
        <f t="shared" si="11"/>
        <v>776.3</v>
      </c>
      <c r="E113">
        <f t="shared" si="11"/>
        <v>1290.5</v>
      </c>
      <c r="F113">
        <f t="shared" si="11"/>
        <v>272.55</v>
      </c>
      <c r="G113">
        <f t="shared" si="11"/>
        <v>0</v>
      </c>
      <c r="H113">
        <f t="shared" si="11"/>
        <v>1329.6</v>
      </c>
      <c r="I113">
        <f t="shared" si="12"/>
        <v>-214.65</v>
      </c>
      <c r="J113">
        <f t="shared" si="13"/>
        <v>5938.85</v>
      </c>
    </row>
    <row r="114" spans="1:10" x14ac:dyDescent="0.2">
      <c r="A114" t="s">
        <v>43</v>
      </c>
      <c r="B114">
        <f t="shared" si="11"/>
        <v>1909.05</v>
      </c>
      <c r="C114">
        <f t="shared" si="11"/>
        <v>359.6</v>
      </c>
      <c r="D114">
        <f t="shared" si="11"/>
        <v>708.4</v>
      </c>
      <c r="E114">
        <f t="shared" si="11"/>
        <v>1189</v>
      </c>
      <c r="F114">
        <f t="shared" si="11"/>
        <v>238.7</v>
      </c>
      <c r="G114">
        <f t="shared" si="11"/>
        <v>0</v>
      </c>
      <c r="H114">
        <f t="shared" si="11"/>
        <v>1267.5</v>
      </c>
      <c r="I114">
        <f t="shared" si="12"/>
        <v>-194.4</v>
      </c>
      <c r="J114">
        <f t="shared" si="13"/>
        <v>5477.85</v>
      </c>
    </row>
    <row r="115" spans="1:10" x14ac:dyDescent="0.2">
      <c r="A115" t="s">
        <v>44</v>
      </c>
      <c r="B115">
        <f t="shared" si="11"/>
        <v>1999.8</v>
      </c>
      <c r="C115">
        <f t="shared" si="11"/>
        <v>376.8</v>
      </c>
      <c r="D115">
        <f t="shared" si="11"/>
        <v>689</v>
      </c>
      <c r="E115">
        <f t="shared" si="11"/>
        <v>1247</v>
      </c>
      <c r="F115">
        <f t="shared" si="11"/>
        <v>249.7</v>
      </c>
      <c r="G115">
        <f t="shared" si="11"/>
        <v>0</v>
      </c>
      <c r="H115">
        <f t="shared" si="11"/>
        <v>1325</v>
      </c>
      <c r="I115">
        <f t="shared" si="12"/>
        <v>-203.85</v>
      </c>
      <c r="J115">
        <f>SUM(B115:I115)</f>
        <v>5683.45</v>
      </c>
    </row>
    <row r="116" spans="1:10" x14ac:dyDescent="0.2">
      <c r="A116" t="s">
        <v>116</v>
      </c>
      <c r="B116">
        <f t="shared" si="11"/>
        <v>2090.5499999999997</v>
      </c>
      <c r="C116">
        <f t="shared" si="11"/>
        <v>394</v>
      </c>
      <c r="D116">
        <f t="shared" si="11"/>
        <v>720.85</v>
      </c>
      <c r="E116">
        <f t="shared" si="11"/>
        <v>1290.5</v>
      </c>
      <c r="F116">
        <f t="shared" si="11"/>
        <v>260.7</v>
      </c>
      <c r="G116">
        <f t="shared" si="11"/>
        <v>0</v>
      </c>
      <c r="H116">
        <f t="shared" si="11"/>
        <v>1385</v>
      </c>
      <c r="I116">
        <f t="shared" si="12"/>
        <v>-214.65</v>
      </c>
      <c r="J116">
        <f>SUM(B116:I116)</f>
        <v>5926.95</v>
      </c>
    </row>
    <row r="117" spans="1:10" x14ac:dyDescent="0.2">
      <c r="A117" t="s">
        <v>34</v>
      </c>
      <c r="B117">
        <f t="shared" si="11"/>
        <v>1818.3000000000002</v>
      </c>
      <c r="C117">
        <f t="shared" si="11"/>
        <v>342.59999999999997</v>
      </c>
      <c r="D117">
        <f t="shared" si="11"/>
        <v>578.40000000000009</v>
      </c>
      <c r="E117">
        <f t="shared" si="11"/>
        <v>1131</v>
      </c>
      <c r="F117">
        <f t="shared" si="11"/>
        <v>226.6</v>
      </c>
      <c r="G117">
        <f t="shared" si="11"/>
        <v>0</v>
      </c>
      <c r="H117">
        <f t="shared" si="11"/>
        <v>964</v>
      </c>
      <c r="I117">
        <f t="shared" si="12"/>
        <v>-186.29999999999998</v>
      </c>
      <c r="J117">
        <f>SUM(B117:I117)</f>
        <v>4874.6000000000004</v>
      </c>
    </row>
    <row r="118" spans="1:10" x14ac:dyDescent="0.2">
      <c r="A118" t="s">
        <v>88</v>
      </c>
      <c r="B118">
        <f t="shared" ref="B118:J118" si="14">SUM(B106:B117)</f>
        <v>23725.349999999995</v>
      </c>
      <c r="C118">
        <f t="shared" si="14"/>
        <v>4470.4000000000005</v>
      </c>
      <c r="D118">
        <f t="shared" si="14"/>
        <v>9275.9499999999989</v>
      </c>
      <c r="E118">
        <f t="shared" si="14"/>
        <v>14156.2</v>
      </c>
      <c r="F118">
        <f t="shared" si="14"/>
        <v>3095.2999999999993</v>
      </c>
      <c r="G118">
        <f t="shared" si="14"/>
        <v>0</v>
      </c>
      <c r="H118">
        <f t="shared" si="14"/>
        <v>14722.500000000002</v>
      </c>
      <c r="I118">
        <f t="shared" si="14"/>
        <v>-2425.9500000000003</v>
      </c>
      <c r="J118">
        <f t="shared" si="14"/>
        <v>67019.75</v>
      </c>
    </row>
    <row r="120" spans="1:10" x14ac:dyDescent="0.2">
      <c r="A120" t="s">
        <v>467</v>
      </c>
    </row>
    <row r="121" spans="1:10" x14ac:dyDescent="0.2">
      <c r="A121" t="s">
        <v>468</v>
      </c>
      <c r="B121" t="s">
        <v>14</v>
      </c>
      <c r="C121" t="s">
        <v>15</v>
      </c>
      <c r="D121" t="s">
        <v>16</v>
      </c>
      <c r="E121" t="s">
        <v>18</v>
      </c>
      <c r="F121" t="s">
        <v>19</v>
      </c>
      <c r="G121" t="s">
        <v>20</v>
      </c>
      <c r="H121" t="s">
        <v>331</v>
      </c>
      <c r="I121" t="s">
        <v>333</v>
      </c>
      <c r="J121" t="s">
        <v>84</v>
      </c>
    </row>
    <row r="122" spans="1:10" x14ac:dyDescent="0.2">
      <c r="A122" t="s">
        <v>35</v>
      </c>
      <c r="B122">
        <f t="shared" ref="B122:I133" si="15">B46+B106</f>
        <v>33725.449999999997</v>
      </c>
      <c r="C122">
        <f t="shared" si="15"/>
        <v>6354.2</v>
      </c>
      <c r="D122">
        <f t="shared" si="15"/>
        <v>14309.6</v>
      </c>
      <c r="E122">
        <f t="shared" si="15"/>
        <v>17616.8</v>
      </c>
      <c r="F122">
        <f t="shared" si="15"/>
        <v>4215.2000000000007</v>
      </c>
      <c r="G122">
        <f t="shared" si="15"/>
        <v>0</v>
      </c>
      <c r="H122">
        <f t="shared" si="15"/>
        <v>20119.5</v>
      </c>
      <c r="I122">
        <f t="shared" si="15"/>
        <v>-3450.6</v>
      </c>
      <c r="J122">
        <f t="shared" ref="J122:J130" si="16">SUM(B122:I122)</f>
        <v>92890.14999999998</v>
      </c>
    </row>
    <row r="123" spans="1:10" x14ac:dyDescent="0.2">
      <c r="A123" t="s">
        <v>507</v>
      </c>
      <c r="B123">
        <f t="shared" si="15"/>
        <v>31929.149999999998</v>
      </c>
      <c r="C123">
        <f t="shared" si="15"/>
        <v>6015.7999999999993</v>
      </c>
      <c r="D123">
        <f t="shared" si="15"/>
        <v>13545.6</v>
      </c>
      <c r="E123">
        <f t="shared" si="15"/>
        <v>16665.2</v>
      </c>
      <c r="F123">
        <f t="shared" si="15"/>
        <v>4352.3999999999996</v>
      </c>
      <c r="G123">
        <f t="shared" si="15"/>
        <v>0</v>
      </c>
      <c r="H123">
        <f t="shared" si="15"/>
        <v>19048.5</v>
      </c>
      <c r="I123">
        <f t="shared" si="15"/>
        <v>-3267</v>
      </c>
      <c r="J123">
        <f t="shared" si="16"/>
        <v>88289.65</v>
      </c>
    </row>
    <row r="124" spans="1:10" x14ac:dyDescent="0.2">
      <c r="A124" t="s">
        <v>37</v>
      </c>
      <c r="B124">
        <f t="shared" si="15"/>
        <v>25385.25</v>
      </c>
      <c r="C124">
        <f t="shared" si="15"/>
        <v>4782.8</v>
      </c>
      <c r="D124">
        <f t="shared" si="15"/>
        <v>11442.7</v>
      </c>
      <c r="E124">
        <f t="shared" si="15"/>
        <v>13575</v>
      </c>
      <c r="F124">
        <f t="shared" si="15"/>
        <v>3461.9999999999995</v>
      </c>
      <c r="G124">
        <f t="shared" si="15"/>
        <v>0</v>
      </c>
      <c r="H124">
        <f t="shared" si="15"/>
        <v>15144.75</v>
      </c>
      <c r="I124">
        <f t="shared" si="15"/>
        <v>-2596.0500000000002</v>
      </c>
      <c r="J124">
        <f t="shared" si="16"/>
        <v>71196.45</v>
      </c>
    </row>
    <row r="125" spans="1:10" x14ac:dyDescent="0.2">
      <c r="A125" t="s">
        <v>329</v>
      </c>
      <c r="B125">
        <f t="shared" si="15"/>
        <v>28932.199999999997</v>
      </c>
      <c r="C125">
        <f t="shared" si="15"/>
        <v>5451</v>
      </c>
      <c r="D125">
        <f t="shared" si="15"/>
        <v>13808.699999999999</v>
      </c>
      <c r="E125">
        <f t="shared" si="15"/>
        <v>16974.3</v>
      </c>
      <c r="F125">
        <f t="shared" si="15"/>
        <v>3945.6000000000004</v>
      </c>
      <c r="G125">
        <f t="shared" si="15"/>
        <v>0</v>
      </c>
      <c r="H125">
        <f t="shared" si="15"/>
        <v>17645.599999999999</v>
      </c>
      <c r="I125">
        <f t="shared" si="15"/>
        <v>-2959.2000000000003</v>
      </c>
      <c r="J125">
        <f t="shared" si="16"/>
        <v>83798.2</v>
      </c>
    </row>
    <row r="126" spans="1:10" x14ac:dyDescent="0.2">
      <c r="A126" t="s">
        <v>95</v>
      </c>
      <c r="B126">
        <f t="shared" si="15"/>
        <v>29921.65</v>
      </c>
      <c r="C126">
        <f t="shared" si="15"/>
        <v>5637.8</v>
      </c>
      <c r="D126">
        <f t="shared" si="15"/>
        <v>11900.25</v>
      </c>
      <c r="E126">
        <f t="shared" si="15"/>
        <v>19215</v>
      </c>
      <c r="F126">
        <f t="shared" si="15"/>
        <v>4080</v>
      </c>
      <c r="G126">
        <f t="shared" si="15"/>
        <v>0</v>
      </c>
      <c r="H126">
        <f t="shared" si="15"/>
        <v>18245.900000000001</v>
      </c>
      <c r="I126">
        <f t="shared" si="15"/>
        <v>-3060.45</v>
      </c>
      <c r="J126">
        <f t="shared" si="16"/>
        <v>85940.150000000009</v>
      </c>
    </row>
    <row r="127" spans="1:10" x14ac:dyDescent="0.2">
      <c r="A127" t="s">
        <v>40</v>
      </c>
      <c r="B127">
        <f t="shared" si="15"/>
        <v>28616.5</v>
      </c>
      <c r="C127">
        <f t="shared" si="15"/>
        <v>5391.6</v>
      </c>
      <c r="D127">
        <f t="shared" si="15"/>
        <v>11381.25</v>
      </c>
      <c r="E127">
        <f t="shared" si="15"/>
        <v>17762.5</v>
      </c>
      <c r="F127">
        <f t="shared" si="15"/>
        <v>3902.4</v>
      </c>
      <c r="G127">
        <f t="shared" si="15"/>
        <v>0</v>
      </c>
      <c r="H127">
        <f t="shared" si="15"/>
        <v>18211.2</v>
      </c>
      <c r="I127">
        <f t="shared" si="15"/>
        <v>-2925.45</v>
      </c>
      <c r="J127">
        <f t="shared" si="16"/>
        <v>82340</v>
      </c>
    </row>
    <row r="128" spans="1:10" x14ac:dyDescent="0.2">
      <c r="A128" t="s">
        <v>41</v>
      </c>
      <c r="B128">
        <f t="shared" si="15"/>
        <v>27531.899999999998</v>
      </c>
      <c r="C128">
        <f t="shared" si="15"/>
        <v>5187.2000000000007</v>
      </c>
      <c r="D128">
        <f t="shared" si="15"/>
        <v>10220</v>
      </c>
      <c r="E128">
        <f t="shared" si="15"/>
        <v>17095.5</v>
      </c>
      <c r="F128">
        <f t="shared" si="15"/>
        <v>3598.3500000000004</v>
      </c>
      <c r="G128">
        <f t="shared" si="15"/>
        <v>0</v>
      </c>
      <c r="H128">
        <f t="shared" si="15"/>
        <v>17522.399999999998</v>
      </c>
      <c r="I128">
        <f t="shared" si="15"/>
        <v>-2814.75</v>
      </c>
      <c r="J128">
        <f t="shared" si="16"/>
        <v>78340.599999999991</v>
      </c>
    </row>
    <row r="129" spans="1:10" x14ac:dyDescent="0.2">
      <c r="A129" t="s">
        <v>42</v>
      </c>
      <c r="B129">
        <f t="shared" si="15"/>
        <v>31414.899999999998</v>
      </c>
      <c r="C129">
        <f t="shared" si="15"/>
        <v>5919</v>
      </c>
      <c r="D129">
        <f t="shared" si="15"/>
        <v>11661.3</v>
      </c>
      <c r="E129">
        <f t="shared" si="15"/>
        <v>19488</v>
      </c>
      <c r="F129">
        <f t="shared" si="15"/>
        <v>4104.3500000000004</v>
      </c>
      <c r="G129">
        <f t="shared" si="15"/>
        <v>0</v>
      </c>
      <c r="H129">
        <f t="shared" si="15"/>
        <v>19992</v>
      </c>
      <c r="I129">
        <f t="shared" si="15"/>
        <v>-3214.35</v>
      </c>
      <c r="J129">
        <f t="shared" si="16"/>
        <v>89365.2</v>
      </c>
    </row>
    <row r="130" spans="1:10" x14ac:dyDescent="0.2">
      <c r="A130" t="s">
        <v>43</v>
      </c>
      <c r="B130">
        <f t="shared" si="15"/>
        <v>30508.5</v>
      </c>
      <c r="C130">
        <f t="shared" si="15"/>
        <v>5748.0000000000009</v>
      </c>
      <c r="D130">
        <f t="shared" si="15"/>
        <v>11324.599999999999</v>
      </c>
      <c r="E130">
        <f t="shared" si="15"/>
        <v>18937</v>
      </c>
      <c r="F130">
        <f t="shared" si="15"/>
        <v>3813.7</v>
      </c>
      <c r="G130">
        <f t="shared" si="15"/>
        <v>0</v>
      </c>
      <c r="H130">
        <f t="shared" si="15"/>
        <v>20225</v>
      </c>
      <c r="I130">
        <f t="shared" si="15"/>
        <v>-3119.8500000000004</v>
      </c>
      <c r="J130">
        <f t="shared" si="16"/>
        <v>87436.95</v>
      </c>
    </row>
    <row r="131" spans="1:10" x14ac:dyDescent="0.2">
      <c r="A131" t="s">
        <v>508</v>
      </c>
      <c r="B131">
        <f t="shared" si="15"/>
        <v>31001.299999999996</v>
      </c>
      <c r="C131">
        <f t="shared" si="15"/>
        <v>5841</v>
      </c>
      <c r="D131">
        <f t="shared" si="15"/>
        <v>10686</v>
      </c>
      <c r="E131">
        <f t="shared" si="15"/>
        <v>19241.5</v>
      </c>
      <c r="F131">
        <f t="shared" si="15"/>
        <v>3875.2999999999997</v>
      </c>
      <c r="G131">
        <f t="shared" si="15"/>
        <v>0</v>
      </c>
      <c r="H131">
        <f t="shared" si="15"/>
        <v>20547.5</v>
      </c>
      <c r="I131">
        <f t="shared" si="15"/>
        <v>-3169.7999999999997</v>
      </c>
      <c r="J131">
        <f>SUM(B131:I131)</f>
        <v>88022.799999999988</v>
      </c>
    </row>
    <row r="132" spans="1:10" x14ac:dyDescent="0.2">
      <c r="A132" t="s">
        <v>116</v>
      </c>
      <c r="B132">
        <f t="shared" si="15"/>
        <v>30938.05</v>
      </c>
      <c r="C132">
        <f t="shared" si="15"/>
        <v>5829.2</v>
      </c>
      <c r="D132">
        <f t="shared" si="15"/>
        <v>10664.55</v>
      </c>
      <c r="E132">
        <f t="shared" si="15"/>
        <v>19198</v>
      </c>
      <c r="F132">
        <f t="shared" si="15"/>
        <v>3866.5</v>
      </c>
      <c r="G132">
        <f t="shared" si="15"/>
        <v>0</v>
      </c>
      <c r="H132">
        <f t="shared" si="15"/>
        <v>20507.5</v>
      </c>
      <c r="I132">
        <f t="shared" si="15"/>
        <v>-3165.75</v>
      </c>
      <c r="J132">
        <f>SUM(B132:I132)</f>
        <v>87838.05</v>
      </c>
    </row>
    <row r="133" spans="1:10" x14ac:dyDescent="0.2">
      <c r="A133" t="s">
        <v>34</v>
      </c>
      <c r="B133">
        <f t="shared" si="15"/>
        <v>28119.85</v>
      </c>
      <c r="C133">
        <f t="shared" si="15"/>
        <v>5298.0000000000009</v>
      </c>
      <c r="D133">
        <f t="shared" si="15"/>
        <v>8947.1999999999989</v>
      </c>
      <c r="E133">
        <f t="shared" si="15"/>
        <v>17458</v>
      </c>
      <c r="F133">
        <f t="shared" si="15"/>
        <v>3514.5</v>
      </c>
      <c r="G133">
        <f t="shared" si="15"/>
        <v>0</v>
      </c>
      <c r="H133">
        <f t="shared" si="15"/>
        <v>14911.999999999998</v>
      </c>
      <c r="I133">
        <f t="shared" si="15"/>
        <v>-2876.8500000000004</v>
      </c>
      <c r="J133">
        <f>SUM(B133:I133)</f>
        <v>75372.699999999983</v>
      </c>
    </row>
    <row r="134" spans="1:10" x14ac:dyDescent="0.2">
      <c r="A134" t="s">
        <v>22</v>
      </c>
      <c r="B134">
        <f t="shared" ref="B134:J134" si="17">SUM(B122:B133)</f>
        <v>358024.69999999995</v>
      </c>
      <c r="C134">
        <f t="shared" si="17"/>
        <v>67455.599999999991</v>
      </c>
      <c r="D134">
        <f t="shared" si="17"/>
        <v>139891.75</v>
      </c>
      <c r="E134">
        <f t="shared" si="17"/>
        <v>213226.8</v>
      </c>
      <c r="F134">
        <f t="shared" si="17"/>
        <v>46730.3</v>
      </c>
      <c r="G134">
        <f t="shared" si="17"/>
        <v>0</v>
      </c>
      <c r="H134">
        <f t="shared" si="17"/>
        <v>222121.84999999998</v>
      </c>
      <c r="I134">
        <f t="shared" si="17"/>
        <v>-36620.1</v>
      </c>
      <c r="J134">
        <f t="shared" si="17"/>
        <v>1010830.8999999999</v>
      </c>
    </row>
  </sheetData>
  <pageMargins left="0.7" right="0.7" top="0.75" bottom="0.75" header="0.3" footer="0.3"/>
  <pageSetup scale="80"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4"/>
  <sheetViews>
    <sheetView topLeftCell="A37" zoomScaleNormal="100" workbookViewId="0">
      <selection activeCell="G53" sqref="G53"/>
    </sheetView>
  </sheetViews>
  <sheetFormatPr defaultRowHeight="15" x14ac:dyDescent="0.2"/>
  <cols>
    <col min="1" max="1" width="12.6640625" customWidth="1"/>
    <col min="2" max="2" width="2.33203125" customWidth="1"/>
  </cols>
  <sheetData>
    <row r="1" spans="1:5" x14ac:dyDescent="0.2">
      <c r="E1" t="s">
        <v>536</v>
      </c>
    </row>
    <row r="2" spans="1:5" x14ac:dyDescent="0.2">
      <c r="E2" t="s">
        <v>537</v>
      </c>
    </row>
    <row r="3" spans="1:5" x14ac:dyDescent="0.2">
      <c r="E3" t="s">
        <v>0</v>
      </c>
    </row>
    <row r="4" spans="1:5" x14ac:dyDescent="0.2">
      <c r="E4" t="s">
        <v>2</v>
      </c>
    </row>
    <row r="6" spans="1:5" x14ac:dyDescent="0.2">
      <c r="A6" t="s">
        <v>524</v>
      </c>
    </row>
    <row r="8" spans="1:5" x14ac:dyDescent="0.2">
      <c r="A8" t="s">
        <v>535</v>
      </c>
    </row>
    <row r="9" spans="1:5" x14ac:dyDescent="0.2">
      <c r="A9" t="s">
        <v>523</v>
      </c>
    </row>
    <row r="10" spans="1:5" x14ac:dyDescent="0.2">
      <c r="A10" t="s">
        <v>6</v>
      </c>
    </row>
    <row r="11" spans="1:5" x14ac:dyDescent="0.2">
      <c r="C11" t="s">
        <v>30</v>
      </c>
      <c r="D11" t="s">
        <v>31</v>
      </c>
    </row>
    <row r="12" spans="1:5" x14ac:dyDescent="0.2">
      <c r="A12" t="s">
        <v>92</v>
      </c>
      <c r="C12" t="s">
        <v>26</v>
      </c>
      <c r="D12" t="s">
        <v>32</v>
      </c>
    </row>
    <row r="14" spans="1:5" x14ac:dyDescent="0.2">
      <c r="A14" t="s">
        <v>521</v>
      </c>
      <c r="C14">
        <f>34079+17624</f>
        <v>51703</v>
      </c>
      <c r="D14">
        <f>'16th year actual'!L46</f>
        <v>84710.65</v>
      </c>
    </row>
    <row r="15" spans="1:5" x14ac:dyDescent="0.2">
      <c r="A15" t="s">
        <v>522</v>
      </c>
      <c r="C15">
        <f>34077+17573</f>
        <v>51650</v>
      </c>
      <c r="D15">
        <f>'16th year actual'!L47</f>
        <v>65091.46639999999</v>
      </c>
    </row>
    <row r="16" spans="1:5" x14ac:dyDescent="0.2">
      <c r="A16" t="s">
        <v>37</v>
      </c>
      <c r="C16">
        <f>34037+17578</f>
        <v>51615</v>
      </c>
      <c r="D16">
        <f>'16th year actual'!L48</f>
        <v>49235.475600000005</v>
      </c>
    </row>
    <row r="17" spans="1:9" x14ac:dyDescent="0.2">
      <c r="A17" t="s">
        <v>38</v>
      </c>
      <c r="C17">
        <f>34138+17646</f>
        <v>51784</v>
      </c>
      <c r="D17">
        <f>'16th year actual'!L49</f>
        <v>50902.079999999994</v>
      </c>
    </row>
    <row r="18" spans="1:9" x14ac:dyDescent="0.2">
      <c r="A18" t="s">
        <v>95</v>
      </c>
      <c r="C18">
        <f>34594+17852</f>
        <v>52446</v>
      </c>
      <c r="D18">
        <f>'16th year actual'!L50</f>
        <v>54056.178000000007</v>
      </c>
    </row>
    <row r="19" spans="1:9" x14ac:dyDescent="0.2">
      <c r="A19" t="s">
        <v>40</v>
      </c>
      <c r="C19">
        <f>34872+18045</f>
        <v>52917</v>
      </c>
      <c r="D19">
        <f>'16th year actual'!L51</f>
        <v>60882.935600000004</v>
      </c>
    </row>
    <row r="20" spans="1:9" x14ac:dyDescent="0.2">
      <c r="A20" t="s">
        <v>41</v>
      </c>
      <c r="C20">
        <f>34845+18146</f>
        <v>52991</v>
      </c>
      <c r="D20">
        <f>'16th year actual'!L52</f>
        <v>64075.324400000012</v>
      </c>
    </row>
    <row r="21" spans="1:9" x14ac:dyDescent="0.2">
      <c r="A21" t="s">
        <v>42</v>
      </c>
      <c r="C21">
        <f>34891+18245</f>
        <v>53136</v>
      </c>
      <c r="D21">
        <f>'16th year actual'!L53</f>
        <v>64096.020400000001</v>
      </c>
    </row>
    <row r="22" spans="1:9" x14ac:dyDescent="0.2">
      <c r="A22" t="s">
        <v>43</v>
      </c>
      <c r="C22">
        <f>35036+18338</f>
        <v>53374</v>
      </c>
      <c r="D22">
        <f>'16th year actual'!L54</f>
        <v>48179.081600000005</v>
      </c>
    </row>
    <row r="23" spans="1:9" x14ac:dyDescent="0.2">
      <c r="A23" t="s">
        <v>44</v>
      </c>
      <c r="C23">
        <f>35051+18368</f>
        <v>53419</v>
      </c>
      <c r="D23">
        <f>'16th year actual'!L55</f>
        <v>55318.738400000002</v>
      </c>
    </row>
    <row r="24" spans="1:9" x14ac:dyDescent="0.2">
      <c r="A24" t="s">
        <v>72</v>
      </c>
      <c r="C24">
        <f>35023+18347</f>
        <v>53370</v>
      </c>
      <c r="D24">
        <f>'16th year actual'!L56</f>
        <v>55877.665600000008</v>
      </c>
    </row>
    <row r="25" spans="1:9" x14ac:dyDescent="0.2">
      <c r="A25" t="s">
        <v>34</v>
      </c>
      <c r="C25">
        <f>35071+18307</f>
        <v>53378</v>
      </c>
      <c r="D25">
        <f>'16th year actual'!L57</f>
        <v>55541.960799999986</v>
      </c>
    </row>
    <row r="26" spans="1:9" x14ac:dyDescent="0.2">
      <c r="A26" t="s">
        <v>96</v>
      </c>
      <c r="C26">
        <f>SUM(C14:C25)</f>
        <v>631783</v>
      </c>
      <c r="D26">
        <f>SUM(D13:D25)</f>
        <v>707967.57679999992</v>
      </c>
    </row>
    <row r="28" spans="1:9" x14ac:dyDescent="0.2">
      <c r="A28" t="s">
        <v>534</v>
      </c>
    </row>
    <row r="30" spans="1:9" x14ac:dyDescent="0.2">
      <c r="A30" t="s">
        <v>532</v>
      </c>
      <c r="I30" t="s">
        <v>6</v>
      </c>
    </row>
    <row r="32" spans="1:9" x14ac:dyDescent="0.2">
      <c r="A32" t="s">
        <v>101</v>
      </c>
      <c r="D32" t="s">
        <v>529</v>
      </c>
      <c r="E32">
        <v>2.4300000000000002</v>
      </c>
    </row>
    <row r="33" spans="1:7" x14ac:dyDescent="0.2">
      <c r="A33" t="s">
        <v>101</v>
      </c>
      <c r="D33" t="s">
        <v>530</v>
      </c>
      <c r="E33">
        <v>1.53</v>
      </c>
    </row>
    <row r="35" spans="1:7" x14ac:dyDescent="0.2">
      <c r="A35" t="s">
        <v>531</v>
      </c>
      <c r="G35">
        <f>(SUM(C14:C16)*E32+SUM(C17:C25)*E33)</f>
        <v>1106099.1900000002</v>
      </c>
    </row>
    <row r="37" spans="1:7" x14ac:dyDescent="0.2">
      <c r="A37" t="s">
        <v>50</v>
      </c>
      <c r="F37">
        <f>D26</f>
        <v>707967.57679999992</v>
      </c>
    </row>
    <row r="39" spans="1:7" x14ac:dyDescent="0.2">
      <c r="A39" t="s">
        <v>350</v>
      </c>
      <c r="G39">
        <f>F37-F38</f>
        <v>707967.57679999992</v>
      </c>
    </row>
    <row r="41" spans="1:7" x14ac:dyDescent="0.2">
      <c r="A41" t="s">
        <v>351</v>
      </c>
      <c r="G41">
        <f>G39-G35</f>
        <v>-398131.61320000025</v>
      </c>
    </row>
    <row r="43" spans="1:7" x14ac:dyDescent="0.2">
      <c r="A43" t="s">
        <v>106</v>
      </c>
    </row>
    <row r="45" spans="1:7" x14ac:dyDescent="0.2">
      <c r="A45" t="s">
        <v>107</v>
      </c>
      <c r="F45">
        <f>G41</f>
        <v>-398131.61320000025</v>
      </c>
    </row>
    <row r="46" spans="1:7" x14ac:dyDescent="0.2">
      <c r="A46" t="s">
        <v>415</v>
      </c>
      <c r="F46">
        <f>SUM(C14:C25)</f>
        <v>631783</v>
      </c>
    </row>
    <row r="47" spans="1:7" x14ac:dyDescent="0.2">
      <c r="A47" t="s">
        <v>108</v>
      </c>
      <c r="F47">
        <f>F45/F46</f>
        <v>-0.63017145633864835</v>
      </c>
    </row>
    <row r="49" spans="1:7" x14ac:dyDescent="0.2">
      <c r="A49" t="s">
        <v>354</v>
      </c>
      <c r="G49" t="s">
        <v>418</v>
      </c>
    </row>
    <row r="50" spans="1:7" x14ac:dyDescent="0.2">
      <c r="A50" t="s">
        <v>416</v>
      </c>
      <c r="G50">
        <f>SUM(D14:D25)</f>
        <v>707967.57679999992</v>
      </c>
    </row>
    <row r="51" spans="1:7" x14ac:dyDescent="0.2">
      <c r="A51" t="s">
        <v>417</v>
      </c>
      <c r="G51">
        <f>SUM(C14:C25)</f>
        <v>631783</v>
      </c>
    </row>
    <row r="53" spans="1:7" x14ac:dyDescent="0.2">
      <c r="D53" t="s">
        <v>359</v>
      </c>
      <c r="G53">
        <f>G50/G51</f>
        <v>1.1205866204060571</v>
      </c>
    </row>
    <row r="54" spans="1:7" x14ac:dyDescent="0.2">
      <c r="D54" t="s">
        <v>360</v>
      </c>
      <c r="G54">
        <f>F47</f>
        <v>-0.63017145633864835</v>
      </c>
    </row>
    <row r="55" spans="1:7" x14ac:dyDescent="0.2">
      <c r="E55" t="s">
        <v>361</v>
      </c>
      <c r="G55">
        <f>G53+G54</f>
        <v>0.4904151640674087</v>
      </c>
    </row>
    <row r="58" spans="1:7" x14ac:dyDescent="0.2">
      <c r="E58" t="s">
        <v>536</v>
      </c>
    </row>
    <row r="59" spans="1:7" x14ac:dyDescent="0.2">
      <c r="E59" t="s">
        <v>537</v>
      </c>
    </row>
    <row r="60" spans="1:7" x14ac:dyDescent="0.2">
      <c r="E60" t="s">
        <v>0</v>
      </c>
    </row>
    <row r="61" spans="1:7" x14ac:dyDescent="0.2">
      <c r="E61" t="s">
        <v>342</v>
      </c>
    </row>
    <row r="63" spans="1:7" x14ac:dyDescent="0.2">
      <c r="A63" t="str">
        <f>A6</f>
        <v>After Sixteenth Year Commodity Adjustment</v>
      </c>
    </row>
    <row r="65" spans="1:4" x14ac:dyDescent="0.2">
      <c r="A65" t="s">
        <v>423</v>
      </c>
    </row>
    <row r="66" spans="1:4" x14ac:dyDescent="0.2">
      <c r="A66" t="s">
        <v>523</v>
      </c>
    </row>
    <row r="67" spans="1:4" x14ac:dyDescent="0.2">
      <c r="A67" t="s">
        <v>6</v>
      </c>
    </row>
    <row r="69" spans="1:4" x14ac:dyDescent="0.2">
      <c r="A69" t="s">
        <v>344</v>
      </c>
      <c r="C69" t="s">
        <v>30</v>
      </c>
      <c r="D69" t="s">
        <v>31</v>
      </c>
    </row>
    <row r="70" spans="1:4" x14ac:dyDescent="0.2">
      <c r="A70" t="s">
        <v>92</v>
      </c>
      <c r="C70" t="s">
        <v>145</v>
      </c>
      <c r="D70" t="s">
        <v>32</v>
      </c>
    </row>
    <row r="72" spans="1:4" x14ac:dyDescent="0.2">
      <c r="A72" t="s">
        <v>521</v>
      </c>
      <c r="C72">
        <v>7555</v>
      </c>
      <c r="D72">
        <f>'16th year actual'!I106</f>
        <v>5140.1500000000005</v>
      </c>
    </row>
    <row r="73" spans="1:4" x14ac:dyDescent="0.2">
      <c r="A73" t="s">
        <v>522</v>
      </c>
      <c r="C73">
        <v>7526</v>
      </c>
      <c r="D73">
        <f>'16th year actual'!I107</f>
        <v>3771.3263000000002</v>
      </c>
    </row>
    <row r="74" spans="1:4" x14ac:dyDescent="0.2">
      <c r="A74" t="s">
        <v>37</v>
      </c>
      <c r="C74">
        <v>7285</v>
      </c>
      <c r="D74">
        <f>'16th year actual'!I108</f>
        <v>3240.3414000000002</v>
      </c>
    </row>
    <row r="75" spans="1:4" x14ac:dyDescent="0.2">
      <c r="A75" t="s">
        <v>38</v>
      </c>
      <c r="C75">
        <v>7389</v>
      </c>
      <c r="D75">
        <f>'16th year actual'!I109</f>
        <v>3515.2458000000006</v>
      </c>
    </row>
    <row r="76" spans="1:4" x14ac:dyDescent="0.2">
      <c r="A76" t="s">
        <v>95</v>
      </c>
      <c r="C76">
        <v>7346</v>
      </c>
      <c r="D76">
        <f>'16th year actual'!I110</f>
        <v>3644.0383000000002</v>
      </c>
    </row>
    <row r="77" spans="1:4" x14ac:dyDescent="0.2">
      <c r="A77" t="s">
        <v>40</v>
      </c>
      <c r="C77">
        <v>7430</v>
      </c>
      <c r="D77">
        <f>'16th year actual'!I111</f>
        <v>4069.9556999999995</v>
      </c>
    </row>
    <row r="78" spans="1:4" x14ac:dyDescent="0.2">
      <c r="A78" t="s">
        <v>41</v>
      </c>
      <c r="C78">
        <v>7487</v>
      </c>
      <c r="D78">
        <f>'16th year actual'!I112</f>
        <v>4482.6058000000003</v>
      </c>
    </row>
    <row r="79" spans="1:4" x14ac:dyDescent="0.2">
      <c r="A79" t="s">
        <v>42</v>
      </c>
      <c r="C79">
        <v>7508</v>
      </c>
      <c r="D79">
        <f>'16th year actual'!I113</f>
        <v>4124.6397999999999</v>
      </c>
    </row>
    <row r="80" spans="1:4" x14ac:dyDescent="0.2">
      <c r="A80" t="s">
        <v>43</v>
      </c>
      <c r="C80">
        <v>7533</v>
      </c>
      <c r="D80">
        <f>'16th year actual'!I114</f>
        <v>3291.1909000000001</v>
      </c>
    </row>
    <row r="81" spans="1:8" x14ac:dyDescent="0.2">
      <c r="A81" t="s">
        <v>44</v>
      </c>
      <c r="C81">
        <v>7501</v>
      </c>
      <c r="D81">
        <f>'16th year actual'!I115</f>
        <v>3424.1033000000002</v>
      </c>
    </row>
    <row r="82" spans="1:8" x14ac:dyDescent="0.2">
      <c r="A82" t="s">
        <v>72</v>
      </c>
      <c r="C82">
        <v>7509</v>
      </c>
      <c r="D82">
        <f>'16th year actual'!I116</f>
        <v>3580.4548</v>
      </c>
    </row>
    <row r="83" spans="1:8" x14ac:dyDescent="0.2">
      <c r="A83" t="s">
        <v>34</v>
      </c>
      <c r="C83">
        <v>7524</v>
      </c>
      <c r="D83">
        <f>'16th year actual'!I117</f>
        <v>3270.9511000000002</v>
      </c>
    </row>
    <row r="84" spans="1:8" x14ac:dyDescent="0.2">
      <c r="A84" t="s">
        <v>96</v>
      </c>
      <c r="C84">
        <f>SUM(C71:C83)</f>
        <v>89593</v>
      </c>
      <c r="D84">
        <f>SUM(D71:D83)</f>
        <v>45555.003199999999</v>
      </c>
    </row>
    <row r="86" spans="1:8" x14ac:dyDescent="0.2">
      <c r="A86" t="s">
        <v>534</v>
      </c>
    </row>
    <row r="88" spans="1:8" x14ac:dyDescent="0.2">
      <c r="A88" t="s">
        <v>532</v>
      </c>
    </row>
    <row r="90" spans="1:8" x14ac:dyDescent="0.2">
      <c r="A90" t="s">
        <v>343</v>
      </c>
      <c r="D90" t="s">
        <v>529</v>
      </c>
      <c r="E90">
        <v>1.01</v>
      </c>
    </row>
    <row r="91" spans="1:8" x14ac:dyDescent="0.2">
      <c r="A91" t="s">
        <v>343</v>
      </c>
      <c r="D91" t="s">
        <v>530</v>
      </c>
      <c r="E91">
        <v>0.76</v>
      </c>
    </row>
    <row r="94" spans="1:8" x14ac:dyDescent="0.2">
      <c r="A94" t="s">
        <v>533</v>
      </c>
      <c r="G94">
        <f>(SUM(C72:C74)*E90+SUM(C75:C83)*E91)</f>
        <v>73682.180000000008</v>
      </c>
    </row>
    <row r="95" spans="1:8" x14ac:dyDescent="0.2">
      <c r="H95" t="s">
        <v>6</v>
      </c>
    </row>
    <row r="96" spans="1:8" x14ac:dyDescent="0.2">
      <c r="A96" t="s">
        <v>50</v>
      </c>
      <c r="F96">
        <f>D84</f>
        <v>45555.003199999999</v>
      </c>
      <c r="H96" t="s">
        <v>6</v>
      </c>
    </row>
    <row r="98" spans="1:7" x14ac:dyDescent="0.2">
      <c r="A98" t="s">
        <v>364</v>
      </c>
      <c r="G98">
        <f>F96-F97</f>
        <v>45555.003199999999</v>
      </c>
    </row>
    <row r="100" spans="1:7" x14ac:dyDescent="0.2">
      <c r="A100" t="s">
        <v>190</v>
      </c>
      <c r="G100">
        <f>G98-G94</f>
        <v>-28127.176800000008</v>
      </c>
    </row>
    <row r="102" spans="1:7" x14ac:dyDescent="0.2">
      <c r="A102" t="s">
        <v>365</v>
      </c>
    </row>
    <row r="104" spans="1:7" x14ac:dyDescent="0.2">
      <c r="A104" t="s">
        <v>107</v>
      </c>
      <c r="F104">
        <f>G100</f>
        <v>-28127.176800000008</v>
      </c>
    </row>
    <row r="105" spans="1:7" x14ac:dyDescent="0.2">
      <c r="A105" t="s">
        <v>419</v>
      </c>
      <c r="F105">
        <f>SUM(C72:C83)</f>
        <v>89593</v>
      </c>
    </row>
    <row r="106" spans="1:7" x14ac:dyDescent="0.2">
      <c r="A106" t="s">
        <v>349</v>
      </c>
      <c r="F106">
        <f>ROUND(F104/F105,2)</f>
        <v>-0.31</v>
      </c>
    </row>
    <row r="108" spans="1:7" x14ac:dyDescent="0.2">
      <c r="A108" t="s">
        <v>354</v>
      </c>
      <c r="G108" t="s">
        <v>418</v>
      </c>
    </row>
    <row r="109" spans="1:7" x14ac:dyDescent="0.2">
      <c r="A109" t="s">
        <v>416</v>
      </c>
      <c r="G109">
        <f>SUM(D72:D83)</f>
        <v>45555.003199999999</v>
      </c>
    </row>
    <row r="110" spans="1:7" x14ac:dyDescent="0.2">
      <c r="A110" t="s">
        <v>420</v>
      </c>
      <c r="G110">
        <f>SUM(C72:C83)</f>
        <v>89593</v>
      </c>
    </row>
    <row r="112" spans="1:7" x14ac:dyDescent="0.2">
      <c r="D112" t="s">
        <v>422</v>
      </c>
      <c r="G112">
        <f>G109/G110</f>
        <v>0.50846609891397765</v>
      </c>
    </row>
    <row r="113" spans="4:7" x14ac:dyDescent="0.2">
      <c r="D113" t="s">
        <v>469</v>
      </c>
      <c r="G113">
        <f>F106</f>
        <v>-0.31</v>
      </c>
    </row>
    <row r="114" spans="4:7" x14ac:dyDescent="0.2">
      <c r="E114" t="s">
        <v>361</v>
      </c>
      <c r="G114">
        <f>SUM(G112:G113)</f>
        <v>0.19846609891397765</v>
      </c>
    </row>
  </sheetData>
  <pageMargins left="0.7" right="0.7" top="0.75" bottom="0.75" header="0.3" footer="0.3"/>
  <pageSetup scale="76" orientation="portrait" r:id="rId1"/>
  <rowBreaks count="1" manualBreakCount="1">
    <brk id="57" max="8" man="1"/>
  </rowBreaks>
  <colBreaks count="1" manualBreakCount="1">
    <brk id="9" max="1048575" man="1"/>
  </col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8"/>
  <sheetViews>
    <sheetView zoomScaleNormal="100" workbookViewId="0">
      <selection sqref="A1:M125"/>
    </sheetView>
  </sheetViews>
  <sheetFormatPr defaultRowHeight="15" x14ac:dyDescent="0.2"/>
  <cols>
    <col min="8" max="8" width="10" customWidth="1"/>
    <col min="9" max="9" width="9.77734375" customWidth="1"/>
    <col min="11" max="11" width="9.88671875" customWidth="1"/>
    <col min="12" max="12" width="10.77734375" customWidth="1"/>
  </cols>
  <sheetData>
    <row r="1" spans="1:12" x14ac:dyDescent="0.2">
      <c r="E1" t="s">
        <v>536</v>
      </c>
    </row>
    <row r="2" spans="1:12" x14ac:dyDescent="0.2">
      <c r="E2" t="s">
        <v>537</v>
      </c>
    </row>
    <row r="3" spans="1:12" x14ac:dyDescent="0.2">
      <c r="E3" t="s">
        <v>0</v>
      </c>
    </row>
    <row r="4" spans="1:12" x14ac:dyDescent="0.2">
      <c r="E4" t="s">
        <v>2</v>
      </c>
    </row>
    <row r="5" spans="1:12" x14ac:dyDescent="0.2">
      <c r="E5" t="s">
        <v>526</v>
      </c>
    </row>
    <row r="7" spans="1:12" x14ac:dyDescent="0.2">
      <c r="B7" t="s">
        <v>81</v>
      </c>
    </row>
    <row r="8" spans="1:12" x14ac:dyDescent="0.2">
      <c r="G8" t="s">
        <v>6</v>
      </c>
      <c r="J8" t="s">
        <v>330</v>
      </c>
      <c r="K8" t="s">
        <v>6</v>
      </c>
    </row>
    <row r="9" spans="1:12" x14ac:dyDescent="0.2">
      <c r="B9" t="s">
        <v>14</v>
      </c>
      <c r="C9" t="s">
        <v>15</v>
      </c>
      <c r="D9" t="s">
        <v>16</v>
      </c>
      <c r="E9" t="s">
        <v>18</v>
      </c>
      <c r="F9" t="s">
        <v>19</v>
      </c>
      <c r="G9" t="s">
        <v>20</v>
      </c>
      <c r="H9" t="s">
        <v>21</v>
      </c>
      <c r="I9" t="s">
        <v>527</v>
      </c>
      <c r="J9" t="s">
        <v>528</v>
      </c>
      <c r="K9" t="s">
        <v>333</v>
      </c>
      <c r="L9" t="s">
        <v>84</v>
      </c>
    </row>
    <row r="10" spans="1:12" x14ac:dyDescent="0.2">
      <c r="A10" t="s">
        <v>9</v>
      </c>
    </row>
    <row r="11" spans="1:12" x14ac:dyDescent="0.2">
      <c r="A11" t="s">
        <v>35</v>
      </c>
      <c r="B11">
        <v>625.35</v>
      </c>
      <c r="C11">
        <v>324</v>
      </c>
      <c r="D11">
        <v>182.39</v>
      </c>
      <c r="E11">
        <v>14.72</v>
      </c>
      <c r="F11">
        <v>39.090000000000003</v>
      </c>
      <c r="J11">
        <v>91.2</v>
      </c>
      <c r="K11">
        <v>26.05</v>
      </c>
      <c r="L11">
        <f t="shared" ref="L11:L22" si="0">SUM(B11:K11)</f>
        <v>1302.8</v>
      </c>
    </row>
    <row r="12" spans="1:12" x14ac:dyDescent="0.2">
      <c r="A12" t="s">
        <v>525</v>
      </c>
      <c r="B12">
        <v>357.15</v>
      </c>
      <c r="C12">
        <v>312.2</v>
      </c>
      <c r="D12">
        <v>420.84</v>
      </c>
      <c r="E12">
        <v>16.23</v>
      </c>
      <c r="F12">
        <v>37.47</v>
      </c>
      <c r="G12">
        <v>44.95</v>
      </c>
      <c r="H12">
        <v>11.24</v>
      </c>
      <c r="I12">
        <v>17.48</v>
      </c>
      <c r="J12">
        <v>6.24</v>
      </c>
      <c r="K12">
        <v>24.98</v>
      </c>
      <c r="L12">
        <f t="shared" si="0"/>
        <v>1248.78</v>
      </c>
    </row>
    <row r="13" spans="1:12" x14ac:dyDescent="0.2">
      <c r="A13" t="s">
        <v>37</v>
      </c>
      <c r="B13">
        <v>299.26</v>
      </c>
      <c r="C13">
        <v>261.60000000000002</v>
      </c>
      <c r="D13">
        <v>352.63</v>
      </c>
      <c r="E13">
        <v>13.61</v>
      </c>
      <c r="F13">
        <v>31.39</v>
      </c>
      <c r="G13">
        <v>37.67</v>
      </c>
      <c r="H13">
        <v>9.42</v>
      </c>
      <c r="I13">
        <v>14.64</v>
      </c>
      <c r="J13">
        <v>5.23</v>
      </c>
      <c r="K13">
        <v>20.92</v>
      </c>
      <c r="L13">
        <f t="shared" si="0"/>
        <v>1046.3699999999999</v>
      </c>
    </row>
    <row r="14" spans="1:12" x14ac:dyDescent="0.2">
      <c r="A14" t="s">
        <v>329</v>
      </c>
      <c r="B14">
        <v>309.31</v>
      </c>
      <c r="C14">
        <v>270.38</v>
      </c>
      <c r="D14">
        <v>364.46</v>
      </c>
      <c r="E14">
        <v>14.06</v>
      </c>
      <c r="F14">
        <v>32.44</v>
      </c>
      <c r="G14">
        <v>38.93</v>
      </c>
      <c r="H14">
        <v>9.74</v>
      </c>
      <c r="I14">
        <v>15.14</v>
      </c>
      <c r="J14">
        <v>5.41</v>
      </c>
      <c r="K14">
        <v>21.63</v>
      </c>
      <c r="L14">
        <f t="shared" si="0"/>
        <v>1081.5000000000005</v>
      </c>
    </row>
    <row r="15" spans="1:12" x14ac:dyDescent="0.2">
      <c r="A15" t="s">
        <v>95</v>
      </c>
      <c r="B15">
        <v>321.92</v>
      </c>
      <c r="C15">
        <v>281.39999999999998</v>
      </c>
      <c r="D15">
        <v>379.3</v>
      </c>
      <c r="E15">
        <v>14.64</v>
      </c>
      <c r="F15">
        <v>33.770000000000003</v>
      </c>
      <c r="G15">
        <v>40.520000000000003</v>
      </c>
      <c r="H15">
        <v>10.130000000000001</v>
      </c>
      <c r="I15">
        <v>15.76</v>
      </c>
      <c r="J15">
        <v>5.63</v>
      </c>
      <c r="K15">
        <v>22.53</v>
      </c>
      <c r="L15">
        <f t="shared" si="0"/>
        <v>1125.6000000000001</v>
      </c>
    </row>
    <row r="16" spans="1:12" x14ac:dyDescent="0.2">
      <c r="A16" t="s">
        <v>40</v>
      </c>
      <c r="B16">
        <v>309.7</v>
      </c>
      <c r="C16">
        <v>270.72000000000003</v>
      </c>
      <c r="D16">
        <v>364.93</v>
      </c>
      <c r="E16">
        <v>14.07</v>
      </c>
      <c r="F16">
        <v>32.479999999999997</v>
      </c>
      <c r="G16">
        <v>38.99</v>
      </c>
      <c r="H16">
        <v>9.75</v>
      </c>
      <c r="I16">
        <v>15.16</v>
      </c>
      <c r="J16">
        <v>5.41</v>
      </c>
      <c r="K16">
        <v>21.66</v>
      </c>
      <c r="L16">
        <f t="shared" si="0"/>
        <v>1082.8700000000003</v>
      </c>
    </row>
    <row r="17" spans="1:13" x14ac:dyDescent="0.2">
      <c r="A17" t="s">
        <v>41</v>
      </c>
      <c r="B17">
        <v>310.01</v>
      </c>
      <c r="C17">
        <v>270.99</v>
      </c>
      <c r="D17">
        <v>365.3</v>
      </c>
      <c r="E17">
        <v>14.09</v>
      </c>
      <c r="F17">
        <v>32.520000000000003</v>
      </c>
      <c r="G17">
        <v>39.03</v>
      </c>
      <c r="H17">
        <v>9.76</v>
      </c>
      <c r="I17">
        <v>15.18</v>
      </c>
      <c r="J17">
        <v>5.42</v>
      </c>
      <c r="K17">
        <v>21.68</v>
      </c>
      <c r="L17">
        <f t="shared" si="0"/>
        <v>1083.9800000000002</v>
      </c>
    </row>
    <row r="18" spans="1:13" x14ac:dyDescent="0.2">
      <c r="A18" t="s">
        <v>42</v>
      </c>
      <c r="B18">
        <v>336.93</v>
      </c>
      <c r="C18">
        <v>294.52</v>
      </c>
      <c r="D18">
        <v>397.01</v>
      </c>
      <c r="E18">
        <v>15.31</v>
      </c>
      <c r="F18">
        <v>35.340000000000003</v>
      </c>
      <c r="G18">
        <v>42.42</v>
      </c>
      <c r="H18">
        <v>10.61</v>
      </c>
      <c r="I18">
        <v>16.489999999999998</v>
      </c>
      <c r="J18">
        <v>5.89</v>
      </c>
      <c r="K18">
        <v>23.56</v>
      </c>
      <c r="L18">
        <f t="shared" si="0"/>
        <v>1178.08</v>
      </c>
    </row>
    <row r="19" spans="1:13" x14ac:dyDescent="0.2">
      <c r="A19" t="s">
        <v>43</v>
      </c>
      <c r="B19">
        <v>302.89</v>
      </c>
      <c r="C19">
        <v>264.77</v>
      </c>
      <c r="D19">
        <v>356.91</v>
      </c>
      <c r="E19">
        <v>13.77</v>
      </c>
      <c r="F19">
        <v>31.77</v>
      </c>
      <c r="G19">
        <v>38.130000000000003</v>
      </c>
      <c r="H19">
        <v>9.5299999999999994</v>
      </c>
      <c r="I19">
        <v>14.83</v>
      </c>
      <c r="J19">
        <v>5.29</v>
      </c>
      <c r="K19">
        <v>21.18</v>
      </c>
      <c r="L19">
        <f t="shared" si="0"/>
        <v>1059.07</v>
      </c>
    </row>
    <row r="20" spans="1:13" x14ac:dyDescent="0.2">
      <c r="A20" t="s">
        <v>508</v>
      </c>
      <c r="B20">
        <v>350.62</v>
      </c>
      <c r="C20">
        <v>306.49</v>
      </c>
      <c r="D20">
        <v>413.14</v>
      </c>
      <c r="E20">
        <v>15.93</v>
      </c>
      <c r="F20">
        <v>36.770000000000003</v>
      </c>
      <c r="G20">
        <v>44.13</v>
      </c>
      <c r="H20">
        <v>11.04</v>
      </c>
      <c r="I20">
        <v>17.16</v>
      </c>
      <c r="J20">
        <v>6.13</v>
      </c>
      <c r="K20">
        <v>24.52</v>
      </c>
      <c r="L20">
        <f t="shared" si="0"/>
        <v>1225.9300000000003</v>
      </c>
    </row>
    <row r="21" spans="1:13" x14ac:dyDescent="0.2">
      <c r="A21" t="s">
        <v>116</v>
      </c>
      <c r="B21">
        <v>338.66</v>
      </c>
      <c r="C21">
        <v>296.02999999999997</v>
      </c>
      <c r="D21">
        <v>399.05</v>
      </c>
      <c r="E21">
        <v>15.39</v>
      </c>
      <c r="F21">
        <v>35.520000000000003</v>
      </c>
      <c r="G21">
        <v>42.63</v>
      </c>
      <c r="H21">
        <v>10.66</v>
      </c>
      <c r="I21">
        <v>16.579999999999998</v>
      </c>
      <c r="J21">
        <v>5.92</v>
      </c>
      <c r="K21">
        <v>23.68</v>
      </c>
      <c r="L21">
        <f t="shared" si="0"/>
        <v>1184.1200000000003</v>
      </c>
    </row>
    <row r="22" spans="1:13" x14ac:dyDescent="0.2">
      <c r="A22" t="s">
        <v>34</v>
      </c>
      <c r="B22">
        <v>351.4</v>
      </c>
      <c r="C22">
        <v>307.17</v>
      </c>
      <c r="D22">
        <v>414.06</v>
      </c>
      <c r="E22">
        <v>15.97</v>
      </c>
      <c r="F22">
        <v>36.86</v>
      </c>
      <c r="G22">
        <v>44.23</v>
      </c>
      <c r="H22">
        <v>11.05</v>
      </c>
      <c r="I22">
        <v>17.2</v>
      </c>
      <c r="J22">
        <v>6.15</v>
      </c>
      <c r="K22">
        <v>24.57</v>
      </c>
      <c r="L22">
        <f t="shared" si="0"/>
        <v>1228.6599999999999</v>
      </c>
      <c r="M22" t="s">
        <v>22</v>
      </c>
    </row>
    <row r="23" spans="1:13" x14ac:dyDescent="0.2">
      <c r="A23" t="s">
        <v>22</v>
      </c>
      <c r="B23">
        <f t="shared" ref="B23:L23" si="1">SUM(B11:B22)</f>
        <v>4213.1999999999989</v>
      </c>
      <c r="C23">
        <f t="shared" si="1"/>
        <v>3460.2699999999995</v>
      </c>
      <c r="D23">
        <f t="shared" si="1"/>
        <v>4410.0199999999995</v>
      </c>
      <c r="E23">
        <f t="shared" si="1"/>
        <v>177.79000000000005</v>
      </c>
      <c r="F23">
        <f t="shared" si="1"/>
        <v>415.41999999999996</v>
      </c>
      <c r="G23">
        <f t="shared" si="1"/>
        <v>451.63000000000005</v>
      </c>
      <c r="H23">
        <f t="shared" si="1"/>
        <v>112.92999999999999</v>
      </c>
      <c r="I23">
        <f t="shared" si="1"/>
        <v>175.62</v>
      </c>
      <c r="J23">
        <f t="shared" si="1"/>
        <v>153.91999999999996</v>
      </c>
      <c r="K23">
        <f t="shared" si="1"/>
        <v>276.96000000000004</v>
      </c>
      <c r="L23">
        <f t="shared" si="1"/>
        <v>13847.760000000004</v>
      </c>
      <c r="M23">
        <f>L23+L83</f>
        <v>13847.760000000004</v>
      </c>
    </row>
    <row r="25" spans="1:13" x14ac:dyDescent="0.2">
      <c r="A25" t="s">
        <v>117</v>
      </c>
      <c r="B25">
        <f t="shared" ref="B25:K25" si="2">B23/$L$23</f>
        <v>0.30425137350733966</v>
      </c>
      <c r="C25">
        <f t="shared" si="2"/>
        <v>0.24987940287815491</v>
      </c>
      <c r="D25">
        <f t="shared" si="2"/>
        <v>0.31846450256214709</v>
      </c>
      <c r="E25">
        <f t="shared" si="2"/>
        <v>1.2838899576538011E-2</v>
      </c>
      <c r="F25">
        <f t="shared" si="2"/>
        <v>2.9999075662778662E-2</v>
      </c>
      <c r="G25">
        <f t="shared" si="2"/>
        <v>3.2613939005297604E-2</v>
      </c>
      <c r="H25">
        <f t="shared" si="2"/>
        <v>8.1551095628462633E-3</v>
      </c>
      <c r="I25">
        <f t="shared" si="2"/>
        <v>1.2682195531984953E-2</v>
      </c>
      <c r="J25">
        <f t="shared" si="2"/>
        <v>1.1115155086454409E-2</v>
      </c>
      <c r="K25">
        <f t="shared" si="2"/>
        <v>2.0000346626457995E-2</v>
      </c>
    </row>
    <row r="27" spans="1:13" x14ac:dyDescent="0.2">
      <c r="G27" t="s">
        <v>6</v>
      </c>
      <c r="J27" t="s">
        <v>330</v>
      </c>
      <c r="K27" t="s">
        <v>6</v>
      </c>
    </row>
    <row r="28" spans="1:13" x14ac:dyDescent="0.2">
      <c r="B28" t="s">
        <v>14</v>
      </c>
      <c r="C28" t="s">
        <v>15</v>
      </c>
      <c r="D28" t="s">
        <v>16</v>
      </c>
      <c r="E28" t="s">
        <v>18</v>
      </c>
      <c r="F28" t="s">
        <v>19</v>
      </c>
      <c r="G28" t="s">
        <v>20</v>
      </c>
      <c r="H28" t="s">
        <v>21</v>
      </c>
      <c r="I28" t="s">
        <v>527</v>
      </c>
      <c r="J28" t="s">
        <v>528</v>
      </c>
      <c r="K28" t="s">
        <v>333</v>
      </c>
    </row>
    <row r="29" spans="1:13" x14ac:dyDescent="0.2">
      <c r="A29" t="s">
        <v>86</v>
      </c>
    </row>
    <row r="30" spans="1:13" x14ac:dyDescent="0.2">
      <c r="A30" t="s">
        <v>35</v>
      </c>
      <c r="B30">
        <v>50</v>
      </c>
      <c r="C30">
        <v>10</v>
      </c>
      <c r="D30">
        <v>55</v>
      </c>
      <c r="E30">
        <v>1450</v>
      </c>
      <c r="F30">
        <v>105</v>
      </c>
      <c r="J30">
        <v>200</v>
      </c>
      <c r="K30">
        <v>-135</v>
      </c>
    </row>
    <row r="31" spans="1:13" x14ac:dyDescent="0.2">
      <c r="A31" t="str">
        <f>A12</f>
        <v>January 15</v>
      </c>
      <c r="B31">
        <v>6.88</v>
      </c>
      <c r="C31">
        <v>-4.12</v>
      </c>
      <c r="D31">
        <v>44.88</v>
      </c>
      <c r="E31">
        <v>1516.88</v>
      </c>
      <c r="F31">
        <v>108.88</v>
      </c>
      <c r="G31">
        <v>206.88</v>
      </c>
      <c r="H31">
        <v>326.88</v>
      </c>
      <c r="I31">
        <v>506.88</v>
      </c>
      <c r="J31">
        <v>-48.12</v>
      </c>
      <c r="K31">
        <v>-208.12</v>
      </c>
    </row>
    <row r="32" spans="1:13" x14ac:dyDescent="0.2">
      <c r="A32" t="s">
        <v>37</v>
      </c>
      <c r="B32">
        <v>6.88</v>
      </c>
      <c r="C32">
        <v>-3.12</v>
      </c>
      <c r="D32">
        <v>46.88</v>
      </c>
      <c r="E32">
        <v>1516.88</v>
      </c>
      <c r="F32">
        <v>68.88</v>
      </c>
      <c r="G32">
        <v>106.88</v>
      </c>
      <c r="H32">
        <v>246.88</v>
      </c>
      <c r="I32">
        <v>466.88</v>
      </c>
      <c r="J32">
        <v>-34.119999999999997</v>
      </c>
      <c r="K32">
        <v>-208.12</v>
      </c>
    </row>
    <row r="33" spans="1:12" x14ac:dyDescent="0.2">
      <c r="A33" t="s">
        <v>329</v>
      </c>
      <c r="B33">
        <v>6.88</v>
      </c>
      <c r="C33">
        <v>-3.12</v>
      </c>
      <c r="D33">
        <v>46.88</v>
      </c>
      <c r="E33">
        <v>1476.88</v>
      </c>
      <c r="F33">
        <v>60.88</v>
      </c>
      <c r="G33">
        <v>116.88</v>
      </c>
      <c r="H33">
        <v>326.88</v>
      </c>
      <c r="I33">
        <v>446.88</v>
      </c>
      <c r="J33">
        <v>-38.119999999999997</v>
      </c>
      <c r="K33">
        <v>-208.12</v>
      </c>
    </row>
    <row r="34" spans="1:12" x14ac:dyDescent="0.2">
      <c r="A34" t="s">
        <v>95</v>
      </c>
      <c r="B34">
        <v>6.88</v>
      </c>
      <c r="C34">
        <v>-3.12</v>
      </c>
      <c r="D34">
        <v>46.88</v>
      </c>
      <c r="E34">
        <v>1291.8800000000001</v>
      </c>
      <c r="F34">
        <v>61.88</v>
      </c>
      <c r="G34">
        <v>131.88</v>
      </c>
      <c r="H34">
        <v>466.88</v>
      </c>
      <c r="I34">
        <v>541.88</v>
      </c>
      <c r="J34">
        <v>1.88</v>
      </c>
      <c r="K34">
        <v>-208.12</v>
      </c>
    </row>
    <row r="35" spans="1:12" x14ac:dyDescent="0.2">
      <c r="A35" t="s">
        <v>40</v>
      </c>
      <c r="B35">
        <v>11.88</v>
      </c>
      <c r="C35">
        <v>-1.1200000000000001</v>
      </c>
      <c r="D35">
        <v>51.88</v>
      </c>
      <c r="E35">
        <v>1296.8800000000001</v>
      </c>
      <c r="F35">
        <v>61.88</v>
      </c>
      <c r="G35">
        <v>201.88</v>
      </c>
      <c r="H35">
        <v>526.88</v>
      </c>
      <c r="I35">
        <v>646.88</v>
      </c>
      <c r="J35">
        <v>1.88</v>
      </c>
      <c r="K35">
        <v>-208.12</v>
      </c>
    </row>
    <row r="36" spans="1:12" x14ac:dyDescent="0.2">
      <c r="A36" t="s">
        <v>41</v>
      </c>
      <c r="B36">
        <v>21.88</v>
      </c>
      <c r="C36">
        <v>-1.1200000000000001</v>
      </c>
      <c r="D36">
        <v>61.88</v>
      </c>
      <c r="E36">
        <v>1046.68</v>
      </c>
      <c r="F36">
        <v>60.88</v>
      </c>
      <c r="G36">
        <v>221.88</v>
      </c>
      <c r="H36">
        <v>486.88</v>
      </c>
      <c r="I36">
        <v>626.88</v>
      </c>
      <c r="J36">
        <v>-28.12</v>
      </c>
      <c r="K36">
        <v>-208.12</v>
      </c>
    </row>
    <row r="37" spans="1:12" x14ac:dyDescent="0.2">
      <c r="A37" t="s">
        <v>42</v>
      </c>
      <c r="B37">
        <v>18.88</v>
      </c>
      <c r="C37">
        <v>6.88</v>
      </c>
      <c r="D37">
        <v>52.88</v>
      </c>
      <c r="E37">
        <v>966.88</v>
      </c>
      <c r="F37">
        <v>55.88</v>
      </c>
      <c r="G37">
        <v>191.88</v>
      </c>
      <c r="H37">
        <v>406.88</v>
      </c>
      <c r="I37">
        <v>646.88</v>
      </c>
      <c r="J37">
        <v>-48.12</v>
      </c>
      <c r="K37">
        <v>-208.12</v>
      </c>
    </row>
    <row r="38" spans="1:12" x14ac:dyDescent="0.2">
      <c r="A38" t="s">
        <v>43</v>
      </c>
      <c r="B38">
        <v>18.88</v>
      </c>
      <c r="C38">
        <v>4.88</v>
      </c>
      <c r="D38">
        <v>48.88</v>
      </c>
      <c r="E38">
        <v>926.88</v>
      </c>
      <c r="F38">
        <v>39.880000000000003</v>
      </c>
      <c r="G38">
        <v>123.88</v>
      </c>
      <c r="H38">
        <v>266.88</v>
      </c>
      <c r="I38">
        <v>486.88</v>
      </c>
      <c r="J38">
        <v>-73.12</v>
      </c>
      <c r="K38">
        <v>-208.12</v>
      </c>
    </row>
    <row r="39" spans="1:12" x14ac:dyDescent="0.2">
      <c r="A39" t="s">
        <v>44</v>
      </c>
      <c r="B39">
        <v>14.88</v>
      </c>
      <c r="C39">
        <v>8.8800000000000008</v>
      </c>
      <c r="D39">
        <v>52.88</v>
      </c>
      <c r="E39">
        <v>966.88</v>
      </c>
      <c r="F39">
        <v>39.880000000000003</v>
      </c>
      <c r="G39">
        <v>101.88</v>
      </c>
      <c r="H39">
        <v>216.88</v>
      </c>
      <c r="I39">
        <v>426.88</v>
      </c>
      <c r="J39">
        <v>-73.12</v>
      </c>
      <c r="K39">
        <v>-208.12</v>
      </c>
    </row>
    <row r="40" spans="1:12" x14ac:dyDescent="0.2">
      <c r="A40" t="s">
        <v>116</v>
      </c>
      <c r="B40">
        <v>14.88</v>
      </c>
      <c r="C40">
        <v>11.88</v>
      </c>
      <c r="D40">
        <v>54.88</v>
      </c>
      <c r="E40">
        <v>1006.88</v>
      </c>
      <c r="F40">
        <v>19.88</v>
      </c>
      <c r="G40">
        <v>97.88</v>
      </c>
      <c r="H40">
        <v>286.88</v>
      </c>
      <c r="I40">
        <v>446.88</v>
      </c>
      <c r="J40">
        <v>-83.12</v>
      </c>
      <c r="K40">
        <v>-208.12</v>
      </c>
    </row>
    <row r="41" spans="1:12" x14ac:dyDescent="0.2">
      <c r="A41" t="str">
        <f>A22</f>
        <v>November</v>
      </c>
      <c r="B41">
        <v>10.88</v>
      </c>
      <c r="C41">
        <v>7.88</v>
      </c>
      <c r="D41">
        <v>51.88</v>
      </c>
      <c r="E41">
        <v>1031.8800000000001</v>
      </c>
      <c r="F41">
        <v>14.88</v>
      </c>
      <c r="G41">
        <v>107.88</v>
      </c>
      <c r="H41">
        <v>326.88</v>
      </c>
      <c r="I41">
        <v>466.88</v>
      </c>
      <c r="J41">
        <v>-83.12</v>
      </c>
      <c r="K41">
        <v>-208.12</v>
      </c>
    </row>
    <row r="43" spans="1:12" x14ac:dyDescent="0.2">
      <c r="C43" t="s">
        <v>6</v>
      </c>
      <c r="G43" t="s">
        <v>6</v>
      </c>
      <c r="J43" t="s">
        <v>330</v>
      </c>
      <c r="K43" t="s">
        <v>6</v>
      </c>
    </row>
    <row r="44" spans="1:12" x14ac:dyDescent="0.2">
      <c r="B44" t="s">
        <v>14</v>
      </c>
      <c r="C44" t="s">
        <v>15</v>
      </c>
      <c r="D44" t="s">
        <v>16</v>
      </c>
      <c r="E44" t="s">
        <v>18</v>
      </c>
      <c r="F44" t="s">
        <v>19</v>
      </c>
      <c r="G44" t="s">
        <v>20</v>
      </c>
      <c r="H44" t="s">
        <v>21</v>
      </c>
      <c r="I44" t="s">
        <v>527</v>
      </c>
      <c r="J44" t="s">
        <v>528</v>
      </c>
      <c r="K44" t="s">
        <v>333</v>
      </c>
      <c r="L44" t="s">
        <v>84</v>
      </c>
    </row>
    <row r="45" spans="1:12" x14ac:dyDescent="0.2">
      <c r="A45" t="s">
        <v>24</v>
      </c>
    </row>
    <row r="46" spans="1:12" x14ac:dyDescent="0.2">
      <c r="A46" t="s">
        <v>35</v>
      </c>
      <c r="B46">
        <f t="shared" ref="B46:K57" si="3">+B11*B30</f>
        <v>31267.5</v>
      </c>
      <c r="C46">
        <f t="shared" si="3"/>
        <v>3240</v>
      </c>
      <c r="D46">
        <f t="shared" si="3"/>
        <v>10031.449999999999</v>
      </c>
      <c r="E46">
        <f t="shared" si="3"/>
        <v>21344</v>
      </c>
      <c r="F46">
        <f t="shared" si="3"/>
        <v>4104.4500000000007</v>
      </c>
      <c r="G46">
        <f t="shared" si="3"/>
        <v>0</v>
      </c>
      <c r="H46">
        <f t="shared" si="3"/>
        <v>0</v>
      </c>
      <c r="I46">
        <f t="shared" si="3"/>
        <v>0</v>
      </c>
      <c r="J46">
        <f t="shared" si="3"/>
        <v>18240</v>
      </c>
      <c r="K46">
        <f t="shared" si="3"/>
        <v>-3516.75</v>
      </c>
      <c r="L46">
        <f t="shared" ref="L46:L54" si="4">SUM(B46:K46)</f>
        <v>84710.65</v>
      </c>
    </row>
    <row r="47" spans="1:12" x14ac:dyDescent="0.2">
      <c r="A47" t="str">
        <f>A31</f>
        <v>January 15</v>
      </c>
      <c r="B47">
        <f t="shared" si="3"/>
        <v>2457.192</v>
      </c>
      <c r="C47">
        <f t="shared" si="3"/>
        <v>-1286.2639999999999</v>
      </c>
      <c r="D47">
        <f t="shared" si="3"/>
        <v>18887.299200000001</v>
      </c>
      <c r="E47">
        <f t="shared" si="3"/>
        <v>24618.962400000004</v>
      </c>
      <c r="F47">
        <f t="shared" si="3"/>
        <v>4079.7335999999996</v>
      </c>
      <c r="G47">
        <f t="shared" si="3"/>
        <v>9299.2560000000012</v>
      </c>
      <c r="H47">
        <f t="shared" si="3"/>
        <v>3674.1311999999998</v>
      </c>
      <c r="I47">
        <f t="shared" si="3"/>
        <v>8860.2623999999996</v>
      </c>
      <c r="J47">
        <f t="shared" si="3"/>
        <v>-300.2688</v>
      </c>
      <c r="K47">
        <f t="shared" si="3"/>
        <v>-5198.8375999999998</v>
      </c>
      <c r="L47">
        <f t="shared" si="4"/>
        <v>65091.46639999999</v>
      </c>
    </row>
    <row r="48" spans="1:12" x14ac:dyDescent="0.2">
      <c r="A48" t="s">
        <v>37</v>
      </c>
      <c r="B48">
        <f t="shared" si="3"/>
        <v>2058.9087999999997</v>
      </c>
      <c r="C48">
        <f t="shared" si="3"/>
        <v>-816.19200000000012</v>
      </c>
      <c r="D48">
        <f t="shared" si="3"/>
        <v>16531.294400000002</v>
      </c>
      <c r="E48">
        <f t="shared" si="3"/>
        <v>20644.736800000002</v>
      </c>
      <c r="F48">
        <f t="shared" si="3"/>
        <v>2162.1432</v>
      </c>
      <c r="G48">
        <f t="shared" si="3"/>
        <v>4026.1696000000002</v>
      </c>
      <c r="H48">
        <f t="shared" si="3"/>
        <v>2325.6095999999998</v>
      </c>
      <c r="I48">
        <f t="shared" si="3"/>
        <v>6835.1232</v>
      </c>
      <c r="J48">
        <f t="shared" si="3"/>
        <v>-178.44759999999999</v>
      </c>
      <c r="K48">
        <f t="shared" ref="K48:K57" si="5">+K13*K32</f>
        <v>-4353.8704000000007</v>
      </c>
      <c r="L48">
        <f t="shared" si="4"/>
        <v>49235.475600000005</v>
      </c>
    </row>
    <row r="49" spans="1:13" x14ac:dyDescent="0.2">
      <c r="A49" t="s">
        <v>329</v>
      </c>
      <c r="B49">
        <f t="shared" si="3"/>
        <v>2128.0527999999999</v>
      </c>
      <c r="C49">
        <f t="shared" si="3"/>
        <v>-843.5856</v>
      </c>
      <c r="D49">
        <f t="shared" si="3"/>
        <v>17085.8848</v>
      </c>
      <c r="E49">
        <f t="shared" si="3"/>
        <v>20764.932800000002</v>
      </c>
      <c r="F49">
        <f t="shared" si="3"/>
        <v>1974.9471999999998</v>
      </c>
      <c r="G49">
        <f t="shared" si="3"/>
        <v>4550.1383999999998</v>
      </c>
      <c r="H49">
        <f t="shared" ref="H49:I57" si="6">+H14*H33</f>
        <v>3183.8112000000001</v>
      </c>
      <c r="I49">
        <f t="shared" si="6"/>
        <v>6765.7632000000003</v>
      </c>
      <c r="J49">
        <f t="shared" si="3"/>
        <v>-206.22919999999999</v>
      </c>
      <c r="K49">
        <f t="shared" si="5"/>
        <v>-4501.6355999999996</v>
      </c>
      <c r="L49">
        <f t="shared" si="4"/>
        <v>50902.079999999994</v>
      </c>
    </row>
    <row r="50" spans="1:13" x14ac:dyDescent="0.2">
      <c r="A50" t="s">
        <v>95</v>
      </c>
      <c r="B50">
        <f t="shared" si="3"/>
        <v>2214.8096</v>
      </c>
      <c r="C50">
        <f t="shared" si="3"/>
        <v>-877.96799999999996</v>
      </c>
      <c r="D50">
        <f t="shared" si="3"/>
        <v>17781.584000000003</v>
      </c>
      <c r="E50">
        <f t="shared" si="3"/>
        <v>18913.123200000002</v>
      </c>
      <c r="F50">
        <f t="shared" si="3"/>
        <v>2089.6876000000002</v>
      </c>
      <c r="G50">
        <f t="shared" si="3"/>
        <v>5343.7776000000003</v>
      </c>
      <c r="H50">
        <f t="shared" si="6"/>
        <v>4729.4944000000005</v>
      </c>
      <c r="I50">
        <f t="shared" si="6"/>
        <v>8540.0288</v>
      </c>
      <c r="J50">
        <f t="shared" si="3"/>
        <v>10.584399999999999</v>
      </c>
      <c r="K50">
        <f t="shared" si="5"/>
        <v>-4688.9436000000005</v>
      </c>
      <c r="L50">
        <f t="shared" si="4"/>
        <v>54056.178000000007</v>
      </c>
    </row>
    <row r="51" spans="1:13" x14ac:dyDescent="0.2">
      <c r="A51" t="s">
        <v>40</v>
      </c>
      <c r="B51">
        <f t="shared" si="3"/>
        <v>3679.2360000000003</v>
      </c>
      <c r="C51">
        <f t="shared" si="3"/>
        <v>-303.20640000000009</v>
      </c>
      <c r="D51">
        <f t="shared" si="3"/>
        <v>18932.5684</v>
      </c>
      <c r="E51">
        <f t="shared" si="3"/>
        <v>18247.101600000002</v>
      </c>
      <c r="F51">
        <f t="shared" si="3"/>
        <v>2009.8624</v>
      </c>
      <c r="G51">
        <f t="shared" si="3"/>
        <v>7871.3011999999999</v>
      </c>
      <c r="H51">
        <f t="shared" si="6"/>
        <v>5137.08</v>
      </c>
      <c r="I51">
        <f t="shared" si="6"/>
        <v>9806.7008000000005</v>
      </c>
      <c r="J51">
        <f t="shared" si="3"/>
        <v>10.1708</v>
      </c>
      <c r="K51">
        <f t="shared" si="5"/>
        <v>-4507.8792000000003</v>
      </c>
      <c r="L51">
        <f t="shared" si="4"/>
        <v>60882.935600000004</v>
      </c>
    </row>
    <row r="52" spans="1:13" x14ac:dyDescent="0.2">
      <c r="A52" t="s">
        <v>41</v>
      </c>
      <c r="B52">
        <f t="shared" si="3"/>
        <v>6783.0187999999998</v>
      </c>
      <c r="C52">
        <f t="shared" si="3"/>
        <v>-303.50880000000006</v>
      </c>
      <c r="D52">
        <f t="shared" si="3"/>
        <v>22604.764000000003</v>
      </c>
      <c r="E52">
        <f t="shared" si="3"/>
        <v>14747.7212</v>
      </c>
      <c r="F52">
        <f t="shared" si="3"/>
        <v>1979.8176000000003</v>
      </c>
      <c r="G52">
        <f t="shared" si="3"/>
        <v>8659.9763999999996</v>
      </c>
      <c r="H52">
        <f t="shared" si="6"/>
        <v>4751.9488000000001</v>
      </c>
      <c r="I52">
        <f t="shared" si="6"/>
        <v>9516.0383999999995</v>
      </c>
      <c r="J52">
        <f t="shared" si="3"/>
        <v>-152.41040000000001</v>
      </c>
      <c r="K52">
        <f t="shared" si="5"/>
        <v>-4512.0416000000005</v>
      </c>
      <c r="L52">
        <f t="shared" si="4"/>
        <v>64075.324400000012</v>
      </c>
    </row>
    <row r="53" spans="1:13" x14ac:dyDescent="0.2">
      <c r="A53" t="s">
        <v>42</v>
      </c>
      <c r="B53">
        <f t="shared" si="3"/>
        <v>6361.2384000000002</v>
      </c>
      <c r="C53">
        <f t="shared" si="3"/>
        <v>2026.2975999999999</v>
      </c>
      <c r="D53">
        <f t="shared" si="3"/>
        <v>20993.888800000001</v>
      </c>
      <c r="E53">
        <f t="shared" si="3"/>
        <v>14802.9328</v>
      </c>
      <c r="F53">
        <f t="shared" si="3"/>
        <v>1974.7992000000004</v>
      </c>
      <c r="G53">
        <f t="shared" si="3"/>
        <v>8139.5496000000003</v>
      </c>
      <c r="H53">
        <f t="shared" si="6"/>
        <v>4316.9967999999999</v>
      </c>
      <c r="I53">
        <f t="shared" si="6"/>
        <v>10667.051199999998</v>
      </c>
      <c r="J53">
        <f t="shared" si="3"/>
        <v>-283.42679999999996</v>
      </c>
      <c r="K53">
        <f t="shared" si="5"/>
        <v>-4903.3072000000002</v>
      </c>
      <c r="L53">
        <f t="shared" si="4"/>
        <v>64096.020400000001</v>
      </c>
    </row>
    <row r="54" spans="1:13" x14ac:dyDescent="0.2">
      <c r="A54" t="s">
        <v>43</v>
      </c>
      <c r="B54">
        <f t="shared" si="3"/>
        <v>5718.5631999999996</v>
      </c>
      <c r="C54">
        <f t="shared" si="3"/>
        <v>1292.0775999999998</v>
      </c>
      <c r="D54">
        <f t="shared" si="3"/>
        <v>17445.760800000004</v>
      </c>
      <c r="E54">
        <f t="shared" si="3"/>
        <v>12763.1376</v>
      </c>
      <c r="F54">
        <f t="shared" si="3"/>
        <v>1266.9876000000002</v>
      </c>
      <c r="G54">
        <f t="shared" si="3"/>
        <v>4723.5443999999998</v>
      </c>
      <c r="H54">
        <f t="shared" si="6"/>
        <v>2543.3663999999999</v>
      </c>
      <c r="I54">
        <f t="shared" si="6"/>
        <v>7220.4304000000002</v>
      </c>
      <c r="J54">
        <f t="shared" si="3"/>
        <v>-386.8048</v>
      </c>
      <c r="K54">
        <f t="shared" si="5"/>
        <v>-4407.9816000000001</v>
      </c>
      <c r="L54">
        <f t="shared" si="4"/>
        <v>48179.081600000005</v>
      </c>
    </row>
    <row r="55" spans="1:13" x14ac:dyDescent="0.2">
      <c r="A55" t="s">
        <v>44</v>
      </c>
      <c r="B55">
        <f t="shared" si="3"/>
        <v>5217.2256000000007</v>
      </c>
      <c r="C55">
        <f t="shared" si="3"/>
        <v>2721.6312000000003</v>
      </c>
      <c r="D55">
        <f t="shared" si="3"/>
        <v>21846.843199999999</v>
      </c>
      <c r="E55">
        <f t="shared" si="3"/>
        <v>15402.3984</v>
      </c>
      <c r="F55">
        <f t="shared" si="3"/>
        <v>1466.3876000000002</v>
      </c>
      <c r="G55">
        <f t="shared" si="3"/>
        <v>4495.9643999999998</v>
      </c>
      <c r="H55">
        <f t="shared" si="6"/>
        <v>2394.3552</v>
      </c>
      <c r="I55">
        <f t="shared" si="6"/>
        <v>7325.2608</v>
      </c>
      <c r="J55">
        <f t="shared" si="3"/>
        <v>-448.22560000000004</v>
      </c>
      <c r="K55">
        <f t="shared" si="5"/>
        <v>-5103.1023999999998</v>
      </c>
      <c r="L55">
        <f>SUM(B55:K55)</f>
        <v>55318.738400000002</v>
      </c>
    </row>
    <row r="56" spans="1:13" x14ac:dyDescent="0.2">
      <c r="A56" t="s">
        <v>509</v>
      </c>
      <c r="B56">
        <f t="shared" si="3"/>
        <v>5039.2608000000009</v>
      </c>
      <c r="C56">
        <f t="shared" si="3"/>
        <v>3516.8363999999997</v>
      </c>
      <c r="D56">
        <f t="shared" si="3"/>
        <v>21899.864000000001</v>
      </c>
      <c r="E56">
        <f t="shared" si="3"/>
        <v>15495.8832</v>
      </c>
      <c r="F56">
        <f t="shared" si="3"/>
        <v>706.13760000000002</v>
      </c>
      <c r="G56">
        <f t="shared" si="3"/>
        <v>4172.6243999999997</v>
      </c>
      <c r="H56">
        <f t="shared" si="6"/>
        <v>3058.1408000000001</v>
      </c>
      <c r="I56">
        <f t="shared" si="6"/>
        <v>7409.2703999999994</v>
      </c>
      <c r="J56">
        <f t="shared" si="3"/>
        <v>-492.07040000000001</v>
      </c>
      <c r="K56">
        <f t="shared" si="5"/>
        <v>-4928.2816000000003</v>
      </c>
      <c r="L56">
        <f>SUM(B56:K56)</f>
        <v>55877.665600000008</v>
      </c>
    </row>
    <row r="57" spans="1:13" x14ac:dyDescent="0.2">
      <c r="A57" t="s">
        <v>34</v>
      </c>
      <c r="B57">
        <f t="shared" si="3"/>
        <v>3823.232</v>
      </c>
      <c r="C57">
        <f t="shared" si="3"/>
        <v>2420.4996000000001</v>
      </c>
      <c r="D57">
        <f t="shared" si="3"/>
        <v>21481.432800000002</v>
      </c>
      <c r="E57">
        <f t="shared" si="3"/>
        <v>16479.123600000003</v>
      </c>
      <c r="F57">
        <f t="shared" si="3"/>
        <v>548.47680000000003</v>
      </c>
      <c r="G57">
        <f t="shared" si="3"/>
        <v>4771.5323999999991</v>
      </c>
      <c r="H57">
        <f t="shared" si="6"/>
        <v>3612.0240000000003</v>
      </c>
      <c r="I57">
        <f t="shared" si="6"/>
        <v>8030.3359999999993</v>
      </c>
      <c r="J57">
        <f t="shared" si="3"/>
        <v>-511.18800000000005</v>
      </c>
      <c r="K57">
        <f t="shared" si="5"/>
        <v>-5113.5084000000006</v>
      </c>
      <c r="L57">
        <f>SUM(B57:K57)</f>
        <v>55541.960799999986</v>
      </c>
    </row>
    <row r="58" spans="1:13" x14ac:dyDescent="0.2">
      <c r="A58" t="s">
        <v>88</v>
      </c>
      <c r="B58">
        <f t="shared" ref="B58:L58" si="7">SUM(B46:B57)</f>
        <v>76748.237999999998</v>
      </c>
      <c r="C58">
        <f t="shared" si="7"/>
        <v>10786.617600000001</v>
      </c>
      <c r="D58">
        <f t="shared" si="7"/>
        <v>225522.63440000004</v>
      </c>
      <c r="E58">
        <f t="shared" si="7"/>
        <v>214224.05360000001</v>
      </c>
      <c r="F58">
        <f t="shared" si="7"/>
        <v>24363.430400000008</v>
      </c>
      <c r="G58">
        <f t="shared" si="7"/>
        <v>66053.834399999992</v>
      </c>
      <c r="H58">
        <f t="shared" si="7"/>
        <v>39726.958399999996</v>
      </c>
      <c r="I58">
        <f t="shared" si="7"/>
        <v>90976.265599999984</v>
      </c>
      <c r="J58">
        <f t="shared" si="7"/>
        <v>15301.683599999993</v>
      </c>
      <c r="K58">
        <f t="shared" si="7"/>
        <v>-55736.139199999998</v>
      </c>
      <c r="L58">
        <f t="shared" si="7"/>
        <v>707967.57679999992</v>
      </c>
      <c r="M58">
        <f>L58+I118</f>
        <v>753522.58</v>
      </c>
    </row>
    <row r="60" spans="1:13" x14ac:dyDescent="0.2">
      <c r="L60" t="s">
        <v>6</v>
      </c>
    </row>
    <row r="61" spans="1:13" x14ac:dyDescent="0.2">
      <c r="F61" t="s">
        <v>536</v>
      </c>
    </row>
    <row r="62" spans="1:13" x14ac:dyDescent="0.2">
      <c r="F62" t="s">
        <v>537</v>
      </c>
    </row>
    <row r="63" spans="1:13" x14ac:dyDescent="0.2">
      <c r="F63" t="s">
        <v>0</v>
      </c>
    </row>
    <row r="64" spans="1:13" x14ac:dyDescent="0.2">
      <c r="F64" t="s">
        <v>378</v>
      </c>
    </row>
    <row r="65" spans="1:11" x14ac:dyDescent="0.2">
      <c r="F65" t="str">
        <f>E5</f>
        <v>After Sixteenth  Year</v>
      </c>
    </row>
    <row r="67" spans="1:11" x14ac:dyDescent="0.2">
      <c r="B67" t="s">
        <v>81</v>
      </c>
    </row>
    <row r="68" spans="1:11" x14ac:dyDescent="0.2">
      <c r="G68" t="s">
        <v>330</v>
      </c>
      <c r="H68" t="s">
        <v>6</v>
      </c>
      <c r="K68" t="s">
        <v>6</v>
      </c>
    </row>
    <row r="69" spans="1:11" x14ac:dyDescent="0.2">
      <c r="B69" t="s">
        <v>14</v>
      </c>
      <c r="C69" t="s">
        <v>15</v>
      </c>
      <c r="D69" t="s">
        <v>16</v>
      </c>
      <c r="E69" t="s">
        <v>18</v>
      </c>
      <c r="F69" t="s">
        <v>19</v>
      </c>
      <c r="G69" t="s">
        <v>331</v>
      </c>
      <c r="H69" t="s">
        <v>333</v>
      </c>
      <c r="I69" t="s">
        <v>84</v>
      </c>
    </row>
    <row r="70" spans="1:11" x14ac:dyDescent="0.2">
      <c r="A70" t="s">
        <v>9</v>
      </c>
    </row>
    <row r="71" spans="1:11" x14ac:dyDescent="0.2">
      <c r="A71" t="s">
        <v>35</v>
      </c>
      <c r="B71">
        <v>38.01</v>
      </c>
      <c r="C71">
        <v>19.7</v>
      </c>
      <c r="D71">
        <v>11.09</v>
      </c>
      <c r="E71">
        <v>0.89</v>
      </c>
      <c r="F71">
        <v>2.37</v>
      </c>
      <c r="G71">
        <v>5.54</v>
      </c>
      <c r="H71">
        <v>1.59</v>
      </c>
      <c r="I71">
        <f t="shared" ref="I71:I80" si="8">SUM(B71:H71)</f>
        <v>79.190000000000012</v>
      </c>
    </row>
    <row r="72" spans="1:11" x14ac:dyDescent="0.2">
      <c r="A72" t="s">
        <v>525</v>
      </c>
      <c r="B72">
        <v>34.71</v>
      </c>
      <c r="C72">
        <v>17.98</v>
      </c>
      <c r="D72">
        <v>10.119999999999999</v>
      </c>
      <c r="E72">
        <v>0.82</v>
      </c>
      <c r="F72">
        <v>2.17</v>
      </c>
      <c r="G72">
        <v>5.07</v>
      </c>
      <c r="H72">
        <v>1.44</v>
      </c>
      <c r="I72">
        <f t="shared" si="8"/>
        <v>72.31</v>
      </c>
    </row>
    <row r="73" spans="1:11" x14ac:dyDescent="0.2">
      <c r="A73" t="s">
        <v>37</v>
      </c>
      <c r="B73">
        <v>19.690000000000001</v>
      </c>
      <c r="C73">
        <v>17.22</v>
      </c>
      <c r="D73">
        <v>23.21</v>
      </c>
      <c r="E73">
        <v>0.89</v>
      </c>
      <c r="F73">
        <v>2.06</v>
      </c>
      <c r="G73">
        <v>4.41</v>
      </c>
      <c r="H73">
        <v>1.38</v>
      </c>
      <c r="I73">
        <f t="shared" si="8"/>
        <v>68.86</v>
      </c>
    </row>
    <row r="74" spans="1:11" x14ac:dyDescent="0.2">
      <c r="A74" t="s">
        <v>329</v>
      </c>
      <c r="B74">
        <v>21.67</v>
      </c>
      <c r="C74">
        <v>18.940000000000001</v>
      </c>
      <c r="D74">
        <v>25.53</v>
      </c>
      <c r="E74">
        <v>0.99</v>
      </c>
      <c r="F74">
        <v>2.27</v>
      </c>
      <c r="G74">
        <v>4.8499999999999996</v>
      </c>
      <c r="H74">
        <v>1.51</v>
      </c>
      <c r="I74">
        <f t="shared" si="8"/>
        <v>75.759999999999991</v>
      </c>
    </row>
    <row r="75" spans="1:11" x14ac:dyDescent="0.2">
      <c r="A75" t="s">
        <v>95</v>
      </c>
      <c r="B75">
        <v>21.67</v>
      </c>
      <c r="C75">
        <v>18.940000000000001</v>
      </c>
      <c r="D75">
        <v>25.53</v>
      </c>
      <c r="E75">
        <v>0.99</v>
      </c>
      <c r="F75">
        <v>2.27</v>
      </c>
      <c r="G75">
        <v>4.8499999999999996</v>
      </c>
      <c r="H75">
        <v>1.51</v>
      </c>
      <c r="I75">
        <f t="shared" si="8"/>
        <v>75.759999999999991</v>
      </c>
    </row>
    <row r="76" spans="1:11" x14ac:dyDescent="0.2">
      <c r="A76" t="s">
        <v>40</v>
      </c>
      <c r="B76">
        <v>20.68</v>
      </c>
      <c r="C76">
        <v>18.079999999999998</v>
      </c>
      <c r="D76">
        <v>24.37</v>
      </c>
      <c r="E76">
        <v>0.94</v>
      </c>
      <c r="F76">
        <v>2.17</v>
      </c>
      <c r="G76">
        <v>4.63</v>
      </c>
      <c r="H76">
        <v>1.44</v>
      </c>
      <c r="I76">
        <f t="shared" si="8"/>
        <v>72.309999999999988</v>
      </c>
    </row>
    <row r="77" spans="1:11" x14ac:dyDescent="0.2">
      <c r="A77" t="s">
        <v>41</v>
      </c>
      <c r="B77">
        <v>21.67</v>
      </c>
      <c r="C77">
        <v>18.940000000000001</v>
      </c>
      <c r="D77">
        <v>25.53</v>
      </c>
      <c r="E77">
        <v>0.99</v>
      </c>
      <c r="F77">
        <v>2.27</v>
      </c>
      <c r="G77">
        <v>4.8499999999999996</v>
      </c>
      <c r="H77">
        <v>1.51</v>
      </c>
      <c r="I77">
        <f t="shared" si="8"/>
        <v>75.759999999999991</v>
      </c>
    </row>
    <row r="78" spans="1:11" x14ac:dyDescent="0.2">
      <c r="A78" t="s">
        <v>42</v>
      </c>
      <c r="B78">
        <v>21.67</v>
      </c>
      <c r="C78">
        <v>18.940000000000001</v>
      </c>
      <c r="D78">
        <v>25.53</v>
      </c>
      <c r="E78">
        <v>0.99</v>
      </c>
      <c r="F78">
        <v>2.27</v>
      </c>
      <c r="G78">
        <v>4.8499999999999996</v>
      </c>
      <c r="H78">
        <v>1.51</v>
      </c>
      <c r="I78">
        <f t="shared" si="8"/>
        <v>75.759999999999991</v>
      </c>
    </row>
    <row r="79" spans="1:11" x14ac:dyDescent="0.2">
      <c r="A79" t="s">
        <v>43</v>
      </c>
      <c r="B79">
        <v>20.68</v>
      </c>
      <c r="C79">
        <v>18.079999999999998</v>
      </c>
      <c r="D79">
        <v>24.37</v>
      </c>
      <c r="E79">
        <v>0.94</v>
      </c>
      <c r="F79">
        <v>2.17</v>
      </c>
      <c r="G79">
        <v>4.625</v>
      </c>
      <c r="H79">
        <v>1.44</v>
      </c>
      <c r="I79">
        <f t="shared" si="8"/>
        <v>72.304999999999993</v>
      </c>
    </row>
    <row r="80" spans="1:11" x14ac:dyDescent="0.2">
      <c r="A80" t="s">
        <v>44</v>
      </c>
      <c r="B80">
        <v>21.67</v>
      </c>
      <c r="C80">
        <v>18.940000000000001</v>
      </c>
      <c r="D80">
        <v>25.53</v>
      </c>
      <c r="E80">
        <v>0.99</v>
      </c>
      <c r="F80">
        <v>2.27</v>
      </c>
      <c r="G80">
        <v>4.8499999999999996</v>
      </c>
      <c r="H80">
        <v>1.51</v>
      </c>
      <c r="I80">
        <f t="shared" si="8"/>
        <v>75.759999999999991</v>
      </c>
    </row>
    <row r="81" spans="1:9" x14ac:dyDescent="0.2">
      <c r="A81" t="s">
        <v>509</v>
      </c>
      <c r="B81">
        <v>21.67</v>
      </c>
      <c r="C81">
        <v>18.940000000000001</v>
      </c>
      <c r="D81">
        <v>25.53</v>
      </c>
      <c r="E81">
        <v>0.99</v>
      </c>
      <c r="F81">
        <v>2.27</v>
      </c>
      <c r="G81">
        <v>4.8499999999999996</v>
      </c>
      <c r="H81">
        <v>1.51</v>
      </c>
      <c r="I81">
        <f>SUM(B81:H81)</f>
        <v>75.759999999999991</v>
      </c>
    </row>
    <row r="82" spans="1:9" x14ac:dyDescent="0.2">
      <c r="A82" t="s">
        <v>34</v>
      </c>
      <c r="B82">
        <v>20.68</v>
      </c>
      <c r="C82">
        <v>18.079999999999998</v>
      </c>
      <c r="D82">
        <v>24.37</v>
      </c>
      <c r="E82">
        <v>0.94</v>
      </c>
      <c r="F82">
        <v>2.17</v>
      </c>
      <c r="G82">
        <v>4.63</v>
      </c>
      <c r="H82">
        <v>1.44</v>
      </c>
      <c r="I82">
        <f>SUM(B82:H82)</f>
        <v>72.309999999999988</v>
      </c>
    </row>
    <row r="83" spans="1:9" x14ac:dyDescent="0.2">
      <c r="A83" t="s">
        <v>22</v>
      </c>
      <c r="B83">
        <f t="shared" ref="B83:I83" si="9">SUM(B71:B82)</f>
        <v>284.47000000000008</v>
      </c>
      <c r="C83">
        <f t="shared" si="9"/>
        <v>222.77999999999997</v>
      </c>
      <c r="D83">
        <f t="shared" si="9"/>
        <v>270.70999999999998</v>
      </c>
      <c r="E83">
        <f t="shared" si="9"/>
        <v>11.36</v>
      </c>
      <c r="F83">
        <f t="shared" si="9"/>
        <v>26.729999999999997</v>
      </c>
      <c r="G83">
        <f t="shared" si="9"/>
        <v>58.005000000000003</v>
      </c>
      <c r="H83">
        <f t="shared" si="9"/>
        <v>17.79</v>
      </c>
      <c r="I83">
        <f t="shared" si="9"/>
        <v>891.84499999999991</v>
      </c>
    </row>
    <row r="85" spans="1:9" x14ac:dyDescent="0.2">
      <c r="A85" t="s">
        <v>117</v>
      </c>
      <c r="B85">
        <f>B83/$I$83</f>
        <v>0.31896798210451383</v>
      </c>
      <c r="C85">
        <f t="shared" ref="C85:H85" si="10">C83/$I$83</f>
        <v>0.24979676961803901</v>
      </c>
      <c r="D85">
        <f t="shared" si="10"/>
        <v>0.30353929214157171</v>
      </c>
      <c r="E85">
        <f t="shared" si="10"/>
        <v>1.2737639388010249E-2</v>
      </c>
      <c r="F85">
        <f t="shared" si="10"/>
        <v>2.9971575778302284E-2</v>
      </c>
      <c r="G85">
        <f t="shared" si="10"/>
        <v>6.503932858288157E-2</v>
      </c>
      <c r="H85">
        <f t="shared" si="10"/>
        <v>1.9947412386681542E-2</v>
      </c>
      <c r="I85">
        <f>SUM(B85:H85)</f>
        <v>1</v>
      </c>
    </row>
    <row r="87" spans="1:9" x14ac:dyDescent="0.2">
      <c r="G87" t="s">
        <v>330</v>
      </c>
      <c r="I87" t="s">
        <v>6</v>
      </c>
    </row>
    <row r="88" spans="1:9" x14ac:dyDescent="0.2">
      <c r="B88" t="s">
        <v>14</v>
      </c>
      <c r="C88" t="s">
        <v>15</v>
      </c>
      <c r="D88" t="s">
        <v>16</v>
      </c>
      <c r="E88" t="s">
        <v>18</v>
      </c>
      <c r="F88" t="s">
        <v>19</v>
      </c>
      <c r="G88" t="s">
        <v>331</v>
      </c>
      <c r="H88" t="s">
        <v>333</v>
      </c>
    </row>
    <row r="89" spans="1:9" x14ac:dyDescent="0.2">
      <c r="A89" t="s">
        <v>86</v>
      </c>
    </row>
    <row r="90" spans="1:9" x14ac:dyDescent="0.2">
      <c r="A90" t="s">
        <v>35</v>
      </c>
      <c r="B90">
        <f>B30</f>
        <v>50</v>
      </c>
      <c r="C90">
        <f>C30</f>
        <v>10</v>
      </c>
      <c r="D90">
        <f>D30</f>
        <v>55</v>
      </c>
      <c r="E90">
        <f>E30</f>
        <v>1450</v>
      </c>
      <c r="F90">
        <f>F30</f>
        <v>105</v>
      </c>
      <c r="G90">
        <v>200</v>
      </c>
      <c r="H90">
        <v>-135</v>
      </c>
    </row>
    <row r="91" spans="1:9" x14ac:dyDescent="0.2">
      <c r="A91" t="s">
        <v>525</v>
      </c>
      <c r="B91">
        <v>45</v>
      </c>
      <c r="C91">
        <v>10</v>
      </c>
      <c r="D91">
        <v>50.02</v>
      </c>
      <c r="E91">
        <v>1195.8</v>
      </c>
      <c r="F91">
        <v>89.97</v>
      </c>
      <c r="G91">
        <v>106.9</v>
      </c>
      <c r="H91">
        <v>-135</v>
      </c>
    </row>
    <row r="92" spans="1:9" x14ac:dyDescent="0.2">
      <c r="A92" t="s">
        <v>37</v>
      </c>
      <c r="B92">
        <f t="shared" ref="B92:C101" si="11">B32</f>
        <v>6.88</v>
      </c>
      <c r="C92">
        <f t="shared" si="11"/>
        <v>-3.12</v>
      </c>
      <c r="D92">
        <v>46.9</v>
      </c>
      <c r="E92">
        <v>1525.92</v>
      </c>
      <c r="F92">
        <v>69.09</v>
      </c>
      <c r="G92">
        <v>194.3</v>
      </c>
      <c r="H92">
        <v>-208.12</v>
      </c>
    </row>
    <row r="93" spans="1:9" x14ac:dyDescent="0.2">
      <c r="A93" t="s">
        <v>329</v>
      </c>
      <c r="B93">
        <f t="shared" si="11"/>
        <v>6.88</v>
      </c>
      <c r="C93">
        <f t="shared" si="11"/>
        <v>-3.12</v>
      </c>
      <c r="D93">
        <f t="shared" ref="D93:F101" si="12">D33</f>
        <v>46.88</v>
      </c>
      <c r="E93">
        <f t="shared" si="12"/>
        <v>1476.88</v>
      </c>
      <c r="F93">
        <f t="shared" si="12"/>
        <v>60.88</v>
      </c>
      <c r="G93">
        <v>194.3</v>
      </c>
      <c r="H93">
        <v>-208.12</v>
      </c>
    </row>
    <row r="94" spans="1:9" x14ac:dyDescent="0.2">
      <c r="A94" t="s">
        <v>95</v>
      </c>
      <c r="B94">
        <f t="shared" si="11"/>
        <v>6.88</v>
      </c>
      <c r="C94">
        <f t="shared" si="11"/>
        <v>-3.12</v>
      </c>
      <c r="D94">
        <f t="shared" si="12"/>
        <v>46.88</v>
      </c>
      <c r="E94">
        <f t="shared" si="12"/>
        <v>1291.8800000000001</v>
      </c>
      <c r="F94">
        <f t="shared" si="12"/>
        <v>61.88</v>
      </c>
      <c r="G94">
        <v>258.14999999999998</v>
      </c>
      <c r="H94">
        <v>-208.12</v>
      </c>
    </row>
    <row r="95" spans="1:9" x14ac:dyDescent="0.2">
      <c r="A95" t="s">
        <v>40</v>
      </c>
      <c r="B95">
        <f t="shared" si="11"/>
        <v>11.88</v>
      </c>
      <c r="C95">
        <f t="shared" si="11"/>
        <v>-1.1200000000000001</v>
      </c>
      <c r="D95">
        <f t="shared" si="12"/>
        <v>51.88</v>
      </c>
      <c r="E95">
        <f t="shared" si="12"/>
        <v>1296.8800000000001</v>
      </c>
      <c r="F95">
        <f t="shared" si="12"/>
        <v>61.88</v>
      </c>
      <c r="G95">
        <v>329.71</v>
      </c>
      <c r="H95">
        <v>-208.12</v>
      </c>
    </row>
    <row r="96" spans="1:9" x14ac:dyDescent="0.2">
      <c r="A96" t="s">
        <v>41</v>
      </c>
      <c r="B96">
        <f t="shared" si="11"/>
        <v>21.88</v>
      </c>
      <c r="C96">
        <f t="shared" si="11"/>
        <v>-1.1200000000000001</v>
      </c>
      <c r="D96">
        <f t="shared" si="12"/>
        <v>61.88</v>
      </c>
      <c r="E96">
        <f t="shared" si="12"/>
        <v>1046.68</v>
      </c>
      <c r="F96">
        <f t="shared" si="12"/>
        <v>60.88</v>
      </c>
      <c r="G96">
        <v>327.78</v>
      </c>
      <c r="H96">
        <v>-208.12</v>
      </c>
    </row>
    <row r="97" spans="1:9" x14ac:dyDescent="0.2">
      <c r="A97" t="s">
        <v>42</v>
      </c>
      <c r="B97">
        <f t="shared" si="11"/>
        <v>18.88</v>
      </c>
      <c r="C97">
        <f t="shared" si="11"/>
        <v>6.88</v>
      </c>
      <c r="D97">
        <f t="shared" si="12"/>
        <v>52.88</v>
      </c>
      <c r="E97">
        <f t="shared" si="12"/>
        <v>966.88</v>
      </c>
      <c r="F97">
        <f t="shared" si="12"/>
        <v>55.88</v>
      </c>
      <c r="G97">
        <v>302.14</v>
      </c>
      <c r="H97">
        <v>-208.12</v>
      </c>
    </row>
    <row r="98" spans="1:9" x14ac:dyDescent="0.2">
      <c r="A98" t="s">
        <v>43</v>
      </c>
      <c r="B98">
        <f t="shared" si="11"/>
        <v>18.88</v>
      </c>
      <c r="C98">
        <f t="shared" si="11"/>
        <v>4.88</v>
      </c>
      <c r="D98">
        <f t="shared" si="12"/>
        <v>48.88</v>
      </c>
      <c r="E98">
        <f t="shared" si="12"/>
        <v>926.88</v>
      </c>
      <c r="F98">
        <f t="shared" si="12"/>
        <v>39.880000000000003</v>
      </c>
      <c r="G98">
        <v>208.26</v>
      </c>
      <c r="H98">
        <v>-208.12</v>
      </c>
    </row>
    <row r="99" spans="1:9" x14ac:dyDescent="0.2">
      <c r="A99" t="s">
        <v>508</v>
      </c>
      <c r="B99">
        <f t="shared" si="11"/>
        <v>14.88</v>
      </c>
      <c r="C99">
        <f t="shared" si="11"/>
        <v>8.8800000000000008</v>
      </c>
      <c r="D99">
        <f t="shared" si="12"/>
        <v>52.88</v>
      </c>
      <c r="E99">
        <f t="shared" si="12"/>
        <v>966.88</v>
      </c>
      <c r="F99">
        <f t="shared" si="12"/>
        <v>39.880000000000003</v>
      </c>
      <c r="G99">
        <v>175.25</v>
      </c>
      <c r="H99">
        <v>-208.12</v>
      </c>
    </row>
    <row r="100" spans="1:9" x14ac:dyDescent="0.2">
      <c r="A100" t="s">
        <v>509</v>
      </c>
      <c r="B100">
        <f t="shared" si="11"/>
        <v>14.88</v>
      </c>
      <c r="C100">
        <f t="shared" si="11"/>
        <v>11.88</v>
      </c>
      <c r="D100">
        <f t="shared" si="12"/>
        <v>54.88</v>
      </c>
      <c r="E100">
        <f t="shared" si="12"/>
        <v>1006.88</v>
      </c>
      <c r="F100">
        <f t="shared" si="12"/>
        <v>19.88</v>
      </c>
      <c r="G100">
        <v>186.44</v>
      </c>
      <c r="H100">
        <v>-208.12</v>
      </c>
    </row>
    <row r="101" spans="1:9" x14ac:dyDescent="0.2">
      <c r="A101" t="s">
        <v>34</v>
      </c>
      <c r="B101">
        <f t="shared" si="11"/>
        <v>10.88</v>
      </c>
      <c r="C101">
        <f t="shared" si="11"/>
        <v>7.88</v>
      </c>
      <c r="D101">
        <f t="shared" si="12"/>
        <v>51.88</v>
      </c>
      <c r="E101">
        <f t="shared" si="12"/>
        <v>1031.8800000000001</v>
      </c>
      <c r="F101">
        <f t="shared" si="12"/>
        <v>14.88</v>
      </c>
      <c r="G101">
        <v>202.29</v>
      </c>
      <c r="H101">
        <v>-208.12</v>
      </c>
    </row>
    <row r="103" spans="1:9" x14ac:dyDescent="0.2">
      <c r="G103" t="s">
        <v>330</v>
      </c>
    </row>
    <row r="104" spans="1:9" x14ac:dyDescent="0.2">
      <c r="B104" t="s">
        <v>14</v>
      </c>
      <c r="C104" t="s">
        <v>15</v>
      </c>
      <c r="D104" t="s">
        <v>16</v>
      </c>
      <c r="E104" t="s">
        <v>18</v>
      </c>
      <c r="F104" t="s">
        <v>19</v>
      </c>
      <c r="G104" t="s">
        <v>331</v>
      </c>
      <c r="H104" t="s">
        <v>333</v>
      </c>
      <c r="I104" t="s">
        <v>84</v>
      </c>
    </row>
    <row r="105" spans="1:9" x14ac:dyDescent="0.2">
      <c r="A105" t="s">
        <v>24</v>
      </c>
    </row>
    <row r="106" spans="1:9" x14ac:dyDescent="0.2">
      <c r="A106" t="s">
        <v>35</v>
      </c>
      <c r="B106">
        <f t="shared" ref="B106:H106" si="13">B71*B90</f>
        <v>1900.5</v>
      </c>
      <c r="C106">
        <f t="shared" si="13"/>
        <v>197</v>
      </c>
      <c r="D106">
        <f t="shared" si="13"/>
        <v>609.95000000000005</v>
      </c>
      <c r="E106">
        <f t="shared" si="13"/>
        <v>1290.5</v>
      </c>
      <c r="F106">
        <f t="shared" si="13"/>
        <v>248.85000000000002</v>
      </c>
      <c r="G106">
        <f t="shared" si="13"/>
        <v>1108</v>
      </c>
      <c r="H106">
        <f t="shared" si="13"/>
        <v>-214.65</v>
      </c>
      <c r="I106">
        <f>SUM(B106:H106)</f>
        <v>5140.1500000000005</v>
      </c>
    </row>
    <row r="107" spans="1:9" x14ac:dyDescent="0.2">
      <c r="A107" t="s">
        <v>525</v>
      </c>
      <c r="B107">
        <f>B72*B91</f>
        <v>1561.95</v>
      </c>
      <c r="C107">
        <f t="shared" ref="C107:H107" si="14">C72*C91</f>
        <v>179.8</v>
      </c>
      <c r="D107">
        <f t="shared" si="14"/>
        <v>506.20240000000001</v>
      </c>
      <c r="E107">
        <f t="shared" si="14"/>
        <v>980.55599999999993</v>
      </c>
      <c r="F107">
        <f t="shared" si="14"/>
        <v>195.23489999999998</v>
      </c>
      <c r="G107">
        <f t="shared" si="14"/>
        <v>541.98300000000006</v>
      </c>
      <c r="H107">
        <f t="shared" si="14"/>
        <v>-194.4</v>
      </c>
      <c r="I107">
        <f t="shared" ref="I107:I117" si="15">SUM(B107:H107)</f>
        <v>3771.3263000000002</v>
      </c>
    </row>
    <row r="108" spans="1:9" x14ac:dyDescent="0.2">
      <c r="A108" t="s">
        <v>37</v>
      </c>
      <c r="B108">
        <f>B73*B92</f>
        <v>135.46720000000002</v>
      </c>
      <c r="C108">
        <f t="shared" ref="C108:H108" si="16">C73*C92</f>
        <v>-53.726399999999998</v>
      </c>
      <c r="D108">
        <f t="shared" si="16"/>
        <v>1088.549</v>
      </c>
      <c r="E108">
        <f t="shared" si="16"/>
        <v>1358.0688</v>
      </c>
      <c r="F108">
        <f t="shared" si="16"/>
        <v>142.3254</v>
      </c>
      <c r="G108">
        <f t="shared" si="16"/>
        <v>856.86300000000006</v>
      </c>
      <c r="H108">
        <f t="shared" si="16"/>
        <v>-287.2056</v>
      </c>
      <c r="I108">
        <f t="shared" si="15"/>
        <v>3240.3414000000002</v>
      </c>
    </row>
    <row r="109" spans="1:9" x14ac:dyDescent="0.2">
      <c r="A109" t="s">
        <v>329</v>
      </c>
      <c r="B109">
        <f>B74*B93</f>
        <v>149.08960000000002</v>
      </c>
      <c r="C109">
        <f t="shared" ref="C109:H109" si="17">C74*C93</f>
        <v>-59.092800000000004</v>
      </c>
      <c r="D109">
        <f t="shared" si="17"/>
        <v>1196.8464000000001</v>
      </c>
      <c r="E109">
        <f t="shared" si="17"/>
        <v>1462.1112000000001</v>
      </c>
      <c r="F109">
        <f t="shared" si="17"/>
        <v>138.19759999999999</v>
      </c>
      <c r="G109">
        <f t="shared" si="17"/>
        <v>942.35500000000002</v>
      </c>
      <c r="H109">
        <f t="shared" si="17"/>
        <v>-314.26120000000003</v>
      </c>
      <c r="I109">
        <f t="shared" si="15"/>
        <v>3515.2458000000006</v>
      </c>
    </row>
    <row r="110" spans="1:9" x14ac:dyDescent="0.2">
      <c r="A110" t="s">
        <v>95</v>
      </c>
      <c r="B110">
        <f>B75*B94</f>
        <v>149.08960000000002</v>
      </c>
      <c r="C110">
        <f t="shared" ref="C110:H110" si="18">C75*C94</f>
        <v>-59.092800000000004</v>
      </c>
      <c r="D110">
        <f t="shared" si="18"/>
        <v>1196.8464000000001</v>
      </c>
      <c r="E110">
        <f t="shared" si="18"/>
        <v>1278.9612000000002</v>
      </c>
      <c r="F110">
        <f t="shared" si="18"/>
        <v>140.4676</v>
      </c>
      <c r="G110">
        <f t="shared" si="18"/>
        <v>1252.0274999999997</v>
      </c>
      <c r="H110">
        <f t="shared" si="18"/>
        <v>-314.26120000000003</v>
      </c>
      <c r="I110">
        <f t="shared" si="15"/>
        <v>3644.0383000000002</v>
      </c>
    </row>
    <row r="111" spans="1:9" x14ac:dyDescent="0.2">
      <c r="A111" t="s">
        <v>40</v>
      </c>
      <c r="B111">
        <f t="shared" ref="B111:H111" si="19">B76*B95</f>
        <v>245.67840000000001</v>
      </c>
      <c r="C111">
        <f t="shared" si="19"/>
        <v>-20.249600000000001</v>
      </c>
      <c r="D111">
        <f t="shared" si="19"/>
        <v>1264.3156000000001</v>
      </c>
      <c r="E111">
        <f t="shared" si="19"/>
        <v>1219.0672</v>
      </c>
      <c r="F111">
        <f t="shared" si="19"/>
        <v>134.27959999999999</v>
      </c>
      <c r="G111">
        <f t="shared" si="19"/>
        <v>1526.5572999999999</v>
      </c>
      <c r="H111">
        <f t="shared" si="19"/>
        <v>-299.69279999999998</v>
      </c>
      <c r="I111">
        <f t="shared" si="15"/>
        <v>4069.9556999999995</v>
      </c>
    </row>
    <row r="112" spans="1:9" x14ac:dyDescent="0.2">
      <c r="A112" t="s">
        <v>41</v>
      </c>
      <c r="B112">
        <f t="shared" ref="B112:H112" si="20">B77*B96</f>
        <v>474.13960000000003</v>
      </c>
      <c r="C112">
        <f t="shared" si="20"/>
        <v>-21.212800000000005</v>
      </c>
      <c r="D112">
        <f t="shared" si="20"/>
        <v>1579.7964000000002</v>
      </c>
      <c r="E112">
        <f t="shared" si="20"/>
        <v>1036.2132000000001</v>
      </c>
      <c r="F112">
        <f t="shared" si="20"/>
        <v>138.19759999999999</v>
      </c>
      <c r="G112">
        <f t="shared" si="20"/>
        <v>1589.7329999999997</v>
      </c>
      <c r="H112">
        <f t="shared" si="20"/>
        <v>-314.26120000000003</v>
      </c>
      <c r="I112">
        <f t="shared" si="15"/>
        <v>4482.6058000000003</v>
      </c>
    </row>
    <row r="113" spans="1:9" x14ac:dyDescent="0.2">
      <c r="A113" t="s">
        <v>42</v>
      </c>
      <c r="B113">
        <f t="shared" ref="B113:H113" si="21">B78*B97</f>
        <v>409.12960000000004</v>
      </c>
      <c r="C113">
        <f t="shared" si="21"/>
        <v>130.30719999999999</v>
      </c>
      <c r="D113">
        <f t="shared" si="21"/>
        <v>1350.0264000000002</v>
      </c>
      <c r="E113">
        <f t="shared" si="21"/>
        <v>957.21119999999996</v>
      </c>
      <c r="F113">
        <f t="shared" si="21"/>
        <v>126.8476</v>
      </c>
      <c r="G113">
        <f t="shared" si="21"/>
        <v>1465.3789999999999</v>
      </c>
      <c r="H113">
        <f t="shared" si="21"/>
        <v>-314.26120000000003</v>
      </c>
      <c r="I113">
        <f t="shared" si="15"/>
        <v>4124.6397999999999</v>
      </c>
    </row>
    <row r="114" spans="1:9" x14ac:dyDescent="0.2">
      <c r="A114" t="s">
        <v>43</v>
      </c>
      <c r="B114">
        <f t="shared" ref="B114:H114" si="22">B79*B98</f>
        <v>390.4384</v>
      </c>
      <c r="C114">
        <f t="shared" si="22"/>
        <v>88.230399999999989</v>
      </c>
      <c r="D114">
        <f t="shared" si="22"/>
        <v>1191.2056</v>
      </c>
      <c r="E114">
        <f t="shared" si="22"/>
        <v>871.2672</v>
      </c>
      <c r="F114">
        <f t="shared" si="22"/>
        <v>86.539600000000007</v>
      </c>
      <c r="G114">
        <f t="shared" si="22"/>
        <v>963.20249999999999</v>
      </c>
      <c r="H114">
        <f t="shared" si="22"/>
        <v>-299.69279999999998</v>
      </c>
      <c r="I114">
        <f t="shared" si="15"/>
        <v>3291.1909000000001</v>
      </c>
    </row>
    <row r="115" spans="1:9" x14ac:dyDescent="0.2">
      <c r="A115" t="s">
        <v>44</v>
      </c>
      <c r="B115">
        <f t="shared" ref="B115:H115" si="23">B80*B99</f>
        <v>322.44960000000003</v>
      </c>
      <c r="C115">
        <f t="shared" si="23"/>
        <v>168.18720000000002</v>
      </c>
      <c r="D115">
        <f t="shared" si="23"/>
        <v>1350.0264000000002</v>
      </c>
      <c r="E115">
        <f t="shared" si="23"/>
        <v>957.21119999999996</v>
      </c>
      <c r="F115">
        <f t="shared" si="23"/>
        <v>90.527600000000007</v>
      </c>
      <c r="G115">
        <f t="shared" si="23"/>
        <v>849.96249999999998</v>
      </c>
      <c r="H115">
        <f t="shared" si="23"/>
        <v>-314.26120000000003</v>
      </c>
      <c r="I115">
        <f t="shared" si="15"/>
        <v>3424.1033000000002</v>
      </c>
    </row>
    <row r="116" spans="1:9" x14ac:dyDescent="0.2">
      <c r="A116" t="s">
        <v>116</v>
      </c>
      <c r="B116">
        <f t="shared" ref="B116:H116" si="24">B81*B100</f>
        <v>322.44960000000003</v>
      </c>
      <c r="C116">
        <f t="shared" si="24"/>
        <v>225.00720000000004</v>
      </c>
      <c r="D116">
        <f t="shared" si="24"/>
        <v>1401.0864000000001</v>
      </c>
      <c r="E116">
        <f t="shared" si="24"/>
        <v>996.81119999999999</v>
      </c>
      <c r="F116">
        <f t="shared" si="24"/>
        <v>45.127600000000001</v>
      </c>
      <c r="G116">
        <f t="shared" si="24"/>
        <v>904.23399999999992</v>
      </c>
      <c r="H116">
        <f t="shared" si="24"/>
        <v>-314.26120000000003</v>
      </c>
      <c r="I116">
        <f t="shared" si="15"/>
        <v>3580.4548</v>
      </c>
    </row>
    <row r="117" spans="1:9" x14ac:dyDescent="0.2">
      <c r="A117" t="s">
        <v>34</v>
      </c>
      <c r="B117">
        <f t="shared" ref="B117:H117" si="25">B82*B101</f>
        <v>224.9984</v>
      </c>
      <c r="C117">
        <f t="shared" si="25"/>
        <v>142.47039999999998</v>
      </c>
      <c r="D117">
        <f t="shared" si="25"/>
        <v>1264.3156000000001</v>
      </c>
      <c r="E117">
        <f t="shared" si="25"/>
        <v>969.96720000000005</v>
      </c>
      <c r="F117">
        <f t="shared" si="25"/>
        <v>32.2896</v>
      </c>
      <c r="G117">
        <f t="shared" si="25"/>
        <v>936.60269999999991</v>
      </c>
      <c r="H117">
        <f t="shared" si="25"/>
        <v>-299.69279999999998</v>
      </c>
      <c r="I117">
        <f t="shared" si="15"/>
        <v>3270.9511000000002</v>
      </c>
    </row>
    <row r="118" spans="1:9" x14ac:dyDescent="0.2">
      <c r="A118" t="s">
        <v>88</v>
      </c>
      <c r="B118">
        <f t="shared" ref="B118:I118" si="26">SUM(B106:B117)</f>
        <v>6285.380000000001</v>
      </c>
      <c r="C118">
        <f t="shared" si="26"/>
        <v>917.62799999999993</v>
      </c>
      <c r="D118">
        <f t="shared" si="26"/>
        <v>13999.1666</v>
      </c>
      <c r="E118">
        <f t="shared" si="26"/>
        <v>13377.945599999999</v>
      </c>
      <c r="F118">
        <f t="shared" si="26"/>
        <v>1518.8847000000003</v>
      </c>
      <c r="G118">
        <f t="shared" si="26"/>
        <v>12936.899499999998</v>
      </c>
      <c r="H118">
        <f t="shared" si="26"/>
        <v>-3480.9011999999993</v>
      </c>
      <c r="I118">
        <f t="shared" si="26"/>
        <v>45555.003199999999</v>
      </c>
    </row>
  </sheetData>
  <pageMargins left="0.7" right="0.7" top="0.75" bottom="0.75" header="0.3" footer="0.3"/>
  <pageSetup scale="56" orientation="landscape" r:id="rId1"/>
  <colBreaks count="1" manualBreakCount="1">
    <brk id="12" max="1048575" man="1"/>
  </col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3"/>
  <sheetViews>
    <sheetView showGridLines="0" zoomScaleNormal="100" workbookViewId="0">
      <selection activeCell="K36" sqref="K36"/>
    </sheetView>
  </sheetViews>
  <sheetFormatPr defaultRowHeight="15" x14ac:dyDescent="0.2"/>
  <cols>
    <col min="1" max="1" width="13.21875" customWidth="1"/>
    <col min="2" max="2" width="7.5546875" customWidth="1"/>
    <col min="6" max="6" width="7.5546875" customWidth="1"/>
    <col min="8" max="8" width="4.44140625" customWidth="1"/>
    <col min="9" max="9" width="0.21875" customWidth="1"/>
  </cols>
  <sheetData>
    <row r="1" spans="1:7" x14ac:dyDescent="0.2">
      <c r="A1" s="201" t="s">
        <v>536</v>
      </c>
      <c r="B1" s="201"/>
      <c r="C1" s="201"/>
      <c r="D1" s="201"/>
      <c r="E1" s="201"/>
      <c r="F1" s="201"/>
      <c r="G1" s="201"/>
    </row>
    <row r="2" spans="1:7" x14ac:dyDescent="0.2">
      <c r="A2" s="201" t="s">
        <v>537</v>
      </c>
      <c r="B2" s="201"/>
      <c r="C2" s="201"/>
      <c r="D2" s="201"/>
      <c r="E2" s="201"/>
      <c r="F2" s="201"/>
      <c r="G2" s="201"/>
    </row>
    <row r="3" spans="1:7" x14ac:dyDescent="0.2">
      <c r="A3" s="201" t="s">
        <v>0</v>
      </c>
      <c r="B3" s="201"/>
      <c r="C3" s="201"/>
      <c r="D3" s="201"/>
      <c r="E3" s="201"/>
      <c r="F3" s="201"/>
      <c r="G3" s="201"/>
    </row>
    <row r="4" spans="1:7" x14ac:dyDescent="0.2">
      <c r="A4" s="201" t="s">
        <v>2</v>
      </c>
      <c r="B4" s="201"/>
      <c r="C4" s="201"/>
      <c r="D4" s="201"/>
      <c r="E4" s="201"/>
      <c r="F4" s="201"/>
      <c r="G4" s="201"/>
    </row>
    <row r="6" spans="1:7" x14ac:dyDescent="0.2">
      <c r="A6" t="s">
        <v>545</v>
      </c>
    </row>
    <row r="7" spans="1:7" x14ac:dyDescent="0.2">
      <c r="A7" t="s">
        <v>538</v>
      </c>
    </row>
    <row r="8" spans="1:7" x14ac:dyDescent="0.2">
      <c r="A8" t="s">
        <v>6</v>
      </c>
    </row>
    <row r="9" spans="1:7" x14ac:dyDescent="0.2">
      <c r="C9" t="s">
        <v>30</v>
      </c>
      <c r="D9" t="s">
        <v>31</v>
      </c>
    </row>
    <row r="10" spans="1:7" x14ac:dyDescent="0.2">
      <c r="A10" t="s">
        <v>92</v>
      </c>
      <c r="C10" t="s">
        <v>26</v>
      </c>
      <c r="D10" t="s">
        <v>32</v>
      </c>
    </row>
    <row r="12" spans="1:7" x14ac:dyDescent="0.2">
      <c r="A12" t="s">
        <v>539</v>
      </c>
      <c r="C12">
        <f>35019+18253</f>
        <v>53272</v>
      </c>
      <c r="D12">
        <f>'17th year actual'!L46</f>
        <v>44958.895600000003</v>
      </c>
    </row>
    <row r="13" spans="1:7" x14ac:dyDescent="0.2">
      <c r="A13" t="s">
        <v>540</v>
      </c>
      <c r="C13">
        <f>34734+18082</f>
        <v>52816</v>
      </c>
      <c r="D13">
        <f>'17th year actual'!L47</f>
        <v>35936.839200000009</v>
      </c>
    </row>
    <row r="14" spans="1:7" x14ac:dyDescent="0.2">
      <c r="A14" t="s">
        <v>37</v>
      </c>
      <c r="C14">
        <f>34927+18138</f>
        <v>53065</v>
      </c>
      <c r="D14">
        <f>'17th year actual'!L48</f>
        <v>25208.262399999992</v>
      </c>
    </row>
    <row r="15" spans="1:7" x14ac:dyDescent="0.2">
      <c r="A15" t="s">
        <v>38</v>
      </c>
      <c r="C15">
        <f>35251+18241</f>
        <v>53492</v>
      </c>
      <c r="D15">
        <f>'17th year actual'!L49</f>
        <v>43973.889200000005</v>
      </c>
    </row>
    <row r="16" spans="1:7" x14ac:dyDescent="0.2">
      <c r="A16" t="s">
        <v>95</v>
      </c>
      <c r="C16">
        <f>35503+18349</f>
        <v>53852</v>
      </c>
      <c r="D16">
        <f>'17th year actual'!L50</f>
        <v>39691.029200000004</v>
      </c>
    </row>
    <row r="17" spans="1:7" x14ac:dyDescent="0.2">
      <c r="A17" t="s">
        <v>40</v>
      </c>
      <c r="C17">
        <f>18536+35700</f>
        <v>54236</v>
      </c>
      <c r="D17">
        <f>'17th year actual'!L51</f>
        <v>54803.122399999993</v>
      </c>
    </row>
    <row r="18" spans="1:7" x14ac:dyDescent="0.2">
      <c r="A18" t="s">
        <v>41</v>
      </c>
      <c r="C18">
        <f>35802+18652</f>
        <v>54454</v>
      </c>
      <c r="D18">
        <f>'17th year actual'!L52</f>
        <v>80953.928400000019</v>
      </c>
    </row>
    <row r="19" spans="1:7" x14ac:dyDescent="0.2">
      <c r="A19" t="s">
        <v>42</v>
      </c>
      <c r="C19">
        <f>35811+18743</f>
        <v>54554</v>
      </c>
      <c r="D19">
        <f>'17th year actual'!L53</f>
        <v>62676.417599999993</v>
      </c>
    </row>
    <row r="20" spans="1:7" x14ac:dyDescent="0.2">
      <c r="A20" t="s">
        <v>43</v>
      </c>
      <c r="C20">
        <f>35864+18821</f>
        <v>54685</v>
      </c>
      <c r="D20">
        <f>'17th year actual'!L54</f>
        <v>81189.702399999995</v>
      </c>
    </row>
    <row r="21" spans="1:7" x14ac:dyDescent="0.2">
      <c r="A21" t="s">
        <v>44</v>
      </c>
      <c r="C21">
        <f>36014+18847</f>
        <v>54861</v>
      </c>
      <c r="D21">
        <f>'17th year actual'!L55</f>
        <v>66378.076000000001</v>
      </c>
    </row>
    <row r="22" spans="1:7" x14ac:dyDescent="0.2">
      <c r="A22" t="s">
        <v>72</v>
      </c>
      <c r="C22">
        <f>35973+18788</f>
        <v>54761</v>
      </c>
      <c r="D22">
        <f>'17th year actual'!L56</f>
        <v>63559.919600000008</v>
      </c>
    </row>
    <row r="23" spans="1:7" x14ac:dyDescent="0.2">
      <c r="A23" t="s">
        <v>34</v>
      </c>
      <c r="C23">
        <f>35985+18731</f>
        <v>54716</v>
      </c>
      <c r="D23">
        <f>'17th year actual'!L57</f>
        <v>80793.063599999994</v>
      </c>
    </row>
    <row r="24" spans="1:7" x14ac:dyDescent="0.2">
      <c r="A24" t="s">
        <v>96</v>
      </c>
      <c r="C24">
        <f>SUM(C12:C23)</f>
        <v>648764</v>
      </c>
      <c r="D24">
        <f>SUM(D11:D23)</f>
        <v>680123.14560000005</v>
      </c>
    </row>
    <row r="27" spans="1:7" x14ac:dyDescent="0.2">
      <c r="A27" t="s">
        <v>546</v>
      </c>
    </row>
    <row r="29" spans="1:7" x14ac:dyDescent="0.2">
      <c r="A29" t="s">
        <v>101</v>
      </c>
      <c r="D29" t="s">
        <v>544</v>
      </c>
      <c r="E29">
        <f>'16th year adj'!E33</f>
        <v>1.53</v>
      </c>
    </row>
    <row r="30" spans="1:7" x14ac:dyDescent="0.2">
      <c r="A30" t="s">
        <v>101</v>
      </c>
      <c r="D30" t="s">
        <v>541</v>
      </c>
      <c r="E30">
        <f>'16th year adj'!G53</f>
        <v>1.1205866204060571</v>
      </c>
    </row>
    <row r="32" spans="1:7" x14ac:dyDescent="0.2">
      <c r="A32" t="s">
        <v>547</v>
      </c>
      <c r="G32">
        <f>(SUM(C12:C14)*E29+SUM(C15:C23)*E30)</f>
        <v>792155.62580362998</v>
      </c>
    </row>
    <row r="34" spans="1:7" x14ac:dyDescent="0.2">
      <c r="A34" t="s">
        <v>50</v>
      </c>
      <c r="F34">
        <f>D24</f>
        <v>680123.14560000005</v>
      </c>
    </row>
    <row r="36" spans="1:7" x14ac:dyDescent="0.2">
      <c r="A36" t="s">
        <v>350</v>
      </c>
      <c r="G36">
        <f>F34-F35</f>
        <v>680123.14560000005</v>
      </c>
    </row>
    <row r="38" spans="1:7" x14ac:dyDescent="0.2">
      <c r="A38" t="s">
        <v>351</v>
      </c>
      <c r="G38">
        <f>G36-G32</f>
        <v>-112032.48020362994</v>
      </c>
    </row>
    <row r="40" spans="1:7" x14ac:dyDescent="0.2">
      <c r="A40" t="s">
        <v>107</v>
      </c>
      <c r="F40">
        <f>G38</f>
        <v>-112032.48020362994</v>
      </c>
    </row>
    <row r="41" spans="1:7" x14ac:dyDescent="0.2">
      <c r="A41" t="s">
        <v>415</v>
      </c>
      <c r="F41">
        <f>SUM(C12:C23)</f>
        <v>648764</v>
      </c>
    </row>
    <row r="42" spans="1:7" x14ac:dyDescent="0.2">
      <c r="A42" t="s">
        <v>548</v>
      </c>
      <c r="F42">
        <f>F40/F41</f>
        <v>-0.17268603098141996</v>
      </c>
    </row>
    <row r="44" spans="1:7" x14ac:dyDescent="0.2">
      <c r="A44" t="s">
        <v>354</v>
      </c>
      <c r="G44" t="s">
        <v>418</v>
      </c>
    </row>
    <row r="45" spans="1:7" x14ac:dyDescent="0.2">
      <c r="A45" t="s">
        <v>416</v>
      </c>
      <c r="G45">
        <f>SUM(D12:D23)</f>
        <v>680123.14560000005</v>
      </c>
    </row>
    <row r="46" spans="1:7" x14ac:dyDescent="0.2">
      <c r="A46" t="s">
        <v>417</v>
      </c>
      <c r="G46">
        <f>SUM(C12:C23)</f>
        <v>648764</v>
      </c>
    </row>
    <row r="48" spans="1:7" x14ac:dyDescent="0.2">
      <c r="F48" t="s">
        <v>550</v>
      </c>
      <c r="G48">
        <f>G45/G46</f>
        <v>1.0483367535806549</v>
      </c>
    </row>
    <row r="49" spans="1:7" x14ac:dyDescent="0.2">
      <c r="F49" t="s">
        <v>549</v>
      </c>
      <c r="G49">
        <f>F42</f>
        <v>-0.17268603098141996</v>
      </c>
    </row>
    <row r="50" spans="1:7" ht="15.75" thickBot="1" x14ac:dyDescent="0.25">
      <c r="F50" t="s">
        <v>361</v>
      </c>
      <c r="G50">
        <f>G48+G49</f>
        <v>0.87565072259923493</v>
      </c>
    </row>
    <row r="53" spans="1:7" x14ac:dyDescent="0.2">
      <c r="E53" t="s">
        <v>536</v>
      </c>
    </row>
    <row r="54" spans="1:7" x14ac:dyDescent="0.2">
      <c r="E54" t="s">
        <v>537</v>
      </c>
    </row>
    <row r="55" spans="1:7" x14ac:dyDescent="0.2">
      <c r="E55" t="s">
        <v>0</v>
      </c>
    </row>
    <row r="56" spans="1:7" x14ac:dyDescent="0.2">
      <c r="E56" t="s">
        <v>342</v>
      </c>
    </row>
    <row r="58" spans="1:7" x14ac:dyDescent="0.2">
      <c r="A58" t="str">
        <f>A6</f>
        <v>After Seventeenth Year Commodity Adjustment</v>
      </c>
    </row>
    <row r="59" spans="1:7" x14ac:dyDescent="0.2">
      <c r="A59" t="s">
        <v>538</v>
      </c>
    </row>
    <row r="60" spans="1:7" x14ac:dyDescent="0.2">
      <c r="A60" t="s">
        <v>6</v>
      </c>
    </row>
    <row r="62" spans="1:7" x14ac:dyDescent="0.2">
      <c r="C62" t="s">
        <v>30</v>
      </c>
      <c r="D62" t="s">
        <v>31</v>
      </c>
    </row>
    <row r="63" spans="1:7" x14ac:dyDescent="0.2">
      <c r="A63" t="s">
        <v>92</v>
      </c>
      <c r="C63" t="s">
        <v>145</v>
      </c>
      <c r="D63" t="s">
        <v>32</v>
      </c>
    </row>
    <row r="64" spans="1:7" ht="6" customHeight="1" x14ac:dyDescent="0.2"/>
    <row r="65" spans="1:4" x14ac:dyDescent="0.2">
      <c r="A65" t="s">
        <v>539</v>
      </c>
      <c r="C65">
        <f>5701+1832</f>
        <v>7533</v>
      </c>
      <c r="D65">
        <f>'17th year actual'!I106</f>
        <v>2886.3580000000002</v>
      </c>
    </row>
    <row r="66" spans="1:4" x14ac:dyDescent="0.2">
      <c r="A66" t="s">
        <v>540</v>
      </c>
      <c r="C66">
        <f>5714+1841</f>
        <v>7555</v>
      </c>
      <c r="D66">
        <f>'17th year actual'!I107</f>
        <v>1820.1485999999995</v>
      </c>
    </row>
    <row r="67" spans="1:4" x14ac:dyDescent="0.2">
      <c r="A67" t="s">
        <v>37</v>
      </c>
      <c r="C67">
        <f>5761+1862</f>
        <v>7623</v>
      </c>
      <c r="D67">
        <f>'17th year actual'!I108</f>
        <v>1919.7676000000001</v>
      </c>
    </row>
    <row r="68" spans="1:4" x14ac:dyDescent="0.2">
      <c r="A68" t="s">
        <v>38</v>
      </c>
      <c r="C68">
        <f>5822+1854</f>
        <v>7676</v>
      </c>
      <c r="D68">
        <f>'17th year actual'!I109</f>
        <v>3059.0731999999998</v>
      </c>
    </row>
    <row r="69" spans="1:4" x14ac:dyDescent="0.2">
      <c r="A69" t="s">
        <v>95</v>
      </c>
      <c r="C69">
        <f>5747+1840</f>
        <v>7587</v>
      </c>
      <c r="D69">
        <f>'17th year actual'!I110</f>
        <v>2980.7104999999997</v>
      </c>
    </row>
    <row r="70" spans="1:4" x14ac:dyDescent="0.2">
      <c r="A70" t="s">
        <v>40</v>
      </c>
      <c r="C70">
        <f>5789+1831</f>
        <v>7620</v>
      </c>
      <c r="D70">
        <f>'17th year actual'!I111</f>
        <v>3609.4883999999993</v>
      </c>
    </row>
    <row r="71" spans="1:4" x14ac:dyDescent="0.2">
      <c r="A71" t="s">
        <v>41</v>
      </c>
      <c r="C71">
        <f>5824+1851</f>
        <v>7675</v>
      </c>
      <c r="D71">
        <f>'17th year actual'!I112</f>
        <v>3863.6884</v>
      </c>
    </row>
    <row r="72" spans="1:4" x14ac:dyDescent="0.2">
      <c r="A72" t="s">
        <v>42</v>
      </c>
      <c r="C72">
        <f>5744+1851</f>
        <v>7595</v>
      </c>
      <c r="D72">
        <f>'17th year actual'!I113</f>
        <v>4012.2733999999996</v>
      </c>
    </row>
    <row r="73" spans="1:4" x14ac:dyDescent="0.2">
      <c r="A73" t="s">
        <v>43</v>
      </c>
      <c r="C73">
        <f>5820+1873</f>
        <v>7693</v>
      </c>
      <c r="D73">
        <f>'17th year actual'!I114</f>
        <v>5368.4853999999996</v>
      </c>
    </row>
    <row r="74" spans="1:4" x14ac:dyDescent="0.2">
      <c r="A74" t="s">
        <v>44</v>
      </c>
      <c r="C74">
        <f>5828+1894</f>
        <v>7722</v>
      </c>
      <c r="D74">
        <f>'17th year actual'!I115</f>
        <v>4804.1864000000005</v>
      </c>
    </row>
    <row r="75" spans="1:4" x14ac:dyDescent="0.2">
      <c r="A75" t="s">
        <v>72</v>
      </c>
      <c r="C75">
        <f>5844+1865</f>
        <v>7709</v>
      </c>
      <c r="D75">
        <f>'17th year actual'!I116</f>
        <v>4313.0433999999996</v>
      </c>
    </row>
    <row r="76" spans="1:4" x14ac:dyDescent="0.2">
      <c r="A76" t="s">
        <v>34</v>
      </c>
      <c r="C76">
        <f>5850+1862</f>
        <v>7712</v>
      </c>
      <c r="D76">
        <f>'17th year actual'!I117</f>
        <v>5001.9647999999997</v>
      </c>
    </row>
    <row r="77" spans="1:4" x14ac:dyDescent="0.2">
      <c r="A77" t="s">
        <v>96</v>
      </c>
      <c r="C77">
        <f>SUM(C64:C76)</f>
        <v>91700</v>
      </c>
      <c r="D77">
        <f>SUM(D64:D76)</f>
        <v>43639.188099999999</v>
      </c>
    </row>
    <row r="79" spans="1:4" x14ac:dyDescent="0.2">
      <c r="A79" t="s">
        <v>546</v>
      </c>
    </row>
    <row r="81" spans="1:8" x14ac:dyDescent="0.2">
      <c r="A81" t="s">
        <v>343</v>
      </c>
      <c r="D81" t="s">
        <v>544</v>
      </c>
      <c r="E81">
        <f>'16th year adj'!E91</f>
        <v>0.76</v>
      </c>
    </row>
    <row r="82" spans="1:8" x14ac:dyDescent="0.2">
      <c r="A82" t="s">
        <v>343</v>
      </c>
      <c r="D82" t="s">
        <v>541</v>
      </c>
      <c r="E82">
        <v>0.51</v>
      </c>
    </row>
    <row r="85" spans="1:8" x14ac:dyDescent="0.2">
      <c r="A85" t="s">
        <v>547</v>
      </c>
      <c r="G85">
        <f>(SUM(C65:C67)*E81+SUM(C68:C76)*E82)</f>
        <v>52444.75</v>
      </c>
    </row>
    <row r="86" spans="1:8" x14ac:dyDescent="0.2">
      <c r="H86" t="s">
        <v>6</v>
      </c>
    </row>
    <row r="87" spans="1:8" x14ac:dyDescent="0.2">
      <c r="A87" t="s">
        <v>50</v>
      </c>
      <c r="F87">
        <f>D77</f>
        <v>43639.188099999999</v>
      </c>
      <c r="H87" t="s">
        <v>6</v>
      </c>
    </row>
    <row r="89" spans="1:8" x14ac:dyDescent="0.2">
      <c r="A89" t="s">
        <v>364</v>
      </c>
      <c r="G89">
        <f>F87-F88</f>
        <v>43639.188099999999</v>
      </c>
    </row>
    <row r="91" spans="1:8" x14ac:dyDescent="0.2">
      <c r="A91" t="s">
        <v>351</v>
      </c>
      <c r="G91">
        <f>G89-G85</f>
        <v>-8805.5619000000006</v>
      </c>
    </row>
    <row r="93" spans="1:8" x14ac:dyDescent="0.2">
      <c r="A93" t="s">
        <v>107</v>
      </c>
      <c r="F93">
        <f>G91</f>
        <v>-8805.5619000000006</v>
      </c>
    </row>
    <row r="94" spans="1:8" x14ac:dyDescent="0.2">
      <c r="A94" t="s">
        <v>419</v>
      </c>
      <c r="F94">
        <f>SUM(C65:C76)</f>
        <v>91700</v>
      </c>
    </row>
    <row r="95" spans="1:8" x14ac:dyDescent="0.2">
      <c r="A95" t="s">
        <v>349</v>
      </c>
      <c r="F95">
        <f>ROUND(F93/F94,2)</f>
        <v>-0.1</v>
      </c>
    </row>
    <row r="97" spans="1:7" x14ac:dyDescent="0.2">
      <c r="A97" t="s">
        <v>354</v>
      </c>
      <c r="G97" t="s">
        <v>418</v>
      </c>
    </row>
    <row r="98" spans="1:7" x14ac:dyDescent="0.2">
      <c r="A98" t="s">
        <v>416</v>
      </c>
      <c r="G98">
        <f>SUM(D65:D76)</f>
        <v>43639.188099999999</v>
      </c>
    </row>
    <row r="99" spans="1:7" x14ac:dyDescent="0.2">
      <c r="A99" t="s">
        <v>420</v>
      </c>
      <c r="G99">
        <f>SUM(C65:C76)</f>
        <v>91700</v>
      </c>
    </row>
    <row r="101" spans="1:7" x14ac:dyDescent="0.2">
      <c r="F101" t="s">
        <v>551</v>
      </c>
      <c r="G101">
        <f>G98/G99</f>
        <v>0.47589081897491819</v>
      </c>
    </row>
    <row r="102" spans="1:7" x14ac:dyDescent="0.2">
      <c r="F102" t="s">
        <v>552</v>
      </c>
      <c r="G102">
        <f>F95</f>
        <v>-0.1</v>
      </c>
    </row>
    <row r="103" spans="1:7" ht="15.75" thickBot="1" x14ac:dyDescent="0.25">
      <c r="F103" t="s">
        <v>361</v>
      </c>
      <c r="G103">
        <f>SUM(G101:G102)</f>
        <v>0.37589081897491816</v>
      </c>
    </row>
  </sheetData>
  <mergeCells count="4">
    <mergeCell ref="A1:G1"/>
    <mergeCell ref="A2:G2"/>
    <mergeCell ref="A3:G3"/>
    <mergeCell ref="A4:G4"/>
  </mergeCells>
  <pageMargins left="0.7" right="0.7" top="0.75" bottom="0.75" header="0.3" footer="0.3"/>
  <pageSetup scale="78" orientation="portrait" r:id="rId1"/>
  <rowBreaks count="1" manualBreakCount="1">
    <brk id="51"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18"/>
  <sheetViews>
    <sheetView showGridLines="0" topLeftCell="A52" workbookViewId="0">
      <selection activeCell="J27" sqref="J27"/>
    </sheetView>
  </sheetViews>
  <sheetFormatPr defaultRowHeight="15" x14ac:dyDescent="0.2"/>
  <cols>
    <col min="1" max="1" width="12.33203125" customWidth="1"/>
  </cols>
  <sheetData>
    <row r="1" spans="1:12" x14ac:dyDescent="0.2">
      <c r="E1" t="s">
        <v>536</v>
      </c>
    </row>
    <row r="2" spans="1:12" x14ac:dyDescent="0.2">
      <c r="E2" t="s">
        <v>537</v>
      </c>
    </row>
    <row r="3" spans="1:12" x14ac:dyDescent="0.2">
      <c r="E3" t="s">
        <v>0</v>
      </c>
    </row>
    <row r="4" spans="1:12" x14ac:dyDescent="0.2">
      <c r="E4" t="s">
        <v>2</v>
      </c>
    </row>
    <row r="5" spans="1:12" x14ac:dyDescent="0.2">
      <c r="E5" t="s">
        <v>542</v>
      </c>
    </row>
    <row r="7" spans="1:12" x14ac:dyDescent="0.2">
      <c r="A7" t="s">
        <v>81</v>
      </c>
    </row>
    <row r="8" spans="1:12" x14ac:dyDescent="0.2">
      <c r="G8" t="s">
        <v>6</v>
      </c>
      <c r="J8" t="s">
        <v>330</v>
      </c>
      <c r="K8" t="s">
        <v>6</v>
      </c>
    </row>
    <row r="9" spans="1:12" x14ac:dyDescent="0.2">
      <c r="B9" t="s">
        <v>14</v>
      </c>
      <c r="C9" t="s">
        <v>15</v>
      </c>
      <c r="D9" t="s">
        <v>16</v>
      </c>
      <c r="E9" t="s">
        <v>18</v>
      </c>
      <c r="F9" t="s">
        <v>19</v>
      </c>
      <c r="G9" t="s">
        <v>20</v>
      </c>
      <c r="H9" t="s">
        <v>21</v>
      </c>
      <c r="I9" t="s">
        <v>527</v>
      </c>
      <c r="J9" t="s">
        <v>528</v>
      </c>
      <c r="K9" t="s">
        <v>333</v>
      </c>
      <c r="L9" t="s">
        <v>84</v>
      </c>
    </row>
    <row r="10" spans="1:12" x14ac:dyDescent="0.2">
      <c r="A10" t="s">
        <v>9</v>
      </c>
    </row>
    <row r="11" spans="1:12" x14ac:dyDescent="0.2">
      <c r="A11" t="s">
        <v>35</v>
      </c>
      <c r="B11">
        <v>345.46</v>
      </c>
      <c r="C11">
        <v>301.97000000000003</v>
      </c>
      <c r="D11">
        <v>407.05</v>
      </c>
      <c r="E11">
        <v>15.7</v>
      </c>
      <c r="F11">
        <v>36.24</v>
      </c>
      <c r="G11">
        <v>43.49</v>
      </c>
      <c r="H11">
        <v>10.87</v>
      </c>
      <c r="I11">
        <v>16.91</v>
      </c>
      <c r="J11">
        <v>6.04</v>
      </c>
      <c r="K11">
        <v>24.16</v>
      </c>
      <c r="L11">
        <f t="shared" ref="L11:L22" si="0">SUM(B11:K11)</f>
        <v>1207.8900000000001</v>
      </c>
    </row>
    <row r="12" spans="1:12" x14ac:dyDescent="0.2">
      <c r="A12" t="s">
        <v>543</v>
      </c>
      <c r="B12">
        <v>356.56</v>
      </c>
      <c r="C12">
        <v>311.68</v>
      </c>
      <c r="D12">
        <v>420.15</v>
      </c>
      <c r="E12">
        <v>16.21</v>
      </c>
      <c r="F12">
        <v>37.4</v>
      </c>
      <c r="G12">
        <v>44.88</v>
      </c>
      <c r="H12">
        <v>11.22</v>
      </c>
      <c r="I12">
        <v>17.46</v>
      </c>
      <c r="J12">
        <v>6.24</v>
      </c>
      <c r="K12">
        <v>24.93</v>
      </c>
      <c r="L12">
        <f t="shared" si="0"/>
        <v>1246.7300000000002</v>
      </c>
    </row>
    <row r="13" spans="1:12" x14ac:dyDescent="0.2">
      <c r="A13" t="s">
        <v>37</v>
      </c>
      <c r="B13">
        <v>271.64</v>
      </c>
      <c r="C13">
        <v>237.45</v>
      </c>
      <c r="D13">
        <v>320.08</v>
      </c>
      <c r="E13">
        <v>12.35</v>
      </c>
      <c r="F13">
        <v>28.49</v>
      </c>
      <c r="G13">
        <v>34.200000000000003</v>
      </c>
      <c r="H13">
        <v>8.5500000000000007</v>
      </c>
      <c r="I13">
        <v>13.3</v>
      </c>
      <c r="J13">
        <v>4.75</v>
      </c>
      <c r="K13">
        <v>19</v>
      </c>
      <c r="L13">
        <f t="shared" si="0"/>
        <v>949.81</v>
      </c>
    </row>
    <row r="14" spans="1:12" x14ac:dyDescent="0.2">
      <c r="A14" t="s">
        <v>329</v>
      </c>
      <c r="B14">
        <v>357</v>
      </c>
      <c r="C14">
        <v>312.06</v>
      </c>
      <c r="D14">
        <v>420.66</v>
      </c>
      <c r="E14">
        <v>16.22</v>
      </c>
      <c r="F14">
        <v>37.44</v>
      </c>
      <c r="G14">
        <v>44.93</v>
      </c>
      <c r="H14">
        <v>11.24</v>
      </c>
      <c r="I14">
        <v>17.47</v>
      </c>
      <c r="J14">
        <v>6.24</v>
      </c>
      <c r="K14">
        <v>24.97</v>
      </c>
      <c r="L14">
        <f t="shared" si="0"/>
        <v>1248.2300000000002</v>
      </c>
    </row>
    <row r="15" spans="1:12" x14ac:dyDescent="0.2">
      <c r="A15" t="s">
        <v>95</v>
      </c>
      <c r="B15">
        <v>263.62</v>
      </c>
      <c r="C15">
        <v>230.43</v>
      </c>
      <c r="D15">
        <v>310.63</v>
      </c>
      <c r="E15">
        <v>11.98</v>
      </c>
      <c r="F15">
        <v>27.65</v>
      </c>
      <c r="G15">
        <v>33.18</v>
      </c>
      <c r="H15">
        <v>8.2899999999999991</v>
      </c>
      <c r="I15">
        <v>12.91</v>
      </c>
      <c r="J15">
        <v>4.6100000000000003</v>
      </c>
      <c r="K15">
        <v>18.43</v>
      </c>
      <c r="L15">
        <f t="shared" si="0"/>
        <v>921.7299999999999</v>
      </c>
    </row>
    <row r="16" spans="1:12" x14ac:dyDescent="0.2">
      <c r="A16" t="s">
        <v>40</v>
      </c>
      <c r="B16">
        <v>315.33999999999997</v>
      </c>
      <c r="C16">
        <v>275.64</v>
      </c>
      <c r="D16">
        <v>371.57</v>
      </c>
      <c r="E16">
        <v>14.33</v>
      </c>
      <c r="F16">
        <v>33.08</v>
      </c>
      <c r="G16">
        <v>39.69</v>
      </c>
      <c r="H16">
        <v>9.92</v>
      </c>
      <c r="I16">
        <v>15.43</v>
      </c>
      <c r="J16">
        <v>5.51</v>
      </c>
      <c r="K16">
        <v>22.05</v>
      </c>
      <c r="L16">
        <f t="shared" si="0"/>
        <v>1102.5600000000002</v>
      </c>
    </row>
    <row r="17" spans="1:13" x14ac:dyDescent="0.2">
      <c r="A17" t="s">
        <v>41</v>
      </c>
      <c r="B17">
        <v>434.06</v>
      </c>
      <c r="C17">
        <v>379.43</v>
      </c>
      <c r="D17">
        <v>511.47</v>
      </c>
      <c r="E17">
        <v>19.73</v>
      </c>
      <c r="F17">
        <v>45.53</v>
      </c>
      <c r="G17">
        <v>54.64</v>
      </c>
      <c r="H17">
        <v>13.66</v>
      </c>
      <c r="I17">
        <v>21.25</v>
      </c>
      <c r="J17">
        <v>7.59</v>
      </c>
      <c r="K17">
        <v>30.35</v>
      </c>
      <c r="L17">
        <f t="shared" si="0"/>
        <v>1517.71</v>
      </c>
    </row>
    <row r="18" spans="1:13" x14ac:dyDescent="0.2">
      <c r="A18" t="s">
        <v>42</v>
      </c>
      <c r="B18">
        <v>309.22000000000003</v>
      </c>
      <c r="C18">
        <v>270.3</v>
      </c>
      <c r="D18">
        <v>364.37</v>
      </c>
      <c r="E18">
        <v>14.06</v>
      </c>
      <c r="F18">
        <v>32.44</v>
      </c>
      <c r="G18">
        <v>38.92</v>
      </c>
      <c r="H18">
        <v>9.73</v>
      </c>
      <c r="I18">
        <v>15.13</v>
      </c>
      <c r="J18">
        <v>5.4</v>
      </c>
      <c r="K18">
        <v>21.62</v>
      </c>
      <c r="L18">
        <f t="shared" si="0"/>
        <v>1081.19</v>
      </c>
    </row>
    <row r="19" spans="1:13" x14ac:dyDescent="0.2">
      <c r="A19" t="s">
        <v>43</v>
      </c>
      <c r="B19">
        <v>327.96</v>
      </c>
      <c r="C19">
        <v>286.67</v>
      </c>
      <c r="D19">
        <v>386.44</v>
      </c>
      <c r="E19">
        <v>14.91</v>
      </c>
      <c r="F19">
        <v>34.409999999999997</v>
      </c>
      <c r="G19">
        <v>41.38</v>
      </c>
      <c r="H19">
        <v>10.32</v>
      </c>
      <c r="I19">
        <v>16.05</v>
      </c>
      <c r="J19">
        <v>5.74</v>
      </c>
      <c r="K19">
        <v>22.93</v>
      </c>
      <c r="L19">
        <f t="shared" si="0"/>
        <v>1146.81</v>
      </c>
    </row>
    <row r="20" spans="1:13" x14ac:dyDescent="0.2">
      <c r="A20" t="s">
        <v>508</v>
      </c>
      <c r="B20">
        <v>287.04000000000002</v>
      </c>
      <c r="C20">
        <v>250.91</v>
      </c>
      <c r="D20">
        <v>338.23</v>
      </c>
      <c r="E20">
        <v>13.04</v>
      </c>
      <c r="F20">
        <v>30.11</v>
      </c>
      <c r="G20">
        <v>36.130000000000003</v>
      </c>
      <c r="H20">
        <v>9.0399999999999991</v>
      </c>
      <c r="I20">
        <v>14.05</v>
      </c>
      <c r="J20">
        <v>5.0199999999999996</v>
      </c>
      <c r="K20">
        <v>20.079999999999998</v>
      </c>
      <c r="L20">
        <f t="shared" si="0"/>
        <v>1003.65</v>
      </c>
    </row>
    <row r="21" spans="1:13" x14ac:dyDescent="0.2">
      <c r="A21" t="s">
        <v>116</v>
      </c>
      <c r="B21">
        <v>309.95</v>
      </c>
      <c r="C21">
        <v>270.93</v>
      </c>
      <c r="D21">
        <v>365.22</v>
      </c>
      <c r="E21">
        <v>14.09</v>
      </c>
      <c r="F21">
        <v>32.51</v>
      </c>
      <c r="G21">
        <v>39.020000000000003</v>
      </c>
      <c r="H21">
        <v>9.75</v>
      </c>
      <c r="I21">
        <v>15.17</v>
      </c>
      <c r="J21">
        <v>5.42</v>
      </c>
      <c r="K21">
        <v>21.68</v>
      </c>
      <c r="L21">
        <f t="shared" si="0"/>
        <v>1083.7400000000002</v>
      </c>
    </row>
    <row r="22" spans="1:13" x14ac:dyDescent="0.2">
      <c r="A22" t="s">
        <v>34</v>
      </c>
      <c r="B22">
        <v>345.59</v>
      </c>
      <c r="C22">
        <v>302.08999999999997</v>
      </c>
      <c r="D22">
        <v>407.21</v>
      </c>
      <c r="E22">
        <v>15.7</v>
      </c>
      <c r="F22">
        <v>36.25</v>
      </c>
      <c r="G22">
        <v>43.5</v>
      </c>
      <c r="H22">
        <v>10.88</v>
      </c>
      <c r="I22">
        <v>16.91</v>
      </c>
      <c r="J22">
        <v>6.04</v>
      </c>
      <c r="K22">
        <v>24.17</v>
      </c>
      <c r="L22">
        <f t="shared" si="0"/>
        <v>1208.3400000000001</v>
      </c>
      <c r="M22" t="s">
        <v>22</v>
      </c>
    </row>
    <row r="23" spans="1:13" x14ac:dyDescent="0.2">
      <c r="A23" t="s">
        <v>22</v>
      </c>
      <c r="B23">
        <f t="shared" ref="B23:L23" si="1">SUM(B11:B22)</f>
        <v>3923.4399999999996</v>
      </c>
      <c r="C23">
        <f t="shared" si="1"/>
        <v>3429.56</v>
      </c>
      <c r="D23">
        <f t="shared" si="1"/>
        <v>4623.0800000000008</v>
      </c>
      <c r="E23">
        <f t="shared" si="1"/>
        <v>178.32</v>
      </c>
      <c r="F23">
        <f t="shared" si="1"/>
        <v>411.54999999999995</v>
      </c>
      <c r="G23">
        <f t="shared" si="1"/>
        <v>493.96</v>
      </c>
      <c r="H23">
        <f t="shared" si="1"/>
        <v>123.47</v>
      </c>
      <c r="I23">
        <f t="shared" si="1"/>
        <v>192.04</v>
      </c>
      <c r="J23">
        <f t="shared" si="1"/>
        <v>68.600000000000009</v>
      </c>
      <c r="K23">
        <f t="shared" si="1"/>
        <v>274.37000000000006</v>
      </c>
      <c r="L23">
        <f t="shared" si="1"/>
        <v>13718.39</v>
      </c>
      <c r="M23">
        <f>L23+L83</f>
        <v>13718.39</v>
      </c>
    </row>
    <row r="25" spans="1:13" x14ac:dyDescent="0.2">
      <c r="A25" t="s">
        <v>117</v>
      </c>
      <c r="B25">
        <f t="shared" ref="B25:K25" si="2">B23/$L$23</f>
        <v>0.28599857563460435</v>
      </c>
      <c r="C25">
        <f t="shared" si="2"/>
        <v>0.24999726644307388</v>
      </c>
      <c r="D25">
        <f t="shared" si="2"/>
        <v>0.33699872944274079</v>
      </c>
      <c r="E25">
        <f t="shared" si="2"/>
        <v>1.2998609895184494E-2</v>
      </c>
      <c r="F25">
        <f t="shared" si="2"/>
        <v>2.999987607875268E-2</v>
      </c>
      <c r="G25">
        <f t="shared" si="2"/>
        <v>3.6007140779639596E-2</v>
      </c>
      <c r="H25">
        <f t="shared" si="2"/>
        <v>9.0003272978826238E-3</v>
      </c>
      <c r="I25">
        <f t="shared" si="2"/>
        <v>1.3998727255895189E-2</v>
      </c>
      <c r="J25">
        <f t="shared" si="2"/>
        <v>5.0005868035534794E-3</v>
      </c>
      <c r="K25">
        <f t="shared" si="2"/>
        <v>2.0000160368673005E-2</v>
      </c>
    </row>
    <row r="27" spans="1:13" x14ac:dyDescent="0.2">
      <c r="G27" t="s">
        <v>6</v>
      </c>
      <c r="J27" t="s">
        <v>330</v>
      </c>
      <c r="K27" t="s">
        <v>6</v>
      </c>
    </row>
    <row r="28" spans="1:13" x14ac:dyDescent="0.2">
      <c r="B28" t="s">
        <v>14</v>
      </c>
      <c r="C28" t="s">
        <v>15</v>
      </c>
      <c r="D28" t="s">
        <v>16</v>
      </c>
      <c r="E28" t="s">
        <v>18</v>
      </c>
      <c r="F28" t="s">
        <v>19</v>
      </c>
      <c r="G28" t="s">
        <v>20</v>
      </c>
      <c r="H28" t="s">
        <v>21</v>
      </c>
      <c r="I28" t="s">
        <v>527</v>
      </c>
      <c r="J28" t="s">
        <v>528</v>
      </c>
      <c r="K28" t="s">
        <v>333</v>
      </c>
    </row>
    <row r="29" spans="1:13" x14ac:dyDescent="0.2">
      <c r="A29" t="s">
        <v>86</v>
      </c>
    </row>
    <row r="30" spans="1:13" x14ac:dyDescent="0.2">
      <c r="A30" t="s">
        <v>35</v>
      </c>
      <c r="B30">
        <v>0.04</v>
      </c>
      <c r="C30">
        <v>-2.96</v>
      </c>
      <c r="D30">
        <v>48.04</v>
      </c>
      <c r="E30">
        <v>1031.04</v>
      </c>
      <c r="F30">
        <v>14.04</v>
      </c>
      <c r="G30">
        <v>87.04</v>
      </c>
      <c r="H30">
        <v>346.04</v>
      </c>
      <c r="I30">
        <v>466.04</v>
      </c>
      <c r="J30">
        <v>-130.96</v>
      </c>
      <c r="K30">
        <v>-208.96</v>
      </c>
    </row>
    <row r="31" spans="1:13" x14ac:dyDescent="0.2">
      <c r="A31" t="str">
        <f>A12</f>
        <v>January 16</v>
      </c>
      <c r="B31">
        <v>-5.96</v>
      </c>
      <c r="C31">
        <v>-11.96</v>
      </c>
      <c r="D31">
        <v>40.04</v>
      </c>
      <c r="E31">
        <v>986.04</v>
      </c>
      <c r="F31">
        <v>4.04</v>
      </c>
      <c r="G31">
        <v>81.040000000000006</v>
      </c>
      <c r="H31">
        <v>326.04000000000002</v>
      </c>
      <c r="I31">
        <v>436.04</v>
      </c>
      <c r="J31">
        <v>-138.96</v>
      </c>
      <c r="K31">
        <v>-208.96</v>
      </c>
    </row>
    <row r="32" spans="1:13" x14ac:dyDescent="0.2">
      <c r="A32" t="s">
        <v>37</v>
      </c>
      <c r="B32">
        <v>-5.96</v>
      </c>
      <c r="C32">
        <v>-11.96</v>
      </c>
      <c r="D32">
        <v>40.04</v>
      </c>
      <c r="E32">
        <v>986.04</v>
      </c>
      <c r="F32">
        <v>4.04</v>
      </c>
      <c r="G32">
        <v>67.040000000000006</v>
      </c>
      <c r="H32">
        <v>206.04</v>
      </c>
      <c r="I32">
        <v>386.04</v>
      </c>
      <c r="J32">
        <v>-138.96</v>
      </c>
      <c r="K32">
        <v>-208.96</v>
      </c>
    </row>
    <row r="33" spans="1:12" x14ac:dyDescent="0.2">
      <c r="A33" t="s">
        <v>329</v>
      </c>
      <c r="B33">
        <v>9.0399999999999991</v>
      </c>
      <c r="C33">
        <v>-1.96</v>
      </c>
      <c r="D33">
        <v>45.04</v>
      </c>
      <c r="E33">
        <v>986.04</v>
      </c>
      <c r="F33">
        <v>4.04</v>
      </c>
      <c r="G33">
        <v>81.040000000000006</v>
      </c>
      <c r="H33">
        <v>206.04</v>
      </c>
      <c r="I33">
        <v>366.04</v>
      </c>
      <c r="J33">
        <v>-138.96</v>
      </c>
      <c r="K33">
        <v>-208.96</v>
      </c>
    </row>
    <row r="34" spans="1:12" x14ac:dyDescent="0.2">
      <c r="A34" t="s">
        <v>95</v>
      </c>
      <c r="B34">
        <v>16.04</v>
      </c>
      <c r="C34">
        <v>2.04</v>
      </c>
      <c r="D34">
        <v>47.04</v>
      </c>
      <c r="E34">
        <v>1066.04</v>
      </c>
      <c r="F34">
        <v>21.04</v>
      </c>
      <c r="G34">
        <v>101.04</v>
      </c>
      <c r="H34">
        <v>256.04000000000002</v>
      </c>
      <c r="I34">
        <v>446.04</v>
      </c>
      <c r="J34">
        <v>-76.959999999999994</v>
      </c>
      <c r="K34">
        <v>-208.96</v>
      </c>
    </row>
    <row r="35" spans="1:12" x14ac:dyDescent="0.2">
      <c r="A35" t="s">
        <v>40</v>
      </c>
      <c r="B35">
        <v>19.04</v>
      </c>
      <c r="C35">
        <v>10.039999999999999</v>
      </c>
      <c r="D35">
        <v>43.04</v>
      </c>
      <c r="E35">
        <v>1046.04</v>
      </c>
      <c r="F35">
        <v>59.04</v>
      </c>
      <c r="G35">
        <v>121.04</v>
      </c>
      <c r="H35">
        <v>396.04</v>
      </c>
      <c r="I35">
        <v>606.04</v>
      </c>
      <c r="J35">
        <v>-68.959999999999994</v>
      </c>
      <c r="K35">
        <v>-208.96</v>
      </c>
    </row>
    <row r="36" spans="1:12" x14ac:dyDescent="0.2">
      <c r="A36" t="s">
        <v>41</v>
      </c>
      <c r="B36">
        <v>25.04</v>
      </c>
      <c r="C36">
        <v>19.04</v>
      </c>
      <c r="D36">
        <v>43.04</v>
      </c>
      <c r="E36">
        <v>1091.04</v>
      </c>
      <c r="F36">
        <v>24.04</v>
      </c>
      <c r="G36">
        <v>116.04</v>
      </c>
      <c r="H36">
        <v>396.04</v>
      </c>
      <c r="I36">
        <v>626.04</v>
      </c>
      <c r="J36">
        <v>-63.96</v>
      </c>
      <c r="K36">
        <v>-208.96</v>
      </c>
    </row>
    <row r="37" spans="1:12" x14ac:dyDescent="0.2">
      <c r="A37" t="s">
        <v>42</v>
      </c>
      <c r="B37">
        <v>34.04</v>
      </c>
      <c r="C37">
        <v>25.04</v>
      </c>
      <c r="D37">
        <v>51.04</v>
      </c>
      <c r="E37">
        <v>1031.04</v>
      </c>
      <c r="F37">
        <v>14.04</v>
      </c>
      <c r="G37">
        <v>121.04</v>
      </c>
      <c r="H37">
        <v>326.04000000000002</v>
      </c>
      <c r="I37">
        <v>586.04</v>
      </c>
      <c r="J37">
        <v>-73.959999999999994</v>
      </c>
      <c r="K37">
        <v>-208.96</v>
      </c>
    </row>
    <row r="38" spans="1:12" x14ac:dyDescent="0.2">
      <c r="A38" t="s">
        <v>43</v>
      </c>
      <c r="B38">
        <v>47.04</v>
      </c>
      <c r="C38">
        <v>40.04</v>
      </c>
      <c r="D38">
        <v>71.040000000000006</v>
      </c>
      <c r="E38">
        <v>1051.04</v>
      </c>
      <c r="F38">
        <v>29.04</v>
      </c>
      <c r="G38">
        <v>121.04</v>
      </c>
      <c r="H38">
        <v>226.04</v>
      </c>
      <c r="I38">
        <v>506.04</v>
      </c>
      <c r="J38">
        <v>-88.96</v>
      </c>
      <c r="K38">
        <v>-208.96</v>
      </c>
    </row>
    <row r="39" spans="1:12" x14ac:dyDescent="0.2">
      <c r="A39" t="s">
        <v>44</v>
      </c>
      <c r="B39">
        <v>50.04</v>
      </c>
      <c r="C39">
        <v>36.04</v>
      </c>
      <c r="D39">
        <v>64.040000000000006</v>
      </c>
      <c r="E39">
        <v>1026.04</v>
      </c>
      <c r="F39">
        <v>39.04</v>
      </c>
      <c r="G39">
        <v>96.04</v>
      </c>
      <c r="H39">
        <v>246.04</v>
      </c>
      <c r="I39">
        <v>406.04</v>
      </c>
      <c r="J39">
        <v>-88.96</v>
      </c>
      <c r="K39">
        <v>-208.96</v>
      </c>
    </row>
    <row r="40" spans="1:12" x14ac:dyDescent="0.2">
      <c r="A40" t="s">
        <v>116</v>
      </c>
      <c r="B40">
        <v>41.04</v>
      </c>
      <c r="C40">
        <v>26.04</v>
      </c>
      <c r="D40">
        <v>56.04</v>
      </c>
      <c r="E40">
        <v>1051.04</v>
      </c>
      <c r="F40">
        <v>19.04</v>
      </c>
      <c r="G40">
        <v>96.04</v>
      </c>
      <c r="H40">
        <v>276.04000000000002</v>
      </c>
      <c r="I40">
        <v>426.04</v>
      </c>
      <c r="J40">
        <v>-88.96</v>
      </c>
      <c r="K40">
        <v>-208.96</v>
      </c>
    </row>
    <row r="41" spans="1:12" x14ac:dyDescent="0.2">
      <c r="A41" t="str">
        <f>A22</f>
        <v>November</v>
      </c>
      <c r="B41">
        <v>47.04</v>
      </c>
      <c r="C41">
        <v>36.04</v>
      </c>
      <c r="D41">
        <v>66.040000000000006</v>
      </c>
      <c r="E41">
        <v>1021.04</v>
      </c>
      <c r="F41">
        <v>29.04</v>
      </c>
      <c r="G41">
        <v>96.04</v>
      </c>
      <c r="H41">
        <v>376.04</v>
      </c>
      <c r="I41">
        <v>426.04</v>
      </c>
      <c r="J41">
        <v>-83.96</v>
      </c>
      <c r="K41">
        <v>-218.96</v>
      </c>
    </row>
    <row r="43" spans="1:12" x14ac:dyDescent="0.2">
      <c r="C43" t="s">
        <v>6</v>
      </c>
      <c r="G43" t="s">
        <v>6</v>
      </c>
      <c r="J43" t="s">
        <v>330</v>
      </c>
      <c r="K43" t="s">
        <v>6</v>
      </c>
    </row>
    <row r="44" spans="1:12" x14ac:dyDescent="0.2">
      <c r="B44" t="s">
        <v>14</v>
      </c>
      <c r="C44" t="s">
        <v>15</v>
      </c>
      <c r="D44" t="s">
        <v>16</v>
      </c>
      <c r="E44" t="s">
        <v>18</v>
      </c>
      <c r="F44" t="s">
        <v>19</v>
      </c>
      <c r="G44" t="s">
        <v>20</v>
      </c>
      <c r="H44" t="s">
        <v>21</v>
      </c>
      <c r="I44" t="s">
        <v>527</v>
      </c>
      <c r="J44" t="s">
        <v>528</v>
      </c>
      <c r="K44" t="s">
        <v>333</v>
      </c>
      <c r="L44" t="s">
        <v>84</v>
      </c>
    </row>
    <row r="45" spans="1:12" x14ac:dyDescent="0.2">
      <c r="A45" t="s">
        <v>24</v>
      </c>
    </row>
    <row r="46" spans="1:12" x14ac:dyDescent="0.2">
      <c r="A46" t="s">
        <v>35</v>
      </c>
      <c r="B46">
        <f t="shared" ref="B46:K57" si="3">+B11*B30</f>
        <v>13.818399999999999</v>
      </c>
      <c r="C46">
        <f t="shared" si="3"/>
        <v>-893.83120000000008</v>
      </c>
      <c r="D46">
        <f t="shared" si="3"/>
        <v>19554.682000000001</v>
      </c>
      <c r="E46">
        <f t="shared" si="3"/>
        <v>16187.328</v>
      </c>
      <c r="F46">
        <f t="shared" si="3"/>
        <v>508.80959999999999</v>
      </c>
      <c r="G46">
        <f t="shared" si="3"/>
        <v>3785.3696000000004</v>
      </c>
      <c r="H46">
        <f t="shared" si="3"/>
        <v>3761.4548</v>
      </c>
      <c r="I46">
        <f t="shared" si="3"/>
        <v>7880.7364000000007</v>
      </c>
      <c r="J46">
        <f t="shared" si="3"/>
        <v>-790.99840000000006</v>
      </c>
      <c r="K46">
        <f t="shared" si="3"/>
        <v>-5048.4736000000003</v>
      </c>
      <c r="L46">
        <f t="shared" ref="L46:L54" si="4">SUM(B46:K46)</f>
        <v>44958.895600000003</v>
      </c>
    </row>
    <row r="47" spans="1:12" x14ac:dyDescent="0.2">
      <c r="A47" t="str">
        <f>A31</f>
        <v>January 16</v>
      </c>
      <c r="B47">
        <f t="shared" si="3"/>
        <v>-2125.0976000000001</v>
      </c>
      <c r="C47">
        <f t="shared" si="3"/>
        <v>-3727.6928000000003</v>
      </c>
      <c r="D47">
        <f t="shared" si="3"/>
        <v>16822.806</v>
      </c>
      <c r="E47">
        <f t="shared" si="3"/>
        <v>15983.7084</v>
      </c>
      <c r="F47">
        <f t="shared" si="3"/>
        <v>151.096</v>
      </c>
      <c r="G47">
        <f t="shared" si="3"/>
        <v>3637.0752000000007</v>
      </c>
      <c r="H47">
        <f t="shared" si="3"/>
        <v>3658.1688000000004</v>
      </c>
      <c r="I47">
        <f t="shared" si="3"/>
        <v>7613.2584000000006</v>
      </c>
      <c r="J47">
        <f t="shared" si="3"/>
        <v>-867.11040000000003</v>
      </c>
      <c r="K47">
        <f t="shared" si="3"/>
        <v>-5209.3728000000001</v>
      </c>
      <c r="L47">
        <f t="shared" si="4"/>
        <v>35936.839200000009</v>
      </c>
    </row>
    <row r="48" spans="1:12" x14ac:dyDescent="0.2">
      <c r="A48" t="s">
        <v>37</v>
      </c>
      <c r="B48">
        <f t="shared" si="3"/>
        <v>-1618.9743999999998</v>
      </c>
      <c r="C48">
        <f t="shared" si="3"/>
        <v>-2839.902</v>
      </c>
      <c r="D48">
        <f t="shared" si="3"/>
        <v>12816.003199999999</v>
      </c>
      <c r="E48">
        <f t="shared" si="3"/>
        <v>12177.593999999999</v>
      </c>
      <c r="F48">
        <f t="shared" si="3"/>
        <v>115.0996</v>
      </c>
      <c r="G48">
        <f t="shared" si="3"/>
        <v>2292.7680000000005</v>
      </c>
      <c r="H48">
        <f t="shared" si="3"/>
        <v>1761.6420000000001</v>
      </c>
      <c r="I48">
        <f t="shared" si="3"/>
        <v>5134.3320000000003</v>
      </c>
      <c r="J48">
        <f t="shared" si="3"/>
        <v>-660.06000000000006</v>
      </c>
      <c r="K48">
        <f t="shared" si="3"/>
        <v>-3970.2400000000002</v>
      </c>
      <c r="L48">
        <f t="shared" si="4"/>
        <v>25208.262399999992</v>
      </c>
    </row>
    <row r="49" spans="1:12" x14ac:dyDescent="0.2">
      <c r="A49" t="s">
        <v>329</v>
      </c>
      <c r="B49">
        <f t="shared" si="3"/>
        <v>3227.2799999999997</v>
      </c>
      <c r="C49">
        <f t="shared" si="3"/>
        <v>-611.63760000000002</v>
      </c>
      <c r="D49">
        <f t="shared" si="3"/>
        <v>18946.526400000002</v>
      </c>
      <c r="E49">
        <f t="shared" si="3"/>
        <v>15993.568799999999</v>
      </c>
      <c r="F49">
        <f t="shared" si="3"/>
        <v>151.2576</v>
      </c>
      <c r="G49">
        <f t="shared" si="3"/>
        <v>3641.1272000000004</v>
      </c>
      <c r="H49">
        <f t="shared" si="3"/>
        <v>2315.8896</v>
      </c>
      <c r="I49">
        <f t="shared" si="3"/>
        <v>6394.7187999999996</v>
      </c>
      <c r="J49">
        <f t="shared" si="3"/>
        <v>-867.11040000000003</v>
      </c>
      <c r="K49">
        <f t="shared" si="3"/>
        <v>-5217.7312000000002</v>
      </c>
      <c r="L49">
        <f t="shared" si="4"/>
        <v>43973.889200000005</v>
      </c>
    </row>
    <row r="50" spans="1:12" x14ac:dyDescent="0.2">
      <c r="A50" t="s">
        <v>95</v>
      </c>
      <c r="B50">
        <f t="shared" si="3"/>
        <v>4228.4647999999997</v>
      </c>
      <c r="C50">
        <f t="shared" si="3"/>
        <v>470.0772</v>
      </c>
      <c r="D50">
        <f t="shared" si="3"/>
        <v>14612.0352</v>
      </c>
      <c r="E50">
        <f t="shared" si="3"/>
        <v>12771.1592</v>
      </c>
      <c r="F50">
        <f t="shared" si="3"/>
        <v>581.75599999999997</v>
      </c>
      <c r="G50">
        <f t="shared" si="3"/>
        <v>3352.5072</v>
      </c>
      <c r="H50">
        <f t="shared" si="3"/>
        <v>2122.5715999999998</v>
      </c>
      <c r="I50">
        <f t="shared" si="3"/>
        <v>5758.3764000000001</v>
      </c>
      <c r="J50">
        <f t="shared" si="3"/>
        <v>-354.78559999999999</v>
      </c>
      <c r="K50">
        <f t="shared" si="3"/>
        <v>-3851.1327999999999</v>
      </c>
      <c r="L50">
        <f t="shared" si="4"/>
        <v>39691.029200000004</v>
      </c>
    </row>
    <row r="51" spans="1:12" x14ac:dyDescent="0.2">
      <c r="A51" t="s">
        <v>40</v>
      </c>
      <c r="B51">
        <f t="shared" si="3"/>
        <v>6004.0735999999988</v>
      </c>
      <c r="C51">
        <f t="shared" si="3"/>
        <v>2767.4255999999996</v>
      </c>
      <c r="D51">
        <f t="shared" si="3"/>
        <v>15992.372799999999</v>
      </c>
      <c r="E51">
        <f t="shared" si="3"/>
        <v>14989.753199999999</v>
      </c>
      <c r="F51">
        <f t="shared" si="3"/>
        <v>1953.0431999999998</v>
      </c>
      <c r="G51">
        <f t="shared" si="3"/>
        <v>4804.0775999999996</v>
      </c>
      <c r="H51">
        <f t="shared" si="3"/>
        <v>3928.7168000000001</v>
      </c>
      <c r="I51">
        <f t="shared" si="3"/>
        <v>9351.1971999999987</v>
      </c>
      <c r="J51">
        <f t="shared" si="3"/>
        <v>-379.96959999999996</v>
      </c>
      <c r="K51">
        <f t="shared" si="3"/>
        <v>-4607.5680000000002</v>
      </c>
      <c r="L51">
        <f t="shared" si="4"/>
        <v>54803.122399999993</v>
      </c>
    </row>
    <row r="52" spans="1:12" x14ac:dyDescent="0.2">
      <c r="A52" t="s">
        <v>41</v>
      </c>
      <c r="B52">
        <f t="shared" si="3"/>
        <v>10868.8624</v>
      </c>
      <c r="C52">
        <f t="shared" si="3"/>
        <v>7224.3472000000002</v>
      </c>
      <c r="D52">
        <f t="shared" si="3"/>
        <v>22013.668799999999</v>
      </c>
      <c r="E52">
        <f t="shared" si="3"/>
        <v>21526.2192</v>
      </c>
      <c r="F52">
        <f t="shared" si="3"/>
        <v>1094.5411999999999</v>
      </c>
      <c r="G52">
        <f t="shared" si="3"/>
        <v>6340.4256000000005</v>
      </c>
      <c r="H52">
        <f t="shared" si="3"/>
        <v>5409.9064000000008</v>
      </c>
      <c r="I52">
        <f t="shared" si="3"/>
        <v>13303.349999999999</v>
      </c>
      <c r="J52">
        <f t="shared" si="3"/>
        <v>-485.45639999999997</v>
      </c>
      <c r="K52">
        <f t="shared" si="3"/>
        <v>-6341.9360000000006</v>
      </c>
      <c r="L52">
        <f t="shared" si="4"/>
        <v>80953.928400000019</v>
      </c>
    </row>
    <row r="53" spans="1:12" x14ac:dyDescent="0.2">
      <c r="A53" t="s">
        <v>42</v>
      </c>
      <c r="B53">
        <f t="shared" si="3"/>
        <v>10525.8488</v>
      </c>
      <c r="C53">
        <f t="shared" si="3"/>
        <v>6768.3119999999999</v>
      </c>
      <c r="D53">
        <f t="shared" si="3"/>
        <v>18597.444800000001</v>
      </c>
      <c r="E53">
        <f t="shared" si="3"/>
        <v>14496.422399999999</v>
      </c>
      <c r="F53">
        <f t="shared" si="3"/>
        <v>455.45759999999996</v>
      </c>
      <c r="G53">
        <f t="shared" si="3"/>
        <v>4710.8768</v>
      </c>
      <c r="H53">
        <f t="shared" si="3"/>
        <v>3172.3692000000005</v>
      </c>
      <c r="I53">
        <f t="shared" si="3"/>
        <v>8866.7852000000003</v>
      </c>
      <c r="J53">
        <f t="shared" si="3"/>
        <v>-399.38400000000001</v>
      </c>
      <c r="K53">
        <f t="shared" si="3"/>
        <v>-4517.7152000000006</v>
      </c>
      <c r="L53">
        <f t="shared" si="4"/>
        <v>62676.417599999993</v>
      </c>
    </row>
    <row r="54" spans="1:12" x14ac:dyDescent="0.2">
      <c r="A54" t="s">
        <v>43</v>
      </c>
      <c r="B54">
        <f t="shared" si="3"/>
        <v>15427.238399999998</v>
      </c>
      <c r="C54">
        <f t="shared" si="3"/>
        <v>11478.266800000001</v>
      </c>
      <c r="D54">
        <f t="shared" si="3"/>
        <v>27452.697600000003</v>
      </c>
      <c r="E54">
        <f t="shared" si="3"/>
        <v>15671.0064</v>
      </c>
      <c r="F54">
        <f t="shared" si="3"/>
        <v>999.26639999999986</v>
      </c>
      <c r="G54">
        <f t="shared" si="3"/>
        <v>5008.6352000000006</v>
      </c>
      <c r="H54">
        <f t="shared" si="3"/>
        <v>2332.7327999999998</v>
      </c>
      <c r="I54">
        <f t="shared" si="3"/>
        <v>8121.9420000000009</v>
      </c>
      <c r="J54">
        <f t="shared" si="3"/>
        <v>-510.63040000000001</v>
      </c>
      <c r="K54">
        <f t="shared" si="3"/>
        <v>-4791.4528</v>
      </c>
      <c r="L54">
        <f t="shared" si="4"/>
        <v>81189.702399999995</v>
      </c>
    </row>
    <row r="55" spans="1:12" x14ac:dyDescent="0.2">
      <c r="A55" t="s">
        <v>44</v>
      </c>
      <c r="B55">
        <f t="shared" si="3"/>
        <v>14363.481600000001</v>
      </c>
      <c r="C55">
        <f t="shared" si="3"/>
        <v>9042.7963999999993</v>
      </c>
      <c r="D55">
        <f t="shared" si="3"/>
        <v>21660.249200000002</v>
      </c>
      <c r="E55">
        <f t="shared" si="3"/>
        <v>13379.561599999999</v>
      </c>
      <c r="F55">
        <f t="shared" si="3"/>
        <v>1175.4944</v>
      </c>
      <c r="G55">
        <f t="shared" si="3"/>
        <v>3469.9252000000006</v>
      </c>
      <c r="H55">
        <f t="shared" si="3"/>
        <v>2224.2015999999999</v>
      </c>
      <c r="I55">
        <f t="shared" si="3"/>
        <v>5704.862000000001</v>
      </c>
      <c r="J55">
        <f t="shared" si="3"/>
        <v>-446.57919999999996</v>
      </c>
      <c r="K55">
        <f t="shared" si="3"/>
        <v>-4195.9168</v>
      </c>
      <c r="L55">
        <f>SUM(B55:K55)</f>
        <v>66378.076000000001</v>
      </c>
    </row>
    <row r="56" spans="1:12" x14ac:dyDescent="0.2">
      <c r="A56" t="s">
        <v>509</v>
      </c>
      <c r="B56">
        <f t="shared" si="3"/>
        <v>12720.348</v>
      </c>
      <c r="C56">
        <f t="shared" si="3"/>
        <v>7055.0172000000002</v>
      </c>
      <c r="D56">
        <f t="shared" si="3"/>
        <v>20466.928800000002</v>
      </c>
      <c r="E56">
        <f t="shared" si="3"/>
        <v>14809.1536</v>
      </c>
      <c r="F56">
        <f t="shared" si="3"/>
        <v>618.99039999999991</v>
      </c>
      <c r="G56">
        <f t="shared" si="3"/>
        <v>3747.4808000000007</v>
      </c>
      <c r="H56">
        <f t="shared" si="3"/>
        <v>2691.3900000000003</v>
      </c>
      <c r="I56">
        <f t="shared" si="3"/>
        <v>6463.0268000000005</v>
      </c>
      <c r="J56">
        <f t="shared" si="3"/>
        <v>-482.16319999999996</v>
      </c>
      <c r="K56">
        <f t="shared" si="3"/>
        <v>-4530.2528000000002</v>
      </c>
      <c r="L56">
        <f>SUM(B56:K56)</f>
        <v>63559.919600000008</v>
      </c>
    </row>
    <row r="57" spans="1:12" x14ac:dyDescent="0.2">
      <c r="A57" t="s">
        <v>34</v>
      </c>
      <c r="B57">
        <f t="shared" si="3"/>
        <v>16256.553599999999</v>
      </c>
      <c r="C57">
        <f t="shared" si="3"/>
        <v>10887.3236</v>
      </c>
      <c r="D57">
        <f t="shared" si="3"/>
        <v>26892.148400000002</v>
      </c>
      <c r="E57">
        <f t="shared" si="3"/>
        <v>16030.328</v>
      </c>
      <c r="F57">
        <f t="shared" si="3"/>
        <v>1052.7</v>
      </c>
      <c r="G57">
        <f t="shared" si="3"/>
        <v>4177.7400000000007</v>
      </c>
      <c r="H57">
        <f t="shared" si="3"/>
        <v>4091.3152000000005</v>
      </c>
      <c r="I57">
        <f t="shared" si="3"/>
        <v>7204.3364000000001</v>
      </c>
      <c r="J57">
        <f t="shared" si="3"/>
        <v>-507.11839999999995</v>
      </c>
      <c r="K57">
        <f t="shared" si="3"/>
        <v>-5292.2632000000003</v>
      </c>
      <c r="L57">
        <f>SUM(B57:K57)</f>
        <v>80793.063599999994</v>
      </c>
    </row>
    <row r="58" spans="1:12" x14ac:dyDescent="0.2">
      <c r="A58" t="s">
        <v>88</v>
      </c>
      <c r="B58">
        <f t="shared" ref="B58:L58" si="5">SUM(B46:B57)</f>
        <v>89891.897599999997</v>
      </c>
      <c r="C58">
        <f t="shared" si="5"/>
        <v>47620.502399999998</v>
      </c>
      <c r="D58">
        <f t="shared" si="5"/>
        <v>235827.5632</v>
      </c>
      <c r="E58">
        <f t="shared" si="5"/>
        <v>184015.80279999998</v>
      </c>
      <c r="F58">
        <f t="shared" si="5"/>
        <v>8857.5119999999988</v>
      </c>
      <c r="G58">
        <f t="shared" si="5"/>
        <v>48968.008399999992</v>
      </c>
      <c r="H58">
        <f t="shared" si="5"/>
        <v>37470.358799999995</v>
      </c>
      <c r="I58">
        <f t="shared" si="5"/>
        <v>91796.921600000016</v>
      </c>
      <c r="J58">
        <f t="shared" si="5"/>
        <v>-6751.366</v>
      </c>
      <c r="K58">
        <f t="shared" si="5"/>
        <v>-57574.055200000003</v>
      </c>
      <c r="L58">
        <f t="shared" si="5"/>
        <v>680123.14560000005</v>
      </c>
    </row>
    <row r="60" spans="1:12" x14ac:dyDescent="0.2">
      <c r="L60" t="s">
        <v>6</v>
      </c>
    </row>
    <row r="61" spans="1:12" x14ac:dyDescent="0.2">
      <c r="F61" t="s">
        <v>536</v>
      </c>
    </row>
    <row r="62" spans="1:12" x14ac:dyDescent="0.2">
      <c r="F62" t="s">
        <v>537</v>
      </c>
    </row>
    <row r="63" spans="1:12" x14ac:dyDescent="0.2">
      <c r="F63" t="s">
        <v>0</v>
      </c>
    </row>
    <row r="64" spans="1:12" x14ac:dyDescent="0.2">
      <c r="F64" t="s">
        <v>378</v>
      </c>
    </row>
    <row r="65" spans="1:11" x14ac:dyDescent="0.2">
      <c r="F65" t="str">
        <f>E5</f>
        <v>After Seventeenth  Year</v>
      </c>
    </row>
    <row r="67" spans="1:11" x14ac:dyDescent="0.2">
      <c r="A67" t="s">
        <v>81</v>
      </c>
    </row>
    <row r="68" spans="1:11" x14ac:dyDescent="0.2">
      <c r="G68" t="s">
        <v>330</v>
      </c>
      <c r="H68" t="s">
        <v>6</v>
      </c>
      <c r="K68" t="s">
        <v>6</v>
      </c>
    </row>
    <row r="69" spans="1:11" x14ac:dyDescent="0.2">
      <c r="B69" t="s">
        <v>14</v>
      </c>
      <c r="C69" t="s">
        <v>15</v>
      </c>
      <c r="D69" t="s">
        <v>16</v>
      </c>
      <c r="E69" t="s">
        <v>18</v>
      </c>
      <c r="F69" t="s">
        <v>19</v>
      </c>
      <c r="G69" t="s">
        <v>331</v>
      </c>
      <c r="H69" t="s">
        <v>333</v>
      </c>
      <c r="I69" t="s">
        <v>84</v>
      </c>
    </row>
    <row r="70" spans="1:11" x14ac:dyDescent="0.2">
      <c r="A70" t="s">
        <v>9</v>
      </c>
    </row>
    <row r="71" spans="1:11" x14ac:dyDescent="0.2">
      <c r="A71" t="s">
        <v>35</v>
      </c>
      <c r="B71">
        <v>22.15</v>
      </c>
      <c r="C71">
        <v>19.37</v>
      </c>
      <c r="D71">
        <v>26.1</v>
      </c>
      <c r="E71">
        <v>1.01</v>
      </c>
      <c r="F71">
        <v>2.3199999999999998</v>
      </c>
      <c r="G71">
        <v>4.96</v>
      </c>
      <c r="H71">
        <v>1.55</v>
      </c>
      <c r="I71">
        <f>SUM(B71:H71)</f>
        <v>77.459999999999994</v>
      </c>
    </row>
    <row r="72" spans="1:11" x14ac:dyDescent="0.2">
      <c r="A72" t="s">
        <v>543</v>
      </c>
      <c r="B72">
        <v>18.07</v>
      </c>
      <c r="C72">
        <v>15.8</v>
      </c>
      <c r="D72">
        <v>21.29</v>
      </c>
      <c r="E72">
        <v>0.82</v>
      </c>
      <c r="F72">
        <v>1.9</v>
      </c>
      <c r="G72">
        <v>4.05</v>
      </c>
      <c r="H72">
        <v>1.26</v>
      </c>
      <c r="I72">
        <f t="shared" ref="I72:I82" si="6">SUM(B72:H72)</f>
        <v>63.19</v>
      </c>
    </row>
    <row r="73" spans="1:11" x14ac:dyDescent="0.2">
      <c r="A73" t="s">
        <v>37</v>
      </c>
      <c r="B73">
        <v>20.68</v>
      </c>
      <c r="C73">
        <v>18.079999999999998</v>
      </c>
      <c r="D73">
        <v>24.37</v>
      </c>
      <c r="E73">
        <v>0.94</v>
      </c>
      <c r="F73">
        <v>2.17</v>
      </c>
      <c r="G73">
        <v>4.62</v>
      </c>
      <c r="H73">
        <v>1.44</v>
      </c>
      <c r="I73">
        <f t="shared" si="6"/>
        <v>72.3</v>
      </c>
    </row>
    <row r="74" spans="1:11" x14ac:dyDescent="0.2">
      <c r="A74" t="s">
        <v>329</v>
      </c>
      <c r="B74">
        <v>24.8</v>
      </c>
      <c r="C74">
        <v>21.69</v>
      </c>
      <c r="D74">
        <v>29.23</v>
      </c>
      <c r="E74">
        <v>1.1299999999999999</v>
      </c>
      <c r="F74">
        <v>2.6</v>
      </c>
      <c r="G74">
        <v>5.55</v>
      </c>
      <c r="H74">
        <v>1.73</v>
      </c>
      <c r="I74">
        <f t="shared" si="6"/>
        <v>86.72999999999999</v>
      </c>
    </row>
    <row r="75" spans="1:11" x14ac:dyDescent="0.2">
      <c r="A75" t="s">
        <v>95</v>
      </c>
      <c r="B75">
        <v>19.79</v>
      </c>
      <c r="C75">
        <v>17.29</v>
      </c>
      <c r="D75">
        <v>23.31</v>
      </c>
      <c r="E75">
        <v>0.9</v>
      </c>
      <c r="F75">
        <v>2.08</v>
      </c>
      <c r="G75">
        <v>4.43</v>
      </c>
      <c r="H75">
        <v>1.38</v>
      </c>
      <c r="I75">
        <f t="shared" si="6"/>
        <v>69.179999999999993</v>
      </c>
    </row>
    <row r="76" spans="1:11" x14ac:dyDescent="0.2">
      <c r="A76" t="s">
        <v>40</v>
      </c>
      <c r="B76">
        <v>20.72</v>
      </c>
      <c r="C76">
        <v>18.12</v>
      </c>
      <c r="D76">
        <v>24.42</v>
      </c>
      <c r="E76">
        <v>0.95</v>
      </c>
      <c r="F76">
        <v>2.17</v>
      </c>
      <c r="G76">
        <v>4.6399999999999997</v>
      </c>
      <c r="H76">
        <v>1.45</v>
      </c>
      <c r="I76">
        <f t="shared" si="6"/>
        <v>72.470000000000013</v>
      </c>
    </row>
    <row r="77" spans="1:11" x14ac:dyDescent="0.2">
      <c r="A77" t="s">
        <v>41</v>
      </c>
      <c r="B77">
        <v>20.72</v>
      </c>
      <c r="C77">
        <v>18.12</v>
      </c>
      <c r="D77">
        <v>24.42</v>
      </c>
      <c r="E77">
        <v>0.95</v>
      </c>
      <c r="F77">
        <v>2.17</v>
      </c>
      <c r="G77">
        <v>4.6399999999999997</v>
      </c>
      <c r="H77">
        <v>1.45</v>
      </c>
      <c r="I77">
        <f t="shared" si="6"/>
        <v>72.470000000000013</v>
      </c>
    </row>
    <row r="78" spans="1:11" x14ac:dyDescent="0.2">
      <c r="A78" t="s">
        <v>42</v>
      </c>
      <c r="B78">
        <v>19.79</v>
      </c>
      <c r="C78">
        <v>17.29</v>
      </c>
      <c r="D78">
        <v>23.31</v>
      </c>
      <c r="E78">
        <v>0.9</v>
      </c>
      <c r="F78">
        <v>2.08</v>
      </c>
      <c r="G78">
        <v>4.43</v>
      </c>
      <c r="H78">
        <v>1.38</v>
      </c>
      <c r="I78">
        <f t="shared" si="6"/>
        <v>69.179999999999993</v>
      </c>
    </row>
    <row r="79" spans="1:11" x14ac:dyDescent="0.2">
      <c r="A79" t="s">
        <v>43</v>
      </c>
      <c r="B79">
        <v>21.67</v>
      </c>
      <c r="C79">
        <v>18.940000000000001</v>
      </c>
      <c r="D79">
        <v>25.53</v>
      </c>
      <c r="E79">
        <v>0.99</v>
      </c>
      <c r="F79">
        <v>2.27</v>
      </c>
      <c r="G79">
        <v>4.8499999999999996</v>
      </c>
      <c r="H79">
        <v>1.51</v>
      </c>
      <c r="I79">
        <f t="shared" si="6"/>
        <v>75.759999999999991</v>
      </c>
    </row>
    <row r="80" spans="1:11" x14ac:dyDescent="0.2">
      <c r="A80" t="s">
        <v>44</v>
      </c>
      <c r="B80">
        <v>20.72</v>
      </c>
      <c r="C80">
        <v>18.12</v>
      </c>
      <c r="D80">
        <v>24.42</v>
      </c>
      <c r="E80">
        <v>0.95</v>
      </c>
      <c r="F80">
        <v>2.17</v>
      </c>
      <c r="G80">
        <v>4.62</v>
      </c>
      <c r="H80">
        <v>1.45</v>
      </c>
      <c r="I80">
        <f t="shared" si="6"/>
        <v>72.450000000000017</v>
      </c>
    </row>
    <row r="81" spans="1:9" x14ac:dyDescent="0.2">
      <c r="A81" t="s">
        <v>509</v>
      </c>
      <c r="B81">
        <v>19.79</v>
      </c>
      <c r="C81">
        <v>17.29</v>
      </c>
      <c r="D81">
        <v>23.31</v>
      </c>
      <c r="E81">
        <v>0.9</v>
      </c>
      <c r="F81">
        <v>2.08</v>
      </c>
      <c r="G81">
        <v>4.43</v>
      </c>
      <c r="H81">
        <v>1.38</v>
      </c>
      <c r="I81">
        <f t="shared" si="6"/>
        <v>69.179999999999993</v>
      </c>
    </row>
    <row r="82" spans="1:9" x14ac:dyDescent="0.2">
      <c r="A82" t="s">
        <v>34</v>
      </c>
      <c r="B82">
        <v>20.72</v>
      </c>
      <c r="C82">
        <v>18.12</v>
      </c>
      <c r="D82">
        <v>24.42</v>
      </c>
      <c r="E82">
        <v>0.95</v>
      </c>
      <c r="F82">
        <v>2.17</v>
      </c>
      <c r="G82">
        <v>4.6399999999999997</v>
      </c>
      <c r="H82">
        <v>1.45</v>
      </c>
      <c r="I82">
        <f t="shared" si="6"/>
        <v>72.470000000000013</v>
      </c>
    </row>
    <row r="83" spans="1:9" x14ac:dyDescent="0.2">
      <c r="A83" t="s">
        <v>22</v>
      </c>
      <c r="B83">
        <f t="shared" ref="B83:I83" si="7">SUM(B71:B82)</f>
        <v>249.61999999999998</v>
      </c>
      <c r="C83">
        <f t="shared" si="7"/>
        <v>218.23</v>
      </c>
      <c r="D83">
        <f t="shared" si="7"/>
        <v>294.13000000000005</v>
      </c>
      <c r="E83">
        <f t="shared" si="7"/>
        <v>11.389999999999999</v>
      </c>
      <c r="F83">
        <f t="shared" si="7"/>
        <v>26.18</v>
      </c>
      <c r="G83">
        <f t="shared" si="7"/>
        <v>55.86</v>
      </c>
      <c r="H83">
        <f t="shared" si="7"/>
        <v>17.43</v>
      </c>
      <c r="I83">
        <f t="shared" si="7"/>
        <v>872.83999999999992</v>
      </c>
    </row>
    <row r="85" spans="1:9" x14ac:dyDescent="0.2">
      <c r="A85" t="s">
        <v>117</v>
      </c>
      <c r="B85">
        <f>B83/$I$83</f>
        <v>0.28598597681132853</v>
      </c>
      <c r="C85">
        <f t="shared" ref="C85:H85" si="8">C83/$I$83</f>
        <v>0.25002291370697954</v>
      </c>
      <c r="D85">
        <f t="shared" si="8"/>
        <v>0.33698043169423958</v>
      </c>
      <c r="E85">
        <f t="shared" si="8"/>
        <v>1.3049356124833876E-2</v>
      </c>
      <c r="F85">
        <f t="shared" si="8"/>
        <v>2.9994042436185329E-2</v>
      </c>
      <c r="G85">
        <f t="shared" si="8"/>
        <v>6.3997983593785807E-2</v>
      </c>
      <c r="H85">
        <f t="shared" si="8"/>
        <v>1.996929563264745E-2</v>
      </c>
      <c r="I85">
        <f>SUM(B85:H85)</f>
        <v>1</v>
      </c>
    </row>
    <row r="87" spans="1:9" x14ac:dyDescent="0.2">
      <c r="G87" t="s">
        <v>330</v>
      </c>
      <c r="I87" t="s">
        <v>6</v>
      </c>
    </row>
    <row r="88" spans="1:9" x14ac:dyDescent="0.2">
      <c r="B88" t="s">
        <v>14</v>
      </c>
      <c r="C88" t="s">
        <v>15</v>
      </c>
      <c r="D88" t="s">
        <v>16</v>
      </c>
      <c r="E88" t="s">
        <v>18</v>
      </c>
      <c r="F88" t="s">
        <v>19</v>
      </c>
      <c r="G88" t="s">
        <v>331</v>
      </c>
      <c r="H88" t="s">
        <v>333</v>
      </c>
    </row>
    <row r="89" spans="1:9" x14ac:dyDescent="0.2">
      <c r="A89" t="s">
        <v>86</v>
      </c>
    </row>
    <row r="90" spans="1:9" x14ac:dyDescent="0.2">
      <c r="A90" t="s">
        <v>35</v>
      </c>
      <c r="B90">
        <f t="shared" ref="B90:F93" si="9">B30</f>
        <v>0.04</v>
      </c>
      <c r="C90">
        <f t="shared" si="9"/>
        <v>-2.96</v>
      </c>
      <c r="D90">
        <f t="shared" si="9"/>
        <v>48.04</v>
      </c>
      <c r="E90">
        <f t="shared" si="9"/>
        <v>1031.04</v>
      </c>
      <c r="F90">
        <f t="shared" si="9"/>
        <v>14.04</v>
      </c>
      <c r="G90">
        <v>189.3</v>
      </c>
      <c r="H90">
        <f t="shared" ref="H90:H95" si="10">K30</f>
        <v>-208.96</v>
      </c>
    </row>
    <row r="91" spans="1:9" x14ac:dyDescent="0.2">
      <c r="A91" t="s">
        <v>543</v>
      </c>
      <c r="B91">
        <f t="shared" si="9"/>
        <v>-5.96</v>
      </c>
      <c r="C91">
        <f t="shared" si="9"/>
        <v>-11.96</v>
      </c>
      <c r="D91">
        <f t="shared" si="9"/>
        <v>40.04</v>
      </c>
      <c r="E91">
        <f t="shared" si="9"/>
        <v>986.04</v>
      </c>
      <c r="F91">
        <f t="shared" si="9"/>
        <v>4.04</v>
      </c>
      <c r="G91">
        <v>175.66</v>
      </c>
      <c r="H91">
        <f t="shared" si="10"/>
        <v>-208.96</v>
      </c>
    </row>
    <row r="92" spans="1:9" x14ac:dyDescent="0.2">
      <c r="A92" t="s">
        <v>37</v>
      </c>
      <c r="B92">
        <f t="shared" si="9"/>
        <v>-5.96</v>
      </c>
      <c r="C92">
        <f t="shared" si="9"/>
        <v>-11.96</v>
      </c>
      <c r="D92">
        <f t="shared" si="9"/>
        <v>40.04</v>
      </c>
      <c r="E92">
        <f t="shared" si="9"/>
        <v>986.04</v>
      </c>
      <c r="F92">
        <f t="shared" si="9"/>
        <v>4.04</v>
      </c>
      <c r="G92">
        <v>140.41999999999999</v>
      </c>
      <c r="H92">
        <f t="shared" si="10"/>
        <v>-208.96</v>
      </c>
    </row>
    <row r="93" spans="1:9" x14ac:dyDescent="0.2">
      <c r="A93" t="s">
        <v>329</v>
      </c>
      <c r="B93">
        <f t="shared" si="9"/>
        <v>9.0399999999999991</v>
      </c>
      <c r="C93">
        <f t="shared" si="9"/>
        <v>-1.96</v>
      </c>
      <c r="D93">
        <f t="shared" si="9"/>
        <v>45.04</v>
      </c>
      <c r="E93">
        <f t="shared" si="9"/>
        <v>986.04</v>
      </c>
      <c r="F93">
        <f t="shared" si="9"/>
        <v>4.04</v>
      </c>
      <c r="G93">
        <v>143.72</v>
      </c>
      <c r="H93">
        <f t="shared" si="10"/>
        <v>-208.96</v>
      </c>
    </row>
    <row r="94" spans="1:9" x14ac:dyDescent="0.2">
      <c r="A94" t="s">
        <v>95</v>
      </c>
      <c r="B94">
        <f t="shared" ref="B94:F101" si="11">B34</f>
        <v>16.04</v>
      </c>
      <c r="C94">
        <f t="shared" si="11"/>
        <v>2.04</v>
      </c>
      <c r="D94">
        <f t="shared" si="11"/>
        <v>47.04</v>
      </c>
      <c r="E94">
        <f t="shared" si="11"/>
        <v>1066.04</v>
      </c>
      <c r="F94">
        <f t="shared" si="11"/>
        <v>21.04</v>
      </c>
      <c r="G94">
        <v>184.35</v>
      </c>
      <c r="H94">
        <f t="shared" si="10"/>
        <v>-208.96</v>
      </c>
    </row>
    <row r="95" spans="1:9" x14ac:dyDescent="0.2">
      <c r="A95" t="s">
        <v>40</v>
      </c>
      <c r="B95">
        <f t="shared" si="11"/>
        <v>19.04</v>
      </c>
      <c r="C95">
        <f t="shared" si="11"/>
        <v>10.039999999999999</v>
      </c>
      <c r="D95">
        <f t="shared" si="11"/>
        <v>43.04</v>
      </c>
      <c r="E95">
        <f t="shared" si="11"/>
        <v>1046.04</v>
      </c>
      <c r="F95">
        <f t="shared" si="11"/>
        <v>59.04</v>
      </c>
      <c r="G95">
        <v>250.68</v>
      </c>
      <c r="H95">
        <f t="shared" si="10"/>
        <v>-208.96</v>
      </c>
    </row>
    <row r="96" spans="1:9" x14ac:dyDescent="0.2">
      <c r="A96" t="s">
        <v>41</v>
      </c>
      <c r="B96">
        <f t="shared" si="11"/>
        <v>25.04</v>
      </c>
      <c r="C96">
        <f t="shared" si="11"/>
        <v>19.04</v>
      </c>
      <c r="D96">
        <f t="shared" si="11"/>
        <v>43.04</v>
      </c>
      <c r="E96">
        <f t="shared" si="11"/>
        <v>1091.04</v>
      </c>
      <c r="F96">
        <f t="shared" si="11"/>
        <v>24.04</v>
      </c>
      <c r="G96">
        <v>250.68</v>
      </c>
      <c r="H96">
        <f t="shared" ref="H96:H101" si="12">K36</f>
        <v>-208.96</v>
      </c>
    </row>
    <row r="97" spans="1:9" x14ac:dyDescent="0.2">
      <c r="A97" t="s">
        <v>42</v>
      </c>
      <c r="B97">
        <f t="shared" si="11"/>
        <v>34.04</v>
      </c>
      <c r="C97">
        <f t="shared" si="11"/>
        <v>25.04</v>
      </c>
      <c r="D97">
        <f t="shared" si="11"/>
        <v>51.04</v>
      </c>
      <c r="E97">
        <f t="shared" si="11"/>
        <v>1031.04</v>
      </c>
      <c r="F97">
        <f t="shared" si="11"/>
        <v>14.04</v>
      </c>
      <c r="G97">
        <v>236.38</v>
      </c>
      <c r="H97">
        <f t="shared" si="12"/>
        <v>-208.96</v>
      </c>
    </row>
    <row r="98" spans="1:9" x14ac:dyDescent="0.2">
      <c r="A98" t="s">
        <v>43</v>
      </c>
      <c r="B98">
        <f t="shared" si="11"/>
        <v>47.04</v>
      </c>
      <c r="C98">
        <f t="shared" si="11"/>
        <v>40.04</v>
      </c>
      <c r="D98">
        <f t="shared" si="11"/>
        <v>71.040000000000006</v>
      </c>
      <c r="E98">
        <f t="shared" si="11"/>
        <v>1051.04</v>
      </c>
      <c r="F98">
        <f t="shared" si="11"/>
        <v>29.04</v>
      </c>
      <c r="G98">
        <v>203.34</v>
      </c>
      <c r="H98">
        <f t="shared" si="12"/>
        <v>-208.96</v>
      </c>
    </row>
    <row r="99" spans="1:9" x14ac:dyDescent="0.2">
      <c r="A99" t="s">
        <v>508</v>
      </c>
      <c r="B99">
        <f t="shared" si="11"/>
        <v>50.04</v>
      </c>
      <c r="C99">
        <f t="shared" si="11"/>
        <v>36.04</v>
      </c>
      <c r="D99">
        <f t="shared" si="11"/>
        <v>64.040000000000006</v>
      </c>
      <c r="E99">
        <f t="shared" si="11"/>
        <v>1026.04</v>
      </c>
      <c r="F99">
        <f t="shared" si="11"/>
        <v>39.04</v>
      </c>
      <c r="G99">
        <v>171.86</v>
      </c>
      <c r="H99">
        <f t="shared" si="12"/>
        <v>-208.96</v>
      </c>
    </row>
    <row r="100" spans="1:9" x14ac:dyDescent="0.2">
      <c r="A100" t="s">
        <v>509</v>
      </c>
      <c r="B100">
        <f t="shared" si="11"/>
        <v>41.04</v>
      </c>
      <c r="C100">
        <f t="shared" si="11"/>
        <v>26.04</v>
      </c>
      <c r="D100">
        <f t="shared" si="11"/>
        <v>56.04</v>
      </c>
      <c r="E100">
        <f t="shared" si="11"/>
        <v>1051.04</v>
      </c>
      <c r="F100">
        <f t="shared" si="11"/>
        <v>19.04</v>
      </c>
      <c r="G100">
        <v>236.38</v>
      </c>
      <c r="H100">
        <f t="shared" si="12"/>
        <v>-208.96</v>
      </c>
    </row>
    <row r="101" spans="1:9" x14ac:dyDescent="0.2">
      <c r="A101" t="s">
        <v>34</v>
      </c>
      <c r="B101">
        <f t="shared" si="11"/>
        <v>47.04</v>
      </c>
      <c r="C101">
        <f t="shared" si="11"/>
        <v>36.04</v>
      </c>
      <c r="D101">
        <f t="shared" si="11"/>
        <v>66.040000000000006</v>
      </c>
      <c r="E101">
        <f t="shared" si="11"/>
        <v>1021.04</v>
      </c>
      <c r="F101">
        <f t="shared" si="11"/>
        <v>29.04</v>
      </c>
      <c r="G101">
        <v>225.44</v>
      </c>
      <c r="H101">
        <f t="shared" si="12"/>
        <v>-218.96</v>
      </c>
    </row>
    <row r="103" spans="1:9" x14ac:dyDescent="0.2">
      <c r="G103" t="s">
        <v>330</v>
      </c>
    </row>
    <row r="104" spans="1:9" x14ac:dyDescent="0.2">
      <c r="B104" t="s">
        <v>14</v>
      </c>
      <c r="C104" t="s">
        <v>15</v>
      </c>
      <c r="D104" t="s">
        <v>16</v>
      </c>
      <c r="E104" t="s">
        <v>18</v>
      </c>
      <c r="F104" t="s">
        <v>19</v>
      </c>
      <c r="G104" t="s">
        <v>331</v>
      </c>
      <c r="H104" t="s">
        <v>333</v>
      </c>
      <c r="I104" t="s">
        <v>84</v>
      </c>
    </row>
    <row r="105" spans="1:9" x14ac:dyDescent="0.2">
      <c r="A105" t="s">
        <v>24</v>
      </c>
    </row>
    <row r="106" spans="1:9" x14ac:dyDescent="0.2">
      <c r="A106" t="s">
        <v>35</v>
      </c>
      <c r="B106">
        <f t="shared" ref="B106:H110" si="13">B71*B90</f>
        <v>0.88600000000000001</v>
      </c>
      <c r="C106">
        <f t="shared" si="13"/>
        <v>-57.3352</v>
      </c>
      <c r="D106">
        <f t="shared" si="13"/>
        <v>1253.8440000000001</v>
      </c>
      <c r="E106">
        <f t="shared" si="13"/>
        <v>1041.3504</v>
      </c>
      <c r="F106">
        <f t="shared" si="13"/>
        <v>32.572799999999994</v>
      </c>
      <c r="G106">
        <f t="shared" si="13"/>
        <v>938.928</v>
      </c>
      <c r="H106">
        <f t="shared" si="13"/>
        <v>-323.88800000000003</v>
      </c>
      <c r="I106">
        <f>SUM(B106:H106)</f>
        <v>2886.3580000000002</v>
      </c>
    </row>
    <row r="107" spans="1:9" x14ac:dyDescent="0.2">
      <c r="A107" t="s">
        <v>543</v>
      </c>
      <c r="B107">
        <f>B72*B91</f>
        <v>-107.6972</v>
      </c>
      <c r="C107">
        <f t="shared" si="13"/>
        <v>-188.96800000000002</v>
      </c>
      <c r="D107">
        <f t="shared" si="13"/>
        <v>852.45159999999998</v>
      </c>
      <c r="E107">
        <f t="shared" si="13"/>
        <v>808.55279999999993</v>
      </c>
      <c r="F107">
        <f t="shared" si="13"/>
        <v>7.6759999999999993</v>
      </c>
      <c r="G107">
        <f t="shared" si="13"/>
        <v>711.423</v>
      </c>
      <c r="H107">
        <f t="shared" si="13"/>
        <v>-263.28960000000001</v>
      </c>
      <c r="I107">
        <f t="shared" ref="I107:I117" si="14">SUM(B107:H107)</f>
        <v>1820.1485999999995</v>
      </c>
    </row>
    <row r="108" spans="1:9" x14ac:dyDescent="0.2">
      <c r="A108" t="s">
        <v>37</v>
      </c>
      <c r="B108">
        <f>B73*B92</f>
        <v>-123.25279999999999</v>
      </c>
      <c r="C108">
        <f t="shared" si="13"/>
        <v>-216.23679999999999</v>
      </c>
      <c r="D108">
        <f t="shared" si="13"/>
        <v>975.77480000000003</v>
      </c>
      <c r="E108">
        <f t="shared" si="13"/>
        <v>926.87759999999992</v>
      </c>
      <c r="F108">
        <f t="shared" si="13"/>
        <v>8.7667999999999999</v>
      </c>
      <c r="G108">
        <f t="shared" si="13"/>
        <v>648.74039999999991</v>
      </c>
      <c r="H108">
        <f t="shared" si="13"/>
        <v>-300.9024</v>
      </c>
      <c r="I108">
        <f t="shared" si="14"/>
        <v>1919.7676000000001</v>
      </c>
    </row>
    <row r="109" spans="1:9" x14ac:dyDescent="0.2">
      <c r="A109" t="s">
        <v>329</v>
      </c>
      <c r="B109">
        <f>B74*B93</f>
        <v>224.19199999999998</v>
      </c>
      <c r="C109">
        <f t="shared" si="13"/>
        <v>-42.5124</v>
      </c>
      <c r="D109">
        <f t="shared" si="13"/>
        <v>1316.5192</v>
      </c>
      <c r="E109">
        <f t="shared" si="13"/>
        <v>1114.2251999999999</v>
      </c>
      <c r="F109">
        <f t="shared" si="13"/>
        <v>10.504000000000001</v>
      </c>
      <c r="G109">
        <f t="shared" si="13"/>
        <v>797.64599999999996</v>
      </c>
      <c r="H109">
        <f t="shared" si="13"/>
        <v>-361.50080000000003</v>
      </c>
      <c r="I109">
        <f t="shared" si="14"/>
        <v>3059.0731999999998</v>
      </c>
    </row>
    <row r="110" spans="1:9" x14ac:dyDescent="0.2">
      <c r="A110" t="s">
        <v>95</v>
      </c>
      <c r="B110">
        <f>B75*B94</f>
        <v>317.43159999999995</v>
      </c>
      <c r="C110">
        <f t="shared" si="13"/>
        <v>35.271599999999999</v>
      </c>
      <c r="D110">
        <f t="shared" si="13"/>
        <v>1096.5023999999999</v>
      </c>
      <c r="E110">
        <f t="shared" si="13"/>
        <v>959.43600000000004</v>
      </c>
      <c r="F110">
        <f t="shared" si="13"/>
        <v>43.763199999999998</v>
      </c>
      <c r="G110">
        <f t="shared" si="13"/>
        <v>816.67049999999995</v>
      </c>
      <c r="H110">
        <f t="shared" si="13"/>
        <v>-288.3648</v>
      </c>
      <c r="I110">
        <f t="shared" si="14"/>
        <v>2980.7104999999997</v>
      </c>
    </row>
    <row r="111" spans="1:9" x14ac:dyDescent="0.2">
      <c r="A111" t="s">
        <v>40</v>
      </c>
      <c r="B111">
        <f t="shared" ref="B111:H117" si="15">B76*B95</f>
        <v>394.50879999999995</v>
      </c>
      <c r="C111">
        <f t="shared" si="15"/>
        <v>181.9248</v>
      </c>
      <c r="D111">
        <f t="shared" si="15"/>
        <v>1051.0368000000001</v>
      </c>
      <c r="E111">
        <f t="shared" si="15"/>
        <v>993.73799999999994</v>
      </c>
      <c r="F111">
        <f t="shared" si="15"/>
        <v>128.11679999999998</v>
      </c>
      <c r="G111">
        <f t="shared" si="15"/>
        <v>1163.1551999999999</v>
      </c>
      <c r="H111">
        <f t="shared" si="15"/>
        <v>-302.99200000000002</v>
      </c>
      <c r="I111">
        <f t="shared" si="14"/>
        <v>3609.4883999999993</v>
      </c>
    </row>
    <row r="112" spans="1:9" x14ac:dyDescent="0.2">
      <c r="A112" t="s">
        <v>41</v>
      </c>
      <c r="B112">
        <f t="shared" si="15"/>
        <v>518.8288</v>
      </c>
      <c r="C112">
        <f t="shared" si="15"/>
        <v>345.00479999999999</v>
      </c>
      <c r="D112">
        <f t="shared" si="15"/>
        <v>1051.0368000000001</v>
      </c>
      <c r="E112">
        <f t="shared" si="15"/>
        <v>1036.4879999999998</v>
      </c>
      <c r="F112">
        <f t="shared" si="15"/>
        <v>52.166799999999995</v>
      </c>
      <c r="G112">
        <f t="shared" si="15"/>
        <v>1163.1551999999999</v>
      </c>
      <c r="H112">
        <f t="shared" si="15"/>
        <v>-302.99200000000002</v>
      </c>
      <c r="I112">
        <f t="shared" si="14"/>
        <v>3863.6884</v>
      </c>
    </row>
    <row r="113" spans="1:9" x14ac:dyDescent="0.2">
      <c r="A113" t="s">
        <v>42</v>
      </c>
      <c r="B113">
        <f t="shared" si="15"/>
        <v>673.65159999999992</v>
      </c>
      <c r="C113">
        <f t="shared" si="15"/>
        <v>432.94159999999994</v>
      </c>
      <c r="D113">
        <f t="shared" si="15"/>
        <v>1189.7423999999999</v>
      </c>
      <c r="E113">
        <f t="shared" si="15"/>
        <v>927.93600000000004</v>
      </c>
      <c r="F113">
        <f t="shared" si="15"/>
        <v>29.203199999999999</v>
      </c>
      <c r="G113">
        <f t="shared" si="15"/>
        <v>1047.1633999999999</v>
      </c>
      <c r="H113">
        <f t="shared" si="15"/>
        <v>-288.3648</v>
      </c>
      <c r="I113">
        <f t="shared" si="14"/>
        <v>4012.2733999999996</v>
      </c>
    </row>
    <row r="114" spans="1:9" x14ac:dyDescent="0.2">
      <c r="A114" t="s">
        <v>43</v>
      </c>
      <c r="B114">
        <f t="shared" si="15"/>
        <v>1019.3568</v>
      </c>
      <c r="C114">
        <f t="shared" si="15"/>
        <v>758.35760000000005</v>
      </c>
      <c r="D114">
        <f t="shared" si="15"/>
        <v>1813.6512000000002</v>
      </c>
      <c r="E114">
        <f t="shared" si="15"/>
        <v>1040.5295999999998</v>
      </c>
      <c r="F114">
        <f t="shared" si="15"/>
        <v>65.9208</v>
      </c>
      <c r="G114">
        <f t="shared" si="15"/>
        <v>986.19899999999996</v>
      </c>
      <c r="H114">
        <f t="shared" si="15"/>
        <v>-315.52960000000002</v>
      </c>
      <c r="I114">
        <f t="shared" si="14"/>
        <v>5368.4853999999996</v>
      </c>
    </row>
    <row r="115" spans="1:9" x14ac:dyDescent="0.2">
      <c r="A115" t="s">
        <v>44</v>
      </c>
      <c r="B115">
        <f t="shared" si="15"/>
        <v>1036.8288</v>
      </c>
      <c r="C115">
        <f t="shared" si="15"/>
        <v>653.04480000000001</v>
      </c>
      <c r="D115">
        <f t="shared" si="15"/>
        <v>1563.8568000000002</v>
      </c>
      <c r="E115">
        <f t="shared" si="15"/>
        <v>974.73799999999994</v>
      </c>
      <c r="F115">
        <f t="shared" si="15"/>
        <v>84.716799999999992</v>
      </c>
      <c r="G115">
        <f t="shared" si="15"/>
        <v>793.99320000000012</v>
      </c>
      <c r="H115">
        <f t="shared" si="15"/>
        <v>-302.99200000000002</v>
      </c>
      <c r="I115">
        <f t="shared" si="14"/>
        <v>4804.1864000000005</v>
      </c>
    </row>
    <row r="116" spans="1:9" x14ac:dyDescent="0.2">
      <c r="A116" t="s">
        <v>116</v>
      </c>
      <c r="B116">
        <f t="shared" si="15"/>
        <v>812.1816</v>
      </c>
      <c r="C116">
        <f t="shared" si="15"/>
        <v>450.23159999999996</v>
      </c>
      <c r="D116">
        <f t="shared" si="15"/>
        <v>1306.2923999999998</v>
      </c>
      <c r="E116">
        <f t="shared" si="15"/>
        <v>945.93600000000004</v>
      </c>
      <c r="F116">
        <f t="shared" si="15"/>
        <v>39.603200000000001</v>
      </c>
      <c r="G116">
        <f t="shared" si="15"/>
        <v>1047.1633999999999</v>
      </c>
      <c r="H116">
        <f t="shared" si="15"/>
        <v>-288.3648</v>
      </c>
      <c r="I116">
        <f t="shared" si="14"/>
        <v>4313.0433999999996</v>
      </c>
    </row>
    <row r="117" spans="1:9" x14ac:dyDescent="0.2">
      <c r="A117" t="s">
        <v>34</v>
      </c>
      <c r="B117">
        <f t="shared" si="15"/>
        <v>974.66879999999992</v>
      </c>
      <c r="C117">
        <f t="shared" si="15"/>
        <v>653.04480000000001</v>
      </c>
      <c r="D117">
        <f t="shared" si="15"/>
        <v>1612.6968000000002</v>
      </c>
      <c r="E117">
        <f t="shared" si="15"/>
        <v>969.98799999999994</v>
      </c>
      <c r="F117">
        <f t="shared" si="15"/>
        <v>63.016799999999996</v>
      </c>
      <c r="G117">
        <f t="shared" si="15"/>
        <v>1046.0416</v>
      </c>
      <c r="H117">
        <f t="shared" si="15"/>
        <v>-317.49200000000002</v>
      </c>
      <c r="I117">
        <f t="shared" si="14"/>
        <v>5001.9647999999997</v>
      </c>
    </row>
    <row r="118" spans="1:9" x14ac:dyDescent="0.2">
      <c r="A118" t="s">
        <v>88</v>
      </c>
      <c r="B118">
        <f t="shared" ref="B118:I118" si="16">SUM(B106:B117)</f>
        <v>5741.5848000000005</v>
      </c>
      <c r="C118">
        <f t="shared" si="16"/>
        <v>3004.7692000000002</v>
      </c>
      <c r="D118">
        <f t="shared" si="16"/>
        <v>15083.405199999999</v>
      </c>
      <c r="E118">
        <f t="shared" si="16"/>
        <v>11739.795599999998</v>
      </c>
      <c r="F118">
        <f t="shared" si="16"/>
        <v>566.02719999999988</v>
      </c>
      <c r="G118">
        <f t="shared" si="16"/>
        <v>11160.278900000001</v>
      </c>
      <c r="H118">
        <f t="shared" si="16"/>
        <v>-3656.6727999999998</v>
      </c>
      <c r="I118">
        <f t="shared" si="16"/>
        <v>43639.188099999999</v>
      </c>
    </row>
  </sheetData>
  <pageMargins left="0.7" right="0.7" top="0.75" bottom="0.75" header="0.3" footer="0.3"/>
  <pageSetup scale="84" fitToHeight="3" orientation="landscape" r:id="rId1"/>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G180"/>
  <sheetViews>
    <sheetView showGridLines="0" workbookViewId="0">
      <selection activeCell="J20" sqref="J20"/>
    </sheetView>
  </sheetViews>
  <sheetFormatPr defaultRowHeight="15" x14ac:dyDescent="0.2"/>
  <cols>
    <col min="1" max="1" width="12.33203125" style="65" customWidth="1"/>
    <col min="2" max="4" width="8.88671875" style="65"/>
    <col min="5" max="5" width="12.44140625" style="65" customWidth="1"/>
    <col min="6" max="256" width="8.88671875" style="65"/>
    <col min="257" max="257" width="12.33203125" style="65" customWidth="1"/>
    <col min="258" max="260" width="8.88671875" style="65"/>
    <col min="261" max="261" width="12.44140625" style="65" customWidth="1"/>
    <col min="262" max="512" width="8.88671875" style="65"/>
    <col min="513" max="513" width="12.33203125" style="65" customWidth="1"/>
    <col min="514" max="516" width="8.88671875" style="65"/>
    <col min="517" max="517" width="12.44140625" style="65" customWidth="1"/>
    <col min="518" max="768" width="8.88671875" style="65"/>
    <col min="769" max="769" width="12.33203125" style="65" customWidth="1"/>
    <col min="770" max="772" width="8.88671875" style="65"/>
    <col min="773" max="773" width="12.44140625" style="65" customWidth="1"/>
    <col min="774" max="1024" width="8.88671875" style="65"/>
    <col min="1025" max="1025" width="12.33203125" style="65" customWidth="1"/>
    <col min="1026" max="1028" width="8.88671875" style="65"/>
    <col min="1029" max="1029" width="12.44140625" style="65" customWidth="1"/>
    <col min="1030" max="1280" width="8.88671875" style="65"/>
    <col min="1281" max="1281" width="12.33203125" style="65" customWidth="1"/>
    <col min="1282" max="1284" width="8.88671875" style="65"/>
    <col min="1285" max="1285" width="12.44140625" style="65" customWidth="1"/>
    <col min="1286" max="1536" width="8.88671875" style="65"/>
    <col min="1537" max="1537" width="12.33203125" style="65" customWidth="1"/>
    <col min="1538" max="1540" width="8.88671875" style="65"/>
    <col min="1541" max="1541" width="12.44140625" style="65" customWidth="1"/>
    <col min="1542" max="1792" width="8.88671875" style="65"/>
    <col min="1793" max="1793" width="12.33203125" style="65" customWidth="1"/>
    <col min="1794" max="1796" width="8.88671875" style="65"/>
    <col min="1797" max="1797" width="12.44140625" style="65" customWidth="1"/>
    <col min="1798" max="2048" width="8.88671875" style="65"/>
    <col min="2049" max="2049" width="12.33203125" style="65" customWidth="1"/>
    <col min="2050" max="2052" width="8.88671875" style="65"/>
    <col min="2053" max="2053" width="12.44140625" style="65" customWidth="1"/>
    <col min="2054" max="2304" width="8.88671875" style="65"/>
    <col min="2305" max="2305" width="12.33203125" style="65" customWidth="1"/>
    <col min="2306" max="2308" width="8.88671875" style="65"/>
    <col min="2309" max="2309" width="12.44140625" style="65" customWidth="1"/>
    <col min="2310" max="2560" width="8.88671875" style="65"/>
    <col min="2561" max="2561" width="12.33203125" style="65" customWidth="1"/>
    <col min="2562" max="2564" width="8.88671875" style="65"/>
    <col min="2565" max="2565" width="12.44140625" style="65" customWidth="1"/>
    <col min="2566" max="2816" width="8.88671875" style="65"/>
    <col min="2817" max="2817" width="12.33203125" style="65" customWidth="1"/>
    <col min="2818" max="2820" width="8.88671875" style="65"/>
    <col min="2821" max="2821" width="12.44140625" style="65" customWidth="1"/>
    <col min="2822" max="3072" width="8.88671875" style="65"/>
    <col min="3073" max="3073" width="12.33203125" style="65" customWidth="1"/>
    <col min="3074" max="3076" width="8.88671875" style="65"/>
    <col min="3077" max="3077" width="12.44140625" style="65" customWidth="1"/>
    <col min="3078" max="3328" width="8.88671875" style="65"/>
    <col min="3329" max="3329" width="12.33203125" style="65" customWidth="1"/>
    <col min="3330" max="3332" width="8.88671875" style="65"/>
    <col min="3333" max="3333" width="12.44140625" style="65" customWidth="1"/>
    <col min="3334" max="3584" width="8.88671875" style="65"/>
    <col min="3585" max="3585" width="12.33203125" style="65" customWidth="1"/>
    <col min="3586" max="3588" width="8.88671875" style="65"/>
    <col min="3589" max="3589" width="12.44140625" style="65" customWidth="1"/>
    <col min="3590" max="3840" width="8.88671875" style="65"/>
    <col min="3841" max="3841" width="12.33203125" style="65" customWidth="1"/>
    <col min="3842" max="3844" width="8.88671875" style="65"/>
    <col min="3845" max="3845" width="12.44140625" style="65" customWidth="1"/>
    <col min="3846" max="4096" width="8.88671875" style="65"/>
    <col min="4097" max="4097" width="12.33203125" style="65" customWidth="1"/>
    <col min="4098" max="4100" width="8.88671875" style="65"/>
    <col min="4101" max="4101" width="12.44140625" style="65" customWidth="1"/>
    <col min="4102" max="4352" width="8.88671875" style="65"/>
    <col min="4353" max="4353" width="12.33203125" style="65" customWidth="1"/>
    <col min="4354" max="4356" width="8.88671875" style="65"/>
    <col min="4357" max="4357" width="12.44140625" style="65" customWidth="1"/>
    <col min="4358" max="4608" width="8.88671875" style="65"/>
    <col min="4609" max="4609" width="12.33203125" style="65" customWidth="1"/>
    <col min="4610" max="4612" width="8.88671875" style="65"/>
    <col min="4613" max="4613" width="12.44140625" style="65" customWidth="1"/>
    <col min="4614" max="4864" width="8.88671875" style="65"/>
    <col min="4865" max="4865" width="12.33203125" style="65" customWidth="1"/>
    <col min="4866" max="4868" width="8.88671875" style="65"/>
    <col min="4869" max="4869" width="12.44140625" style="65" customWidth="1"/>
    <col min="4870" max="5120" width="8.88671875" style="65"/>
    <col min="5121" max="5121" width="12.33203125" style="65" customWidth="1"/>
    <col min="5122" max="5124" width="8.88671875" style="65"/>
    <col min="5125" max="5125" width="12.44140625" style="65" customWidth="1"/>
    <col min="5126" max="5376" width="8.88671875" style="65"/>
    <col min="5377" max="5377" width="12.33203125" style="65" customWidth="1"/>
    <col min="5378" max="5380" width="8.88671875" style="65"/>
    <col min="5381" max="5381" width="12.44140625" style="65" customWidth="1"/>
    <col min="5382" max="5632" width="8.88671875" style="65"/>
    <col min="5633" max="5633" width="12.33203125" style="65" customWidth="1"/>
    <col min="5634" max="5636" width="8.88671875" style="65"/>
    <col min="5637" max="5637" width="12.44140625" style="65" customWidth="1"/>
    <col min="5638" max="5888" width="8.88671875" style="65"/>
    <col min="5889" max="5889" width="12.33203125" style="65" customWidth="1"/>
    <col min="5890" max="5892" width="8.88671875" style="65"/>
    <col min="5893" max="5893" width="12.44140625" style="65" customWidth="1"/>
    <col min="5894" max="6144" width="8.88671875" style="65"/>
    <col min="6145" max="6145" width="12.33203125" style="65" customWidth="1"/>
    <col min="6146" max="6148" width="8.88671875" style="65"/>
    <col min="6149" max="6149" width="12.44140625" style="65" customWidth="1"/>
    <col min="6150" max="6400" width="8.88671875" style="65"/>
    <col min="6401" max="6401" width="12.33203125" style="65" customWidth="1"/>
    <col min="6402" max="6404" width="8.88671875" style="65"/>
    <col min="6405" max="6405" width="12.44140625" style="65" customWidth="1"/>
    <col min="6406" max="6656" width="8.88671875" style="65"/>
    <col min="6657" max="6657" width="12.33203125" style="65" customWidth="1"/>
    <col min="6658" max="6660" width="8.88671875" style="65"/>
    <col min="6661" max="6661" width="12.44140625" style="65" customWidth="1"/>
    <col min="6662" max="6912" width="8.88671875" style="65"/>
    <col min="6913" max="6913" width="12.33203125" style="65" customWidth="1"/>
    <col min="6914" max="6916" width="8.88671875" style="65"/>
    <col min="6917" max="6917" width="12.44140625" style="65" customWidth="1"/>
    <col min="6918" max="7168" width="8.88671875" style="65"/>
    <col min="7169" max="7169" width="12.33203125" style="65" customWidth="1"/>
    <col min="7170" max="7172" width="8.88671875" style="65"/>
    <col min="7173" max="7173" width="12.44140625" style="65" customWidth="1"/>
    <col min="7174" max="7424" width="8.88671875" style="65"/>
    <col min="7425" max="7425" width="12.33203125" style="65" customWidth="1"/>
    <col min="7426" max="7428" width="8.88671875" style="65"/>
    <col min="7429" max="7429" width="12.44140625" style="65" customWidth="1"/>
    <col min="7430" max="7680" width="8.88671875" style="65"/>
    <col min="7681" max="7681" width="12.33203125" style="65" customWidth="1"/>
    <col min="7682" max="7684" width="8.88671875" style="65"/>
    <col min="7685" max="7685" width="12.44140625" style="65" customWidth="1"/>
    <col min="7686" max="7936" width="8.88671875" style="65"/>
    <col min="7937" max="7937" width="12.33203125" style="65" customWidth="1"/>
    <col min="7938" max="7940" width="8.88671875" style="65"/>
    <col min="7941" max="7941" width="12.44140625" style="65" customWidth="1"/>
    <col min="7942" max="8192" width="8.88671875" style="65"/>
    <col min="8193" max="8193" width="12.33203125" style="65" customWidth="1"/>
    <col min="8194" max="8196" width="8.88671875" style="65"/>
    <col min="8197" max="8197" width="12.44140625" style="65" customWidth="1"/>
    <col min="8198" max="8448" width="8.88671875" style="65"/>
    <col min="8449" max="8449" width="12.33203125" style="65" customWidth="1"/>
    <col min="8450" max="8452" width="8.88671875" style="65"/>
    <col min="8453" max="8453" width="12.44140625" style="65" customWidth="1"/>
    <col min="8454" max="8704" width="8.88671875" style="65"/>
    <col min="8705" max="8705" width="12.33203125" style="65" customWidth="1"/>
    <col min="8706" max="8708" width="8.88671875" style="65"/>
    <col min="8709" max="8709" width="12.44140625" style="65" customWidth="1"/>
    <col min="8710" max="8960" width="8.88671875" style="65"/>
    <col min="8961" max="8961" width="12.33203125" style="65" customWidth="1"/>
    <col min="8962" max="8964" width="8.88671875" style="65"/>
    <col min="8965" max="8965" width="12.44140625" style="65" customWidth="1"/>
    <col min="8966" max="9216" width="8.88671875" style="65"/>
    <col min="9217" max="9217" width="12.33203125" style="65" customWidth="1"/>
    <col min="9218" max="9220" width="8.88671875" style="65"/>
    <col min="9221" max="9221" width="12.44140625" style="65" customWidth="1"/>
    <col min="9222" max="9472" width="8.88671875" style="65"/>
    <col min="9473" max="9473" width="12.33203125" style="65" customWidth="1"/>
    <col min="9474" max="9476" width="8.88671875" style="65"/>
    <col min="9477" max="9477" width="12.44140625" style="65" customWidth="1"/>
    <col min="9478" max="9728" width="8.88671875" style="65"/>
    <col min="9729" max="9729" width="12.33203125" style="65" customWidth="1"/>
    <col min="9730" max="9732" width="8.88671875" style="65"/>
    <col min="9733" max="9733" width="12.44140625" style="65" customWidth="1"/>
    <col min="9734" max="9984" width="8.88671875" style="65"/>
    <col min="9985" max="9985" width="12.33203125" style="65" customWidth="1"/>
    <col min="9986" max="9988" width="8.88671875" style="65"/>
    <col min="9989" max="9989" width="12.44140625" style="65" customWidth="1"/>
    <col min="9990" max="10240" width="8.88671875" style="65"/>
    <col min="10241" max="10241" width="12.33203125" style="65" customWidth="1"/>
    <col min="10242" max="10244" width="8.88671875" style="65"/>
    <col min="10245" max="10245" width="12.44140625" style="65" customWidth="1"/>
    <col min="10246" max="10496" width="8.88671875" style="65"/>
    <col min="10497" max="10497" width="12.33203125" style="65" customWidth="1"/>
    <col min="10498" max="10500" width="8.88671875" style="65"/>
    <col min="10501" max="10501" width="12.44140625" style="65" customWidth="1"/>
    <col min="10502" max="10752" width="8.88671875" style="65"/>
    <col min="10753" max="10753" width="12.33203125" style="65" customWidth="1"/>
    <col min="10754" max="10756" width="8.88671875" style="65"/>
    <col min="10757" max="10757" width="12.44140625" style="65" customWidth="1"/>
    <col min="10758" max="11008" width="8.88671875" style="65"/>
    <col min="11009" max="11009" width="12.33203125" style="65" customWidth="1"/>
    <col min="11010" max="11012" width="8.88671875" style="65"/>
    <col min="11013" max="11013" width="12.44140625" style="65" customWidth="1"/>
    <col min="11014" max="11264" width="8.88671875" style="65"/>
    <col min="11265" max="11265" width="12.33203125" style="65" customWidth="1"/>
    <col min="11266" max="11268" width="8.88671875" style="65"/>
    <col min="11269" max="11269" width="12.44140625" style="65" customWidth="1"/>
    <col min="11270" max="11520" width="8.88671875" style="65"/>
    <col min="11521" max="11521" width="12.33203125" style="65" customWidth="1"/>
    <col min="11522" max="11524" width="8.88671875" style="65"/>
    <col min="11525" max="11525" width="12.44140625" style="65" customWidth="1"/>
    <col min="11526" max="11776" width="8.88671875" style="65"/>
    <col min="11777" max="11777" width="12.33203125" style="65" customWidth="1"/>
    <col min="11778" max="11780" width="8.88671875" style="65"/>
    <col min="11781" max="11781" width="12.44140625" style="65" customWidth="1"/>
    <col min="11782" max="12032" width="8.88671875" style="65"/>
    <col min="12033" max="12033" width="12.33203125" style="65" customWidth="1"/>
    <col min="12034" max="12036" width="8.88671875" style="65"/>
    <col min="12037" max="12037" width="12.44140625" style="65" customWidth="1"/>
    <col min="12038" max="12288" width="8.88671875" style="65"/>
    <col min="12289" max="12289" width="12.33203125" style="65" customWidth="1"/>
    <col min="12290" max="12292" width="8.88671875" style="65"/>
    <col min="12293" max="12293" width="12.44140625" style="65" customWidth="1"/>
    <col min="12294" max="12544" width="8.88671875" style="65"/>
    <col min="12545" max="12545" width="12.33203125" style="65" customWidth="1"/>
    <col min="12546" max="12548" width="8.88671875" style="65"/>
    <col min="12549" max="12549" width="12.44140625" style="65" customWidth="1"/>
    <col min="12550" max="12800" width="8.88671875" style="65"/>
    <col min="12801" max="12801" width="12.33203125" style="65" customWidth="1"/>
    <col min="12802" max="12804" width="8.88671875" style="65"/>
    <col min="12805" max="12805" width="12.44140625" style="65" customWidth="1"/>
    <col min="12806" max="13056" width="8.88671875" style="65"/>
    <col min="13057" max="13057" width="12.33203125" style="65" customWidth="1"/>
    <col min="13058" max="13060" width="8.88671875" style="65"/>
    <col min="13061" max="13061" width="12.44140625" style="65" customWidth="1"/>
    <col min="13062" max="13312" width="8.88671875" style="65"/>
    <col min="13313" max="13313" width="12.33203125" style="65" customWidth="1"/>
    <col min="13314" max="13316" width="8.88671875" style="65"/>
    <col min="13317" max="13317" width="12.44140625" style="65" customWidth="1"/>
    <col min="13318" max="13568" width="8.88671875" style="65"/>
    <col min="13569" max="13569" width="12.33203125" style="65" customWidth="1"/>
    <col min="13570" max="13572" width="8.88671875" style="65"/>
    <col min="13573" max="13573" width="12.44140625" style="65" customWidth="1"/>
    <col min="13574" max="13824" width="8.88671875" style="65"/>
    <col min="13825" max="13825" width="12.33203125" style="65" customWidth="1"/>
    <col min="13826" max="13828" width="8.88671875" style="65"/>
    <col min="13829" max="13829" width="12.44140625" style="65" customWidth="1"/>
    <col min="13830" max="14080" width="8.88671875" style="65"/>
    <col min="14081" max="14081" width="12.33203125" style="65" customWidth="1"/>
    <col min="14082" max="14084" width="8.88671875" style="65"/>
    <col min="14085" max="14085" width="12.44140625" style="65" customWidth="1"/>
    <col min="14086" max="14336" width="8.88671875" style="65"/>
    <col min="14337" max="14337" width="12.33203125" style="65" customWidth="1"/>
    <col min="14338" max="14340" width="8.88671875" style="65"/>
    <col min="14341" max="14341" width="12.44140625" style="65" customWidth="1"/>
    <col min="14342" max="14592" width="8.88671875" style="65"/>
    <col min="14593" max="14593" width="12.33203125" style="65" customWidth="1"/>
    <col min="14594" max="14596" width="8.88671875" style="65"/>
    <col min="14597" max="14597" width="12.44140625" style="65" customWidth="1"/>
    <col min="14598" max="14848" width="8.88671875" style="65"/>
    <col min="14849" max="14849" width="12.33203125" style="65" customWidth="1"/>
    <col min="14850" max="14852" width="8.88671875" style="65"/>
    <col min="14853" max="14853" width="12.44140625" style="65" customWidth="1"/>
    <col min="14854" max="15104" width="8.88671875" style="65"/>
    <col min="15105" max="15105" width="12.33203125" style="65" customWidth="1"/>
    <col min="15106" max="15108" width="8.88671875" style="65"/>
    <col min="15109" max="15109" width="12.44140625" style="65" customWidth="1"/>
    <col min="15110" max="15360" width="8.88671875" style="65"/>
    <col min="15361" max="15361" width="12.33203125" style="65" customWidth="1"/>
    <col min="15362" max="15364" width="8.88671875" style="65"/>
    <col min="15365" max="15365" width="12.44140625" style="65" customWidth="1"/>
    <col min="15366" max="15616" width="8.88671875" style="65"/>
    <col min="15617" max="15617" width="12.33203125" style="65" customWidth="1"/>
    <col min="15618" max="15620" width="8.88671875" style="65"/>
    <col min="15621" max="15621" width="12.44140625" style="65" customWidth="1"/>
    <col min="15622" max="15872" width="8.88671875" style="65"/>
    <col min="15873" max="15873" width="12.33203125" style="65" customWidth="1"/>
    <col min="15874" max="15876" width="8.88671875" style="65"/>
    <col min="15877" max="15877" width="12.44140625" style="65" customWidth="1"/>
    <col min="15878" max="16128" width="8.88671875" style="65"/>
    <col min="16129" max="16129" width="12.33203125" style="65" customWidth="1"/>
    <col min="16130" max="16132" width="8.88671875" style="65"/>
    <col min="16133" max="16133" width="12.44140625" style="65" customWidth="1"/>
    <col min="16134" max="16384" width="8.88671875" style="65"/>
  </cols>
  <sheetData>
    <row r="1" spans="1:13" x14ac:dyDescent="0.2">
      <c r="A1" s="118"/>
      <c r="B1" s="118"/>
      <c r="C1" s="118"/>
      <c r="D1" s="177"/>
      <c r="E1" s="174" t="s">
        <v>536</v>
      </c>
      <c r="F1" s="177"/>
      <c r="G1" s="118"/>
      <c r="H1" s="118"/>
      <c r="I1" s="118"/>
      <c r="J1" s="118"/>
      <c r="K1" s="118"/>
      <c r="L1" s="118"/>
      <c r="M1" s="55"/>
    </row>
    <row r="2" spans="1:13" x14ac:dyDescent="0.2">
      <c r="A2" s="117"/>
      <c r="B2" s="117"/>
      <c r="C2" s="117"/>
      <c r="D2" s="177"/>
      <c r="E2" s="174" t="s">
        <v>537</v>
      </c>
      <c r="F2" s="177"/>
      <c r="G2" s="117"/>
      <c r="H2" s="117"/>
      <c r="I2" s="117"/>
      <c r="J2" s="117"/>
      <c r="K2" s="117"/>
      <c r="L2" s="117"/>
      <c r="M2" s="55"/>
    </row>
    <row r="3" spans="1:13" x14ac:dyDescent="0.2">
      <c r="A3" s="117"/>
      <c r="B3" s="117"/>
      <c r="C3" s="117"/>
      <c r="D3" s="177"/>
      <c r="E3" s="174" t="s">
        <v>0</v>
      </c>
      <c r="F3" s="177"/>
      <c r="G3" s="117"/>
      <c r="H3" s="117"/>
      <c r="I3" s="117"/>
      <c r="J3" s="117"/>
      <c r="K3" s="117"/>
      <c r="L3" s="117"/>
      <c r="M3" s="55"/>
    </row>
    <row r="4" spans="1:13" x14ac:dyDescent="0.2">
      <c r="A4" s="117"/>
      <c r="B4" s="117"/>
      <c r="C4" s="117"/>
      <c r="D4" s="116"/>
      <c r="E4" s="115" t="s">
        <v>2</v>
      </c>
      <c r="F4" s="117"/>
      <c r="G4" s="117"/>
      <c r="H4" s="117"/>
      <c r="I4" s="117"/>
      <c r="J4" s="117"/>
      <c r="K4" s="117"/>
      <c r="L4" s="117"/>
      <c r="M4" s="55"/>
    </row>
    <row r="5" spans="1:13" x14ac:dyDescent="0.2">
      <c r="A5" s="117"/>
      <c r="B5" s="117"/>
      <c r="C5" s="117"/>
      <c r="D5" s="116"/>
      <c r="E5" s="115" t="s">
        <v>554</v>
      </c>
      <c r="F5" s="117"/>
      <c r="G5" s="117"/>
      <c r="H5" s="117"/>
      <c r="I5" s="117"/>
      <c r="J5" s="117"/>
      <c r="K5" s="117"/>
      <c r="L5" s="117"/>
      <c r="M5" s="55"/>
    </row>
    <row r="6" spans="1:13" x14ac:dyDescent="0.2">
      <c r="A6" s="117"/>
      <c r="B6" s="117"/>
      <c r="C6" s="117"/>
      <c r="D6" s="117"/>
      <c r="E6" s="117"/>
      <c r="F6" s="117"/>
      <c r="G6" s="117"/>
      <c r="H6" s="117"/>
      <c r="I6" s="117"/>
      <c r="J6" s="117"/>
      <c r="K6" s="117"/>
      <c r="L6" s="117"/>
      <c r="M6" s="55"/>
    </row>
    <row r="7" spans="1:13" x14ac:dyDescent="0.2">
      <c r="A7" s="114" t="s">
        <v>81</v>
      </c>
      <c r="C7" s="113"/>
      <c r="D7" s="113"/>
      <c r="E7" s="117"/>
      <c r="F7" s="117"/>
      <c r="G7" s="117"/>
      <c r="H7" s="117"/>
      <c r="I7" s="117"/>
      <c r="J7" s="117"/>
      <c r="K7" s="117"/>
      <c r="L7" s="117"/>
      <c r="M7" s="55"/>
    </row>
    <row r="8" spans="1:13" x14ac:dyDescent="0.2">
      <c r="A8" s="117"/>
      <c r="B8" s="117"/>
      <c r="C8" s="117"/>
      <c r="D8" s="117"/>
      <c r="E8" s="117"/>
      <c r="F8" s="117"/>
      <c r="G8" s="117" t="s">
        <v>6</v>
      </c>
      <c r="H8" s="117"/>
      <c r="I8" s="117"/>
      <c r="J8" s="115" t="s">
        <v>330</v>
      </c>
      <c r="K8" s="116" t="s">
        <v>6</v>
      </c>
      <c r="L8" s="117"/>
      <c r="M8" s="55"/>
    </row>
    <row r="9" spans="1:13" x14ac:dyDescent="0.2">
      <c r="A9" s="112"/>
      <c r="B9" s="111" t="s">
        <v>14</v>
      </c>
      <c r="C9" s="111" t="s">
        <v>15</v>
      </c>
      <c r="D9" s="111" t="s">
        <v>16</v>
      </c>
      <c r="E9" s="111" t="s">
        <v>18</v>
      </c>
      <c r="F9" s="111" t="s">
        <v>19</v>
      </c>
      <c r="G9" s="111" t="s">
        <v>20</v>
      </c>
      <c r="H9" s="111" t="s">
        <v>21</v>
      </c>
      <c r="I9" s="111" t="s">
        <v>527</v>
      </c>
      <c r="J9" s="111" t="s">
        <v>528</v>
      </c>
      <c r="K9" s="111" t="s">
        <v>333</v>
      </c>
      <c r="L9" s="111" t="s">
        <v>84</v>
      </c>
      <c r="M9" s="54"/>
    </row>
    <row r="10" spans="1:13" x14ac:dyDescent="0.2">
      <c r="A10" s="110" t="s">
        <v>9</v>
      </c>
      <c r="B10" s="116"/>
      <c r="C10" s="116"/>
      <c r="D10" s="116"/>
      <c r="E10" s="116"/>
      <c r="F10" s="116"/>
      <c r="G10" s="116"/>
      <c r="H10" s="116"/>
      <c r="I10" s="116"/>
      <c r="J10" s="116"/>
      <c r="K10" s="116"/>
      <c r="L10" s="116"/>
      <c r="M10" s="55"/>
    </row>
    <row r="11" spans="1:13" x14ac:dyDescent="0.2">
      <c r="A11" s="106" t="s">
        <v>565</v>
      </c>
      <c r="B11" s="109">
        <f>+('[1]Murrey''s 2016'!$M$5+'[1]American 2016'!$M$5)/2000</f>
        <v>344.18</v>
      </c>
      <c r="C11" s="108">
        <f>+('[1]Murrey''s 2016'!$M$6+'[1]American 2016'!$M$6)/2000</f>
        <v>300.85000000000002</v>
      </c>
      <c r="D11" s="108">
        <f>+('[1]Murrey''s 2016'!$M$7+'[1]American 2016'!$M$7)/2000</f>
        <v>405.55</v>
      </c>
      <c r="E11" s="108">
        <f>+('[1]Murrey''s 2016'!$M$8+'[1]American 2016'!$M$8)/2000</f>
        <v>15.65</v>
      </c>
      <c r="F11" s="109">
        <f>+('[1]Murrey''s 2016'!$M$9+'[1]American 2016'!$M$9)/2000</f>
        <v>36.11</v>
      </c>
      <c r="G11" s="109">
        <f>+('[1]Murrey''s 2016'!$M$10+'[1]American 2016'!$M$10)/2000</f>
        <v>43.32</v>
      </c>
      <c r="H11" s="109">
        <f>+('[1]Murrey''s 2016'!$M$11+'[1]American 2016'!$M$11)/2000</f>
        <v>10.83</v>
      </c>
      <c r="I11" s="109">
        <f>+('[1]Murrey''s 2016'!$M$12+'[1]American 2016'!$M$12)/2000</f>
        <v>16.84</v>
      </c>
      <c r="J11" s="109">
        <f>+('[1]Murrey''s 2016'!$M$13+'[1]American 2016'!$M$13)/2000</f>
        <v>6.02</v>
      </c>
      <c r="K11" s="109">
        <f>+('[1]Murrey''s 2016'!$M$16+'[1]American 2016'!$M$16)/2000</f>
        <v>24.06</v>
      </c>
      <c r="L11" s="107">
        <f t="shared" ref="L11:L22" si="0">SUM(B11:K11)</f>
        <v>1203.4099999999996</v>
      </c>
      <c r="M11" s="53"/>
    </row>
    <row r="12" spans="1:13" x14ac:dyDescent="0.2">
      <c r="A12" s="106" t="s">
        <v>553</v>
      </c>
      <c r="B12" s="52">
        <f>+[2]DATA!$B$23</f>
        <v>358.45515691525458</v>
      </c>
      <c r="C12" s="52">
        <f>+[2]DATA!$B$24</f>
        <v>313.33492737347433</v>
      </c>
      <c r="D12" s="52">
        <f>+[2]DATA!$B$25</f>
        <v>422.37548209944345</v>
      </c>
      <c r="E12" s="52">
        <v>16.21</v>
      </c>
      <c r="F12" s="52">
        <f>+[2]DATA!$B$27</f>
        <v>37.600191284816916</v>
      </c>
      <c r="G12" s="52">
        <f>+[2]DATA!$B$28</f>
        <v>45.120229541780297</v>
      </c>
      <c r="H12" s="52">
        <f>+[2]DATA!$B$29</f>
        <v>11.280057385445074</v>
      </c>
      <c r="I12" s="52">
        <f>+[2]DATA!$B$30</f>
        <v>17.546755932914564</v>
      </c>
      <c r="J12" s="52">
        <f>+[2]DATA!$B$31</f>
        <v>6.2666985474694865</v>
      </c>
      <c r="K12" s="52">
        <f>+[2]DATA!$B$32</f>
        <v>25.066794189877946</v>
      </c>
      <c r="L12" s="51">
        <f t="shared" si="0"/>
        <v>1253.2562932704766</v>
      </c>
      <c r="M12" s="53"/>
    </row>
    <row r="13" spans="1:13" x14ac:dyDescent="0.2">
      <c r="A13" s="117" t="s">
        <v>37</v>
      </c>
      <c r="B13" s="52">
        <f>+[2]DATA!$C$23</f>
        <v>273.02425370969542</v>
      </c>
      <c r="C13" s="52">
        <f>+[2]DATA!$C$24</f>
        <v>238.65756443155195</v>
      </c>
      <c r="D13" s="50">
        <f>+[2]DATA!$C$25</f>
        <v>321.71039685373205</v>
      </c>
      <c r="E13" s="49">
        <f>+[2]DATA!$C$26</f>
        <v>12.4101933504407</v>
      </c>
      <c r="F13" s="52">
        <f>+[2]DATA!$C$27</f>
        <v>28.638907731786233</v>
      </c>
      <c r="G13" s="52">
        <f>+[2]DATA!$C$28</f>
        <v>34.366689278143475</v>
      </c>
      <c r="H13" s="52">
        <f>+[2]DATA!$C$29</f>
        <v>8.5916723195358689</v>
      </c>
      <c r="I13" s="52">
        <f>+[2]DATA!$C$30</f>
        <v>13.36482360816691</v>
      </c>
      <c r="J13" s="52">
        <f>+[2]DATA!$C$31</f>
        <v>4.7731512886310394</v>
      </c>
      <c r="K13" s="52">
        <f>+[2]DATA!$C$32</f>
        <v>19.092605154524158</v>
      </c>
      <c r="L13" s="51">
        <f t="shared" si="0"/>
        <v>954.6302577262079</v>
      </c>
      <c r="M13" s="53"/>
    </row>
    <row r="14" spans="1:13" x14ac:dyDescent="0.2">
      <c r="A14" s="104" t="s">
        <v>329</v>
      </c>
      <c r="B14" s="52">
        <f>+[2]DATA!$D$23</f>
        <v>337.47930866493112</v>
      </c>
      <c r="C14" s="50">
        <f>+[2]DATA!$D$24</f>
        <v>294.99939568612865</v>
      </c>
      <c r="D14" s="52">
        <f>+[2]DATA!$D$25</f>
        <v>397.65918538490143</v>
      </c>
      <c r="E14" s="52">
        <f>+[2]DATA!$D$26</f>
        <v>15.339968575678689</v>
      </c>
      <c r="F14" s="52">
        <f>+[2]DATA!$D$27</f>
        <v>35.399927482335436</v>
      </c>
      <c r="G14" s="52">
        <f>+[2]DATA!$D$28</f>
        <v>42.479912978802524</v>
      </c>
      <c r="H14" s="52">
        <f>+[2]DATA!$D$29</f>
        <v>10.619978244700631</v>
      </c>
      <c r="I14" s="52">
        <f>+[2]DATA!$D$30</f>
        <v>16.519966158423205</v>
      </c>
      <c r="J14" s="52">
        <f>+[2]DATA!$D$31</f>
        <v>5.8999879137225735</v>
      </c>
      <c r="K14" s="52">
        <f>+[2]DATA!$D$32</f>
        <v>23.599951654890294</v>
      </c>
      <c r="L14" s="51">
        <f t="shared" si="0"/>
        <v>1179.9975827445146</v>
      </c>
      <c r="M14" s="53"/>
    </row>
    <row r="15" spans="1:13" x14ac:dyDescent="0.2">
      <c r="A15" s="117" t="s">
        <v>95</v>
      </c>
      <c r="B15" s="50">
        <f>+[2]DATA!$E$23</f>
        <v>264.14415987911542</v>
      </c>
      <c r="C15" s="52">
        <f>+[2]DATA!$E$24</f>
        <v>230.89524464957645</v>
      </c>
      <c r="D15" s="52">
        <f>+[2]DATA!$E$25</f>
        <v>311.2467897876291</v>
      </c>
      <c r="E15" s="52">
        <f>+[2]DATA!$E$26</f>
        <v>12.006552721777975</v>
      </c>
      <c r="F15" s="52">
        <f>+[2]DATA!$E$27</f>
        <v>27.707429357949174</v>
      </c>
      <c r="G15" s="52">
        <f>+[2]DATA!$E$28</f>
        <v>33.248915229539008</v>
      </c>
      <c r="H15" s="52">
        <f>+[2]DATA!$E$29</f>
        <v>8.3122288073847521</v>
      </c>
      <c r="I15" s="52">
        <f>+[2]DATA!$E$30</f>
        <v>12.930133700376281</v>
      </c>
      <c r="J15" s="52">
        <f>+[2]DATA!$E$31</f>
        <v>4.617904892991529</v>
      </c>
      <c r="K15" s="52">
        <f>+[2]DATA!$E$32</f>
        <v>18.471619571966116</v>
      </c>
      <c r="L15" s="51">
        <f t="shared" si="0"/>
        <v>923.58097859830571</v>
      </c>
      <c r="M15" s="53"/>
    </row>
    <row r="16" spans="1:13" x14ac:dyDescent="0.2">
      <c r="A16" s="117" t="s">
        <v>40</v>
      </c>
      <c r="B16" s="49">
        <f>+[2]DATA!$F$23</f>
        <v>324.93038201530618</v>
      </c>
      <c r="C16" s="49">
        <f>+[2]DATA!$F$24</f>
        <v>284.03005420918373</v>
      </c>
      <c r="D16" s="49">
        <f>+[2]DATA!$F$25</f>
        <v>382.87251307397969</v>
      </c>
      <c r="E16" s="49">
        <f>+[2]DATA!$F$26</f>
        <v>14.769562818877553</v>
      </c>
      <c r="F16" s="49">
        <f>+[2]DATA!$F$27</f>
        <v>34.083606505102047</v>
      </c>
      <c r="G16" s="49">
        <f>+[2]DATA!$F$28</f>
        <v>40.900327806122455</v>
      </c>
      <c r="H16" s="49">
        <f>+[2]DATA!$F$29</f>
        <v>10.225081951530614</v>
      </c>
      <c r="I16" s="49">
        <f>+[2]DATA!$F$30</f>
        <v>15.90568303571429</v>
      </c>
      <c r="J16" s="52">
        <f>+[2]DATA!$F$31</f>
        <v>5.6806010841836745</v>
      </c>
      <c r="K16" s="49">
        <f>+[2]DATA!$F$32</f>
        <v>22.722404336734698</v>
      </c>
      <c r="L16" s="51">
        <f t="shared" si="0"/>
        <v>1136.1202168367352</v>
      </c>
      <c r="M16" s="53"/>
    </row>
    <row r="17" spans="1:13" x14ac:dyDescent="0.2">
      <c r="A17" s="117" t="s">
        <v>41</v>
      </c>
      <c r="B17" s="52">
        <f>+[2]DATA!$G$23</f>
        <v>333.28495253759394</v>
      </c>
      <c r="C17" s="52">
        <f>+[2]DATA!$G$24</f>
        <v>291.3330004699248</v>
      </c>
      <c r="D17" s="52">
        <f>+[2]DATA!$G$25</f>
        <v>392.71688463345868</v>
      </c>
      <c r="E17" s="52">
        <f>+[2]DATA!$G$26</f>
        <v>15.149316024436089</v>
      </c>
      <c r="F17" s="52">
        <f>+[2]DATA!$G$27</f>
        <v>34.959960056390976</v>
      </c>
      <c r="G17" s="52">
        <f>+[2]DATA!$G$28</f>
        <v>41.951952067669168</v>
      </c>
      <c r="H17" s="52">
        <f>+[2]DATA!$G$29</f>
        <v>10.487988016917292</v>
      </c>
      <c r="I17" s="52">
        <f>+[2]DATA!$G$30</f>
        <v>16.31464802631579</v>
      </c>
      <c r="J17" s="49">
        <f>+[2]DATA!$G$31</f>
        <v>5.8266600093984957</v>
      </c>
      <c r="K17" s="52">
        <f>+[2]DATA!$G$32</f>
        <v>23.306640037593983</v>
      </c>
      <c r="L17" s="51">
        <f t="shared" si="0"/>
        <v>1165.3320018796994</v>
      </c>
      <c r="M17" s="53"/>
    </row>
    <row r="18" spans="1:13" x14ac:dyDescent="0.2">
      <c r="A18" s="117" t="s">
        <v>42</v>
      </c>
      <c r="B18" s="52">
        <f>+[2]DATA!$H$23</f>
        <v>324.70525228480335</v>
      </c>
      <c r="C18" s="52">
        <f>+[2]DATA!$H$24</f>
        <v>283.83326248671625</v>
      </c>
      <c r="D18" s="52">
        <f>+[2]DATA!$H$25</f>
        <v>382.60723783209352</v>
      </c>
      <c r="E18" s="52">
        <f>+[2]DATA!$H$26</f>
        <v>14.759329649309244</v>
      </c>
      <c r="F18" s="50">
        <f>+[2]DATA!$H$27</f>
        <v>34.05999149840595</v>
      </c>
      <c r="G18" s="50">
        <f>+[2]DATA!$H$28</f>
        <v>40.871989798087135</v>
      </c>
      <c r="H18" s="50">
        <f>+[2]DATA!$H$29</f>
        <v>10.217997449521784</v>
      </c>
      <c r="I18" s="50">
        <f>+[2]DATA!$H$30</f>
        <v>15.894662699256111</v>
      </c>
      <c r="J18" s="52">
        <f>+[2]DATA!$H$31</f>
        <v>5.6766652497343255</v>
      </c>
      <c r="K18" s="50">
        <f>+[2]DATA!$H$32</f>
        <v>22.706660998937302</v>
      </c>
      <c r="L18" s="51">
        <f t="shared" si="0"/>
        <v>1135.3330499468648</v>
      </c>
      <c r="M18" s="55"/>
    </row>
    <row r="19" spans="1:13" x14ac:dyDescent="0.2">
      <c r="A19" s="117" t="s">
        <v>43</v>
      </c>
      <c r="B19" s="50">
        <f>+[2]DATA!$I$23</f>
        <v>362.26828850495662</v>
      </c>
      <c r="C19" s="50">
        <f>+[2]DATA!$I$24</f>
        <v>316.66808435747959</v>
      </c>
      <c r="D19" s="50">
        <f>+[2]DATA!$I$25</f>
        <v>426.86857771388253</v>
      </c>
      <c r="E19" s="50">
        <f>+[2]DATA!$I$26</f>
        <v>16.466740386588938</v>
      </c>
      <c r="F19" s="50">
        <f>+[2]DATA!$I$27</f>
        <v>38.000170122897551</v>
      </c>
      <c r="G19" s="50">
        <f>+[2]DATA!$I$28</f>
        <v>45.600204147477058</v>
      </c>
      <c r="H19" s="50">
        <f>+[2]DATA!$I$29</f>
        <v>11.400051036869264</v>
      </c>
      <c r="I19" s="50">
        <f>+[2]DATA!$I$30</f>
        <v>17.733412724018859</v>
      </c>
      <c r="J19" s="50">
        <f>+[2]DATA!$I$31</f>
        <v>6.3333616871495915</v>
      </c>
      <c r="K19" s="50">
        <f>+[2]DATA!$I$32</f>
        <v>25.333446748598366</v>
      </c>
      <c r="L19" s="80">
        <f t="shared" si="0"/>
        <v>1266.6723374299183</v>
      </c>
      <c r="M19" s="55"/>
    </row>
    <row r="20" spans="1:13" x14ac:dyDescent="0.2">
      <c r="A20" s="117" t="s">
        <v>508</v>
      </c>
      <c r="B20" s="50">
        <f>+[2]DATA!$J$23</f>
        <v>330.32818154099459</v>
      </c>
      <c r="C20" s="50">
        <f>+[2]DATA!$J$24</f>
        <v>288.74841043793236</v>
      </c>
      <c r="D20" s="50">
        <f>+[2]DATA!$J$25</f>
        <v>389.23285727033283</v>
      </c>
      <c r="E20" s="50">
        <f>+[2]DATA!$J$26</f>
        <v>15.014917342772483</v>
      </c>
      <c r="F20" s="50">
        <f>+[2]DATA!$J$27</f>
        <v>34.649809252551883</v>
      </c>
      <c r="G20" s="50">
        <f>+[2]DATA!$J$28</f>
        <v>41.579771103062257</v>
      </c>
      <c r="H20" s="50">
        <f>+[2]DATA!$J$29</f>
        <v>10.394942775765564</v>
      </c>
      <c r="I20" s="50">
        <f>+[2]DATA!$J$30</f>
        <v>16.169910984524211</v>
      </c>
      <c r="J20" s="50">
        <f>+[2]DATA!$J$31</f>
        <v>5.7749682087586471</v>
      </c>
      <c r="K20" s="50">
        <f>+[2]DATA!$J$32</f>
        <v>23.099872835034589</v>
      </c>
      <c r="L20" s="80">
        <f t="shared" si="0"/>
        <v>1154.9936417517292</v>
      </c>
      <c r="M20" s="55"/>
    </row>
    <row r="21" spans="1:13" x14ac:dyDescent="0.2">
      <c r="A21" s="117" t="s">
        <v>116</v>
      </c>
      <c r="B21" s="50">
        <f>+[2]DATA!$K$23</f>
        <v>352.80650567930127</v>
      </c>
      <c r="C21" s="50">
        <f>+[2]DATA!$K$24</f>
        <v>308.39729517421443</v>
      </c>
      <c r="D21" s="50">
        <f>+[2]DATA!$K$25</f>
        <v>415.71955389484111</v>
      </c>
      <c r="E21" s="50">
        <f>+[2]DATA!$K$26</f>
        <v>16.03665934905915</v>
      </c>
      <c r="F21" s="50">
        <f>+[2]DATA!$K$27</f>
        <v>37.007675420905734</v>
      </c>
      <c r="G21" s="50">
        <f>+[2]DATA!$K$28</f>
        <v>44.409210505086875</v>
      </c>
      <c r="H21" s="50">
        <f>+[2]DATA!$K$29</f>
        <v>11.102302626271719</v>
      </c>
      <c r="I21" s="50">
        <f>+[2]DATA!$K$30</f>
        <v>17.27024852975601</v>
      </c>
      <c r="J21" s="50">
        <f>+[2]DATA!$K$31</f>
        <v>6.1679459034842887</v>
      </c>
      <c r="K21" s="50">
        <f>+[2]DATA!$K$32</f>
        <v>24.671783613937155</v>
      </c>
      <c r="L21" s="80">
        <f t="shared" si="0"/>
        <v>1233.5891806968575</v>
      </c>
      <c r="M21" s="79"/>
    </row>
    <row r="22" spans="1:13" x14ac:dyDescent="0.2">
      <c r="A22" s="118" t="s">
        <v>34</v>
      </c>
      <c r="B22" s="30">
        <f>+[2]DATA!$L$23</f>
        <v>328.58019880954663</v>
      </c>
      <c r="C22" s="30">
        <f>+[2]DATA!$L$24</f>
        <v>287.22045350484848</v>
      </c>
      <c r="D22" s="30">
        <f>+[2]DATA!$L$25</f>
        <v>387.17317132453576</v>
      </c>
      <c r="E22" s="30">
        <f>+[2]DATA!$L$26</f>
        <v>14.935463582252121</v>
      </c>
      <c r="F22" s="30">
        <f>+[2]DATA!$L$27</f>
        <v>34.466454420581819</v>
      </c>
      <c r="G22" s="30">
        <f>+[2]DATA!$L$28</f>
        <v>41.35974530469818</v>
      </c>
      <c r="H22" s="30">
        <f>+[2]DATA!$L$29</f>
        <v>10.339936326174545</v>
      </c>
      <c r="I22" s="30">
        <f>+[2]DATA!$L$30</f>
        <v>16.084345396271516</v>
      </c>
      <c r="J22" s="30">
        <f>+[2]DATA!$L$31</f>
        <v>5.7444090700969701</v>
      </c>
      <c r="K22" s="30">
        <f>+[2]DATA!$L$32</f>
        <v>22.97763628038788</v>
      </c>
      <c r="L22" s="78">
        <f t="shared" si="0"/>
        <v>1148.8818140193941</v>
      </c>
      <c r="M22" s="48" t="s">
        <v>22</v>
      </c>
    </row>
    <row r="23" spans="1:13" x14ac:dyDescent="0.2">
      <c r="A23" s="112" t="s">
        <v>22</v>
      </c>
      <c r="B23" s="103">
        <f t="shared" ref="B23:L23" si="1">SUM(B11:B22)</f>
        <v>3934.1866405414994</v>
      </c>
      <c r="C23" s="103">
        <f t="shared" si="1"/>
        <v>3438.967692781031</v>
      </c>
      <c r="D23" s="103">
        <f t="shared" si="1"/>
        <v>4635.7326498688299</v>
      </c>
      <c r="E23" s="103">
        <f t="shared" si="1"/>
        <v>178.74870380119296</v>
      </c>
      <c r="F23" s="103">
        <f t="shared" si="1"/>
        <v>412.68412313372374</v>
      </c>
      <c r="G23" s="103">
        <f t="shared" si="1"/>
        <v>495.2089477604685</v>
      </c>
      <c r="H23" s="103">
        <f t="shared" si="1"/>
        <v>123.80223694011713</v>
      </c>
      <c r="I23" s="103">
        <f t="shared" si="1"/>
        <v>192.57459079573775</v>
      </c>
      <c r="J23" s="103">
        <f t="shared" si="1"/>
        <v>68.782353855620627</v>
      </c>
      <c r="K23" s="103">
        <f t="shared" si="1"/>
        <v>275.10941542248247</v>
      </c>
      <c r="L23" s="103">
        <f t="shared" si="1"/>
        <v>13755.797354900704</v>
      </c>
      <c r="M23" s="47">
        <f>L23+O115</f>
        <v>13755.797354900704</v>
      </c>
    </row>
    <row r="24" spans="1:13" x14ac:dyDescent="0.2">
      <c r="A24" s="117"/>
      <c r="B24" s="108"/>
      <c r="C24" s="108"/>
      <c r="D24" s="108"/>
      <c r="E24" s="108"/>
      <c r="F24" s="108"/>
      <c r="G24" s="108"/>
      <c r="H24" s="108"/>
      <c r="I24" s="108"/>
      <c r="J24" s="108"/>
      <c r="K24" s="108"/>
      <c r="L24" s="116"/>
      <c r="M24" s="55"/>
    </row>
    <row r="25" spans="1:13" x14ac:dyDescent="0.2">
      <c r="A25" s="117" t="s">
        <v>117</v>
      </c>
      <c r="B25" s="102">
        <f t="shared" ref="B25:K25" si="2">B23/$L$23</f>
        <v>0.28600207890819851</v>
      </c>
      <c r="C25" s="102">
        <f t="shared" si="2"/>
        <v>0.25000133427785987</v>
      </c>
      <c r="D25" s="102">
        <f t="shared" si="2"/>
        <v>0.33700210393236729</v>
      </c>
      <c r="E25" s="102">
        <f t="shared" si="2"/>
        <v>1.2994426945197118E-2</v>
      </c>
      <c r="F25" s="102">
        <f t="shared" si="2"/>
        <v>3.0000741686318822E-2</v>
      </c>
      <c r="G25" s="102">
        <f t="shared" si="2"/>
        <v>3.600001766411913E-2</v>
      </c>
      <c r="H25" s="102">
        <f t="shared" si="2"/>
        <v>9.0000044160297825E-3</v>
      </c>
      <c r="I25" s="102">
        <f t="shared" si="2"/>
        <v>1.3999522225233292E-2</v>
      </c>
      <c r="J25" s="102">
        <f t="shared" si="2"/>
        <v>5.0002447754230626E-3</v>
      </c>
      <c r="K25" s="102">
        <f t="shared" si="2"/>
        <v>1.9999525169253147E-2</v>
      </c>
      <c r="L25" s="105"/>
      <c r="M25" s="55"/>
    </row>
    <row r="26" spans="1:13" x14ac:dyDescent="0.2">
      <c r="A26" s="117"/>
      <c r="B26" s="116"/>
      <c r="C26" s="116"/>
      <c r="D26" s="116"/>
      <c r="E26" s="116"/>
      <c r="F26" s="116"/>
      <c r="G26" s="116"/>
      <c r="H26" s="116"/>
      <c r="I26" s="116"/>
      <c r="J26" s="116"/>
      <c r="K26" s="116"/>
      <c r="L26" s="116"/>
      <c r="M26" s="55"/>
    </row>
    <row r="27" spans="1:13" x14ac:dyDescent="0.2">
      <c r="A27" s="117"/>
      <c r="B27" s="117"/>
      <c r="C27" s="117"/>
      <c r="D27" s="117"/>
      <c r="E27" s="117"/>
      <c r="F27" s="117"/>
      <c r="G27" s="117" t="s">
        <v>6</v>
      </c>
      <c r="H27" s="117"/>
      <c r="I27" s="117"/>
      <c r="J27" s="115" t="s">
        <v>330</v>
      </c>
      <c r="K27" s="116" t="s">
        <v>6</v>
      </c>
      <c r="L27" s="108"/>
      <c r="M27" s="55"/>
    </row>
    <row r="28" spans="1:13" x14ac:dyDescent="0.2">
      <c r="A28" s="117"/>
      <c r="B28" s="111" t="s">
        <v>14</v>
      </c>
      <c r="C28" s="111" t="s">
        <v>15</v>
      </c>
      <c r="D28" s="111" t="s">
        <v>16</v>
      </c>
      <c r="E28" s="111" t="s">
        <v>18</v>
      </c>
      <c r="F28" s="111" t="s">
        <v>19</v>
      </c>
      <c r="G28" s="111" t="s">
        <v>20</v>
      </c>
      <c r="H28" s="111" t="s">
        <v>21</v>
      </c>
      <c r="I28" s="111" t="s">
        <v>527</v>
      </c>
      <c r="J28" s="111" t="s">
        <v>528</v>
      </c>
      <c r="K28" s="111" t="s">
        <v>333</v>
      </c>
      <c r="L28" s="101"/>
      <c r="M28" s="55"/>
    </row>
    <row r="29" spans="1:13" x14ac:dyDescent="0.2">
      <c r="A29" s="100" t="s">
        <v>86</v>
      </c>
      <c r="B29" s="116"/>
      <c r="C29" s="116"/>
      <c r="D29" s="116"/>
      <c r="E29" s="116"/>
      <c r="F29" s="116"/>
      <c r="G29" s="116"/>
      <c r="H29" s="116"/>
      <c r="I29" s="116"/>
      <c r="J29" s="116"/>
      <c r="K29" s="116"/>
      <c r="L29" s="101"/>
      <c r="M29" s="55"/>
    </row>
    <row r="30" spans="1:13" x14ac:dyDescent="0.2">
      <c r="A30" s="106" t="s">
        <v>565</v>
      </c>
      <c r="B30" s="46">
        <f>+'[3]No Glass'!$F$12</f>
        <v>54.339999999999996</v>
      </c>
      <c r="C30" s="46">
        <f>+'[3]No Glass'!$F$14</f>
        <v>44.339999999999996</v>
      </c>
      <c r="D30" s="46">
        <f>+'[3]No Glass'!$F$13</f>
        <v>70.34</v>
      </c>
      <c r="E30" s="46">
        <f>+'[3]No Glass'!$F$23</f>
        <v>1164.3400000000001</v>
      </c>
      <c r="F30" s="46">
        <f>+'[3]No Glass'!$F$24</f>
        <v>47.339999999999996</v>
      </c>
      <c r="G30" s="46">
        <f>+'[3]No Glass'!$F$16</f>
        <v>89.34</v>
      </c>
      <c r="H30" s="46">
        <f>+'[3]No Glass'!$F$17</f>
        <v>184.33999999999997</v>
      </c>
      <c r="I30" s="46">
        <f>+'[3]No Glass'!$F$18</f>
        <v>364.34</v>
      </c>
      <c r="J30" s="46">
        <f>+'[3]No Glass'!$F$19</f>
        <v>-90.66</v>
      </c>
      <c r="K30" s="46">
        <f>+'[3]No Glass'!$F$26</f>
        <v>-220.66000000000003</v>
      </c>
      <c r="L30" s="101"/>
      <c r="M30" s="55"/>
    </row>
    <row r="31" spans="1:13" x14ac:dyDescent="0.2">
      <c r="A31" s="106" t="s">
        <v>553</v>
      </c>
      <c r="B31" s="46">
        <f>+'[4]No Glass'!$F$12</f>
        <v>61.339999999999996</v>
      </c>
      <c r="C31" s="46">
        <f>+'[4]No Glass'!$F$14</f>
        <v>51.339999999999996</v>
      </c>
      <c r="D31" s="46">
        <f>+'[4]No Glass'!$F$13</f>
        <v>81.34</v>
      </c>
      <c r="E31" s="46">
        <f>+'[4]No Glass'!$F$23</f>
        <v>1164.3400000000001</v>
      </c>
      <c r="F31" s="46">
        <f>+'[4]No Glass'!$F$24</f>
        <v>62.339999999999996</v>
      </c>
      <c r="G31" s="46">
        <f>+'[4]No Glass'!$F$16</f>
        <v>99.339999999999975</v>
      </c>
      <c r="H31" s="46">
        <f>+'[4]No Glass'!$F$17</f>
        <v>184.33999999999997</v>
      </c>
      <c r="I31" s="46">
        <f>+'[4]No Glass'!$F$18</f>
        <v>424.34</v>
      </c>
      <c r="J31" s="46">
        <f>+'[4]No Glass'!$F$19</f>
        <v>-105.66</v>
      </c>
      <c r="K31" s="46">
        <f>+'[4]No Glass'!$F$26</f>
        <v>-220.66000000000003</v>
      </c>
      <c r="L31" s="101"/>
      <c r="M31" s="55"/>
    </row>
    <row r="32" spans="1:13" x14ac:dyDescent="0.2">
      <c r="A32" s="117" t="s">
        <v>37</v>
      </c>
      <c r="B32" s="46">
        <f>+'[5]No Glass'!$F$12</f>
        <v>68.34</v>
      </c>
      <c r="C32" s="46">
        <f>+'[5]No Glass'!$F$14</f>
        <v>54.339999999999996</v>
      </c>
      <c r="D32" s="46">
        <f>+'[5]No Glass'!$F$13</f>
        <v>91.34</v>
      </c>
      <c r="E32" s="46">
        <f>+'[5]No Glass'!$F$23</f>
        <v>1264.3400000000001</v>
      </c>
      <c r="F32" s="46">
        <f>+'[5]No Glass'!$F$24</f>
        <v>62.339999999999996</v>
      </c>
      <c r="G32" s="46">
        <f>+'[5]No Glass'!$F$16</f>
        <v>119.33999999999997</v>
      </c>
      <c r="H32" s="46">
        <f>+'[5]No Glass'!$F$17</f>
        <v>204.33999999999997</v>
      </c>
      <c r="I32" s="46">
        <f>+'[5]No Glass'!$F$18</f>
        <v>444.34</v>
      </c>
      <c r="J32" s="46">
        <f>+'[5]No Glass'!$F$19</f>
        <v>-105.66</v>
      </c>
      <c r="K32" s="46">
        <f>+'[5]No Glass'!$F$26</f>
        <v>-220.66000000000003</v>
      </c>
      <c r="L32" s="101"/>
      <c r="M32" s="55"/>
    </row>
    <row r="33" spans="1:13" x14ac:dyDescent="0.2">
      <c r="A33" s="104" t="s">
        <v>329</v>
      </c>
      <c r="B33" s="46">
        <f>+'[6]No Glass'!$F$12</f>
        <v>75.34</v>
      </c>
      <c r="C33" s="46">
        <f>+'[6]No Glass'!$F$14</f>
        <v>62.339999999999996</v>
      </c>
      <c r="D33" s="46">
        <f>+'[6]No Glass'!$F$13</f>
        <v>121.33999999999997</v>
      </c>
      <c r="E33" s="46">
        <f>+'[6]No Glass'!$F$23</f>
        <v>1304.3400000000001</v>
      </c>
      <c r="F33" s="46">
        <f>+'[6]No Glass'!$F$24</f>
        <v>82.34</v>
      </c>
      <c r="G33" s="46">
        <f>+'[6]No Glass'!$F$16</f>
        <v>159.33999999999997</v>
      </c>
      <c r="H33" s="46">
        <f>+'[6]No Glass'!$F$17</f>
        <v>244.33999999999997</v>
      </c>
      <c r="I33" s="46">
        <f>+'[6]No Glass'!$F$18</f>
        <v>524.34</v>
      </c>
      <c r="J33" s="46">
        <f>+'[6]No Glass'!$F$19</f>
        <v>-150.66</v>
      </c>
      <c r="K33" s="46">
        <f>+'[6]No Glass'!$F$26</f>
        <v>-220.66000000000003</v>
      </c>
      <c r="L33" s="98"/>
      <c r="M33" s="55"/>
    </row>
    <row r="34" spans="1:13" x14ac:dyDescent="0.2">
      <c r="A34" s="117" t="s">
        <v>95</v>
      </c>
      <c r="B34" s="46">
        <f>+'[7]No Glass'!$F$12</f>
        <v>4.3399999999999963</v>
      </c>
      <c r="C34" s="46">
        <f>+'[7]No Glass'!$F$14</f>
        <v>-5.6600000000000037</v>
      </c>
      <c r="D34" s="46">
        <f>+'[7]No Glass'!$F$13</f>
        <v>84.34</v>
      </c>
      <c r="E34" s="46">
        <f>+'[7]No Glass'!$F$23</f>
        <v>1324.3400000000001</v>
      </c>
      <c r="F34" s="46">
        <f>+'[7]No Glass'!$F$24</f>
        <v>67.34</v>
      </c>
      <c r="G34" s="46">
        <f>+'[7]No Glass'!$F$16</f>
        <v>174.33999999999997</v>
      </c>
      <c r="H34" s="46">
        <f>+'[7]No Glass'!$F$17</f>
        <v>324.33999999999997</v>
      </c>
      <c r="I34" s="46">
        <f>+'[7]No Glass'!$F$18</f>
        <v>524.34</v>
      </c>
      <c r="J34" s="46">
        <f>+'[7]No Glass'!$F$19</f>
        <v>-160.66000000000003</v>
      </c>
      <c r="K34" s="46">
        <f>+'[7]No Glass'!$F$26</f>
        <v>-220.66000000000003</v>
      </c>
      <c r="L34" s="101"/>
      <c r="M34" s="55"/>
    </row>
    <row r="35" spans="1:13" x14ac:dyDescent="0.2">
      <c r="A35" s="117" t="s">
        <v>40</v>
      </c>
      <c r="B35" s="46">
        <f>+'[8]No Glass'!$F$12</f>
        <v>9.3399999999999963</v>
      </c>
      <c r="C35" s="46">
        <f>+'[8]No Glass'!$F$14</f>
        <v>-0.66000000000000369</v>
      </c>
      <c r="D35" s="46">
        <f>+'[8]No Glass'!$F$13</f>
        <v>94.34</v>
      </c>
      <c r="E35" s="46">
        <f>+'[8]No Glass'!$F$23</f>
        <v>1284.3400000000001</v>
      </c>
      <c r="F35" s="46">
        <f>+'[8]No Glass'!$F$24</f>
        <v>57.339999999999996</v>
      </c>
      <c r="G35" s="46">
        <f>+'[8]No Glass'!$F$16</f>
        <v>184.33999999999997</v>
      </c>
      <c r="H35" s="46">
        <f>+'[8]No Glass'!$F$17</f>
        <v>184.33999999999997</v>
      </c>
      <c r="I35" s="46">
        <f>+'[8]No Glass'!$F$18</f>
        <v>494.34000000000003</v>
      </c>
      <c r="J35" s="46">
        <f>+'[8]No Glass'!$F$19</f>
        <v>-160.66000000000003</v>
      </c>
      <c r="K35" s="46">
        <f>+'[8]No Glass'!$F$26</f>
        <v>-220.66000000000003</v>
      </c>
      <c r="L35" s="101"/>
      <c r="M35" s="55"/>
    </row>
    <row r="36" spans="1:13" x14ac:dyDescent="0.2">
      <c r="A36" s="117" t="s">
        <v>41</v>
      </c>
      <c r="B36" s="46">
        <f>+'[9]No Glass'!$F$12</f>
        <v>27.339999999999996</v>
      </c>
      <c r="C36" s="46">
        <f>+'[9]No Glass'!$F$14</f>
        <v>19.339999999999996</v>
      </c>
      <c r="D36" s="46">
        <f>+'[9]No Glass'!$F$13</f>
        <v>134.33999999999997</v>
      </c>
      <c r="E36" s="46">
        <f>+'[9]No Glass'!$F$23</f>
        <v>1184.3400000000001</v>
      </c>
      <c r="F36" s="46">
        <f>+'[9]No Glass'!$F$24</f>
        <v>47.339999999999996</v>
      </c>
      <c r="G36" s="46">
        <f>+'[9]No Glass'!$F$16</f>
        <v>199.33999999999997</v>
      </c>
      <c r="H36" s="46">
        <f>+'[9]No Glass'!$F$17</f>
        <v>184.33999999999997</v>
      </c>
      <c r="I36" s="46">
        <f>+'[9]No Glass'!$F$18</f>
        <v>484.34000000000003</v>
      </c>
      <c r="J36" s="46">
        <f>+'[9]No Glass'!$F$19</f>
        <v>-165.66000000000003</v>
      </c>
      <c r="K36" s="46">
        <f>+'[9]No Glass'!$F$26</f>
        <v>-220.66000000000003</v>
      </c>
      <c r="L36" s="101"/>
      <c r="M36" s="55"/>
    </row>
    <row r="37" spans="1:13" x14ac:dyDescent="0.2">
      <c r="A37" s="117" t="s">
        <v>42</v>
      </c>
      <c r="B37" s="46">
        <f>+'[10]No Glass'!$F$12</f>
        <v>44.339999999999996</v>
      </c>
      <c r="C37" s="46">
        <f>+'[10]No Glass'!$F$14</f>
        <v>39.339999999999996</v>
      </c>
      <c r="D37" s="46">
        <f>+'[10]No Glass'!$F$13</f>
        <v>139.33999999999997</v>
      </c>
      <c r="E37" s="46">
        <f>+'[10]No Glass'!$F$23</f>
        <v>1214.3400000000001</v>
      </c>
      <c r="F37" s="46">
        <f>+'[10]No Glass'!$F$24</f>
        <v>47.339999999999996</v>
      </c>
      <c r="G37" s="46">
        <f>+'[10]No Glass'!$F$16</f>
        <v>144.33999999999997</v>
      </c>
      <c r="H37" s="46">
        <f>+'[10]No Glass'!$F$17</f>
        <v>184.33999999999997</v>
      </c>
      <c r="I37" s="46">
        <f>+'[10]No Glass'!$F$18</f>
        <v>414.34</v>
      </c>
      <c r="J37" s="46">
        <f>+'[10]No Glass'!$F$19</f>
        <v>-165.66000000000003</v>
      </c>
      <c r="K37" s="46">
        <f>+'[10]No Glass'!$F$26</f>
        <v>-220.66000000000003</v>
      </c>
      <c r="L37" s="101"/>
      <c r="M37" s="55"/>
    </row>
    <row r="38" spans="1:13" x14ac:dyDescent="0.2">
      <c r="A38" s="117" t="s">
        <v>43</v>
      </c>
      <c r="B38" s="46">
        <f>+'[11]No Glass'!$F$12</f>
        <v>29.339999999999996</v>
      </c>
      <c r="C38" s="46">
        <f>+'[11]No Glass'!$F$14</f>
        <v>24.339999999999996</v>
      </c>
      <c r="D38" s="46">
        <f>+'[11]No Glass'!$F$13</f>
        <v>124.33999999999997</v>
      </c>
      <c r="E38" s="46">
        <f>+'[11]No Glass'!$F$23</f>
        <v>1184.3400000000001</v>
      </c>
      <c r="F38" s="46">
        <f>+'[11]No Glass'!$F$24</f>
        <v>62.339999999999996</v>
      </c>
      <c r="G38" s="46">
        <f>+'[11]No Glass'!$F$16</f>
        <v>144.33999999999997</v>
      </c>
      <c r="H38" s="46">
        <f>+'[11]No Glass'!$F$17</f>
        <v>184.33999999999997</v>
      </c>
      <c r="I38" s="46">
        <f>+'[11]No Glass'!$F$18</f>
        <v>384.34</v>
      </c>
      <c r="J38" s="46">
        <f>+'[11]No Glass'!$F$19</f>
        <v>-165.66000000000003</v>
      </c>
      <c r="K38" s="46">
        <f>+'[11]No Glass'!$F$26</f>
        <v>-220.66000000000003</v>
      </c>
      <c r="L38" s="101"/>
      <c r="M38" s="55"/>
    </row>
    <row r="39" spans="1:13" x14ac:dyDescent="0.2">
      <c r="A39" s="117" t="s">
        <v>44</v>
      </c>
      <c r="B39" s="46">
        <f>+'[12]No Glass'!$F$12</f>
        <v>11.339999999999996</v>
      </c>
      <c r="C39" s="46">
        <f>+'[12]No Glass'!$F$14</f>
        <v>4.3399999999999963</v>
      </c>
      <c r="D39" s="46">
        <f>+'[12]No Glass'!$F$13</f>
        <v>94.34</v>
      </c>
      <c r="E39" s="46">
        <f>+'[12]No Glass'!$F$23</f>
        <v>1244.3400000000001</v>
      </c>
      <c r="F39" s="46">
        <f>+'[12]No Glass'!$F$24</f>
        <v>84.34</v>
      </c>
      <c r="G39" s="46">
        <f>+'[12]No Glass'!$F$16</f>
        <v>139.33999999999997</v>
      </c>
      <c r="H39" s="46">
        <f>+'[12]No Glass'!$F$17</f>
        <v>154.33999999999997</v>
      </c>
      <c r="I39" s="46">
        <f>+'[12]No Glass'!$F$18</f>
        <v>384.34</v>
      </c>
      <c r="J39" s="46">
        <f>+'[12]No Glass'!$F$19</f>
        <v>-175.66000000000003</v>
      </c>
      <c r="K39" s="46">
        <f>+'[12]No Glass'!$F$26</f>
        <v>-220.66000000000003</v>
      </c>
      <c r="L39" s="101"/>
      <c r="M39" s="55"/>
    </row>
    <row r="40" spans="1:13" x14ac:dyDescent="0.2">
      <c r="A40" s="117" t="s">
        <v>116</v>
      </c>
      <c r="B40" s="46">
        <f>+'[13]No Glass'!$F$12</f>
        <v>-16.660000000000004</v>
      </c>
      <c r="C40" s="46">
        <f>+'[13]No Glass'!$F$14</f>
        <v>-20.660000000000004</v>
      </c>
      <c r="D40" s="46">
        <f>+'[13]No Glass'!$F$13</f>
        <v>24.339999999999996</v>
      </c>
      <c r="E40" s="46">
        <f>+'[13]No Glass'!$F$23</f>
        <v>1289.3400000000001</v>
      </c>
      <c r="F40" s="46">
        <f>+'[13]No Glass'!$F$24</f>
        <v>69.34</v>
      </c>
      <c r="G40" s="46">
        <f>+'[13]No Glass'!$F$16</f>
        <v>84.34</v>
      </c>
      <c r="H40" s="46">
        <f>+'[13]No Glass'!$F$17</f>
        <v>184.33999999999997</v>
      </c>
      <c r="I40" s="46">
        <f>+'[13]No Glass'!$F$18</f>
        <v>419.34</v>
      </c>
      <c r="J40" s="46">
        <f>+'[13]No Glass'!$F$19</f>
        <v>-175.66000000000003</v>
      </c>
      <c r="K40" s="46">
        <f>+'[13]No Glass'!$F$26</f>
        <v>-220.66000000000003</v>
      </c>
      <c r="L40" s="101"/>
      <c r="M40" s="55"/>
    </row>
    <row r="41" spans="1:13" x14ac:dyDescent="0.2">
      <c r="A41" s="117" t="str">
        <f>A22</f>
        <v>November</v>
      </c>
      <c r="B41" s="46">
        <f>+'[14]No Glass'!$F$12</f>
        <v>3.3399999999999963</v>
      </c>
      <c r="C41" s="46">
        <f>+'[14]No Glass'!$F$14</f>
        <v>-35.660000000000004</v>
      </c>
      <c r="D41" s="46">
        <f>+'[14]No Glass'!$F$13</f>
        <v>58.339999999999996</v>
      </c>
      <c r="E41" s="46">
        <f>+'[14]No Glass'!$F$23</f>
        <v>1254.3400000000001</v>
      </c>
      <c r="F41" s="46">
        <f>+'[14]No Glass'!$F$24</f>
        <v>69.34</v>
      </c>
      <c r="G41" s="46">
        <f>+'[14]No Glass'!$F$16</f>
        <v>24.339999999999996</v>
      </c>
      <c r="H41" s="46">
        <f>+'[14]No Glass'!$F$17</f>
        <v>244.33999999999997</v>
      </c>
      <c r="I41" s="46">
        <f>+'[14]No Glass'!$F$18</f>
        <v>524.34</v>
      </c>
      <c r="J41" s="46">
        <f>+'[14]No Glass'!$F$19</f>
        <v>-180.66000000000003</v>
      </c>
      <c r="K41" s="46">
        <f>+'[14]No Glass'!$F$26</f>
        <v>-220.66000000000003</v>
      </c>
      <c r="L41" s="101"/>
      <c r="M41" s="55"/>
    </row>
    <row r="42" spans="1:13" x14ac:dyDescent="0.2">
      <c r="A42" s="117"/>
      <c r="B42" s="101"/>
      <c r="C42" s="101"/>
      <c r="D42" s="101"/>
      <c r="E42" s="101"/>
      <c r="F42" s="101"/>
      <c r="G42" s="101"/>
      <c r="H42" s="101"/>
      <c r="I42" s="101"/>
      <c r="J42" s="101"/>
      <c r="K42" s="99"/>
      <c r="L42" s="101"/>
      <c r="M42" s="55"/>
    </row>
    <row r="43" spans="1:13" x14ac:dyDescent="0.2">
      <c r="A43" s="112"/>
      <c r="B43" s="97"/>
      <c r="C43" s="97" t="s">
        <v>6</v>
      </c>
      <c r="D43" s="97"/>
      <c r="E43" s="97"/>
      <c r="F43" s="97"/>
      <c r="G43" s="112" t="s">
        <v>6</v>
      </c>
      <c r="H43" s="112"/>
      <c r="I43" s="112"/>
      <c r="J43" s="115" t="s">
        <v>330</v>
      </c>
      <c r="K43" s="115" t="s">
        <v>6</v>
      </c>
      <c r="L43" s="97"/>
      <c r="M43" s="54"/>
    </row>
    <row r="44" spans="1:13" x14ac:dyDescent="0.2">
      <c r="A44" s="112"/>
      <c r="B44" s="111" t="s">
        <v>14</v>
      </c>
      <c r="C44" s="111" t="s">
        <v>15</v>
      </c>
      <c r="D44" s="111" t="s">
        <v>16</v>
      </c>
      <c r="E44" s="111" t="s">
        <v>18</v>
      </c>
      <c r="F44" s="111" t="s">
        <v>19</v>
      </c>
      <c r="G44" s="111" t="s">
        <v>20</v>
      </c>
      <c r="H44" s="111" t="s">
        <v>21</v>
      </c>
      <c r="I44" s="111" t="s">
        <v>527</v>
      </c>
      <c r="J44" s="111" t="s">
        <v>528</v>
      </c>
      <c r="K44" s="111" t="s">
        <v>333</v>
      </c>
      <c r="L44" s="111" t="s">
        <v>84</v>
      </c>
      <c r="M44" s="54"/>
    </row>
    <row r="45" spans="1:13" x14ac:dyDescent="0.2">
      <c r="A45" s="100" t="s">
        <v>24</v>
      </c>
      <c r="B45" s="98"/>
      <c r="C45" s="98"/>
      <c r="D45" s="98"/>
      <c r="E45" s="98"/>
      <c r="F45" s="98"/>
      <c r="G45" s="116"/>
      <c r="H45" s="116"/>
      <c r="I45" s="116"/>
      <c r="J45" s="116"/>
      <c r="K45" s="98"/>
      <c r="L45" s="98"/>
      <c r="M45" s="55"/>
    </row>
    <row r="46" spans="1:13" x14ac:dyDescent="0.2">
      <c r="A46" s="106" t="s">
        <v>565</v>
      </c>
      <c r="B46" s="98">
        <f t="shared" ref="B46:K57" si="3">+B11*B30</f>
        <v>18702.7412</v>
      </c>
      <c r="C46" s="108">
        <f t="shared" si="3"/>
        <v>13339.689</v>
      </c>
      <c r="D46" s="98">
        <f t="shared" si="3"/>
        <v>28526.387000000002</v>
      </c>
      <c r="E46" s="98">
        <f t="shared" si="3"/>
        <v>18221.921000000002</v>
      </c>
      <c r="F46" s="98">
        <f t="shared" si="3"/>
        <v>1709.4473999999998</v>
      </c>
      <c r="G46" s="98">
        <f t="shared" si="3"/>
        <v>3870.2088000000003</v>
      </c>
      <c r="H46" s="98">
        <f t="shared" si="3"/>
        <v>1996.4021999999998</v>
      </c>
      <c r="I46" s="98">
        <f t="shared" si="3"/>
        <v>6135.4856</v>
      </c>
      <c r="J46" s="98">
        <f t="shared" si="3"/>
        <v>-545.77319999999997</v>
      </c>
      <c r="K46" s="108">
        <f t="shared" si="3"/>
        <v>-5309.0796</v>
      </c>
      <c r="L46" s="98">
        <f t="shared" ref="L46:L54" si="4">SUM(B46:K46)</f>
        <v>86647.429400000023</v>
      </c>
      <c r="M46" s="45"/>
    </row>
    <row r="47" spans="1:13" x14ac:dyDescent="0.2">
      <c r="A47" s="106" t="s">
        <v>553</v>
      </c>
      <c r="B47" s="108">
        <f t="shared" si="3"/>
        <v>21987.639325181714</v>
      </c>
      <c r="C47" s="108">
        <f t="shared" si="3"/>
        <v>16086.615171354171</v>
      </c>
      <c r="D47" s="108">
        <f t="shared" si="3"/>
        <v>34356.02171396873</v>
      </c>
      <c r="E47" s="108">
        <f t="shared" si="3"/>
        <v>18873.951400000002</v>
      </c>
      <c r="F47" s="108">
        <f t="shared" si="3"/>
        <v>2343.9959246954863</v>
      </c>
      <c r="G47" s="108">
        <f t="shared" si="3"/>
        <v>4482.2436026804535</v>
      </c>
      <c r="H47" s="108">
        <f t="shared" si="3"/>
        <v>2079.3657784329448</v>
      </c>
      <c r="I47" s="108">
        <f t="shared" si="3"/>
        <v>7445.7904125729656</v>
      </c>
      <c r="J47" s="108">
        <f t="shared" si="3"/>
        <v>-662.13936852562597</v>
      </c>
      <c r="K47" s="108">
        <f t="shared" si="3"/>
        <v>-5531.2388059384684</v>
      </c>
      <c r="L47" s="98">
        <f t="shared" si="4"/>
        <v>101462.24515442237</v>
      </c>
      <c r="M47" s="45"/>
    </row>
    <row r="48" spans="1:13" x14ac:dyDescent="0.2">
      <c r="A48" s="117" t="s">
        <v>37</v>
      </c>
      <c r="B48" s="108">
        <f t="shared" si="3"/>
        <v>18658.477498520584</v>
      </c>
      <c r="C48" s="108">
        <f t="shared" si="3"/>
        <v>12968.652051210533</v>
      </c>
      <c r="D48" s="108">
        <f t="shared" si="3"/>
        <v>29385.027648619885</v>
      </c>
      <c r="E48" s="108">
        <f t="shared" si="3"/>
        <v>15690.703860696196</v>
      </c>
      <c r="F48" s="108">
        <f t="shared" si="3"/>
        <v>1785.3495079995537</v>
      </c>
      <c r="G48" s="108">
        <f t="shared" si="3"/>
        <v>4101.3206984536419</v>
      </c>
      <c r="H48" s="108">
        <f t="shared" si="3"/>
        <v>1755.6223217739591</v>
      </c>
      <c r="I48" s="108">
        <f t="shared" si="3"/>
        <v>5938.5257220528847</v>
      </c>
      <c r="J48" s="108">
        <f t="shared" si="3"/>
        <v>-504.33116515675562</v>
      </c>
      <c r="K48" s="108">
        <f t="shared" si="3"/>
        <v>-4212.9742533973013</v>
      </c>
      <c r="L48" s="98">
        <f t="shared" si="4"/>
        <v>85566.373890773175</v>
      </c>
      <c r="M48" s="45"/>
    </row>
    <row r="49" spans="1:13" x14ac:dyDescent="0.2">
      <c r="A49" s="104" t="s">
        <v>329</v>
      </c>
      <c r="B49" s="108">
        <f t="shared" si="3"/>
        <v>25425.691114815912</v>
      </c>
      <c r="C49" s="108">
        <f t="shared" si="3"/>
        <v>18390.262327073258</v>
      </c>
      <c r="D49" s="108">
        <f t="shared" si="3"/>
        <v>48251.965554603928</v>
      </c>
      <c r="E49" s="108">
        <f t="shared" si="3"/>
        <v>20008.534612000745</v>
      </c>
      <c r="F49" s="108">
        <f t="shared" si="3"/>
        <v>2914.8300288954997</v>
      </c>
      <c r="G49" s="108">
        <f t="shared" si="3"/>
        <v>6768.7493340423935</v>
      </c>
      <c r="H49" s="108">
        <f t="shared" si="3"/>
        <v>2594.8854843101517</v>
      </c>
      <c r="I49" s="108">
        <f t="shared" si="3"/>
        <v>8662.0790555076237</v>
      </c>
      <c r="J49" s="108">
        <f t="shared" si="3"/>
        <v>-888.89217908144292</v>
      </c>
      <c r="K49" s="108">
        <f t="shared" si="3"/>
        <v>-5207.5653321680929</v>
      </c>
      <c r="L49" s="98">
        <f t="shared" si="4"/>
        <v>126920.53999999996</v>
      </c>
      <c r="M49" s="45"/>
    </row>
    <row r="50" spans="1:13" x14ac:dyDescent="0.2">
      <c r="A50" s="117" t="s">
        <v>95</v>
      </c>
      <c r="B50" s="108">
        <f t="shared" si="3"/>
        <v>1146.38565387536</v>
      </c>
      <c r="C50" s="108">
        <f t="shared" si="3"/>
        <v>-1306.8670847166036</v>
      </c>
      <c r="D50" s="108">
        <f t="shared" si="3"/>
        <v>26250.554250688638</v>
      </c>
      <c r="E50" s="108">
        <f t="shared" si="3"/>
        <v>15900.758031559446</v>
      </c>
      <c r="F50" s="108">
        <f t="shared" si="3"/>
        <v>1865.8182929642974</v>
      </c>
      <c r="G50" s="108">
        <f t="shared" si="3"/>
        <v>5796.6158811178302</v>
      </c>
      <c r="H50" s="108">
        <f t="shared" si="3"/>
        <v>2695.9882913871702</v>
      </c>
      <c r="I50" s="108">
        <f t="shared" si="3"/>
        <v>6779.7863044552996</v>
      </c>
      <c r="J50" s="108">
        <f t="shared" si="3"/>
        <v>-741.91260010801921</v>
      </c>
      <c r="K50" s="108">
        <f t="shared" si="3"/>
        <v>-4075.9475747500437</v>
      </c>
      <c r="L50" s="98">
        <f t="shared" si="4"/>
        <v>54311.179446473383</v>
      </c>
      <c r="M50" s="55"/>
    </row>
    <row r="51" spans="1:13" x14ac:dyDescent="0.2">
      <c r="A51" s="117" t="s">
        <v>40</v>
      </c>
      <c r="B51" s="108">
        <f t="shared" si="3"/>
        <v>3034.8497680229584</v>
      </c>
      <c r="C51" s="108">
        <f t="shared" si="3"/>
        <v>-187.45983577806231</v>
      </c>
      <c r="D51" s="108">
        <f t="shared" si="3"/>
        <v>36120.192883399242</v>
      </c>
      <c r="E51" s="108">
        <f t="shared" si="3"/>
        <v>18969.1403107972</v>
      </c>
      <c r="F51" s="108">
        <f t="shared" si="3"/>
        <v>1954.3539970025513</v>
      </c>
      <c r="G51" s="108">
        <f t="shared" si="3"/>
        <v>7539.5664277806127</v>
      </c>
      <c r="H51" s="108">
        <f t="shared" si="3"/>
        <v>1884.8916069451532</v>
      </c>
      <c r="I51" s="108">
        <f t="shared" si="3"/>
        <v>7862.8153518750023</v>
      </c>
      <c r="J51" s="108">
        <f t="shared" si="3"/>
        <v>-912.64537018494923</v>
      </c>
      <c r="K51" s="108">
        <f t="shared" si="3"/>
        <v>-5013.9257409438787</v>
      </c>
      <c r="L51" s="98">
        <f t="shared" si="4"/>
        <v>71251.779398915838</v>
      </c>
      <c r="M51" s="55"/>
    </row>
    <row r="52" spans="1:13" x14ac:dyDescent="0.2">
      <c r="A52" s="117" t="s">
        <v>41</v>
      </c>
      <c r="B52" s="108">
        <f t="shared" si="3"/>
        <v>9112.0106023778171</v>
      </c>
      <c r="C52" s="108">
        <f t="shared" si="3"/>
        <v>5634.3802290883441</v>
      </c>
      <c r="D52" s="108">
        <f t="shared" si="3"/>
        <v>52757.586281658827</v>
      </c>
      <c r="E52" s="108">
        <f t="shared" si="3"/>
        <v>17941.940940380638</v>
      </c>
      <c r="F52" s="108">
        <f t="shared" si="3"/>
        <v>1655.0045090695487</v>
      </c>
      <c r="G52" s="108">
        <f t="shared" si="3"/>
        <v>8362.7021251691713</v>
      </c>
      <c r="H52" s="108">
        <f t="shared" si="3"/>
        <v>1933.3557110385334</v>
      </c>
      <c r="I52" s="108">
        <f t="shared" si="3"/>
        <v>7901.83662506579</v>
      </c>
      <c r="J52" s="108">
        <f t="shared" si="3"/>
        <v>-965.24449715695494</v>
      </c>
      <c r="K52" s="108">
        <f t="shared" si="3"/>
        <v>-5142.8431906954893</v>
      </c>
      <c r="L52" s="98">
        <f t="shared" si="4"/>
        <v>99190.72933599622</v>
      </c>
      <c r="M52" s="55"/>
    </row>
    <row r="53" spans="1:13" x14ac:dyDescent="0.2">
      <c r="A53" s="117" t="s">
        <v>42</v>
      </c>
      <c r="B53" s="108">
        <f t="shared" si="3"/>
        <v>14397.430886308179</v>
      </c>
      <c r="C53" s="108">
        <f t="shared" si="3"/>
        <v>11166.000546227417</v>
      </c>
      <c r="D53" s="108">
        <f t="shared" si="3"/>
        <v>53312.492519523897</v>
      </c>
      <c r="E53" s="108">
        <f t="shared" si="3"/>
        <v>17922.844366342189</v>
      </c>
      <c r="F53" s="108">
        <f t="shared" si="3"/>
        <v>1612.3999975345375</v>
      </c>
      <c r="G53" s="108">
        <f t="shared" si="3"/>
        <v>5899.4630074558963</v>
      </c>
      <c r="H53" s="108">
        <f t="shared" si="3"/>
        <v>1883.5856498448454</v>
      </c>
      <c r="I53" s="108">
        <f t="shared" si="3"/>
        <v>6585.7945428097764</v>
      </c>
      <c r="J53" s="108">
        <f t="shared" si="3"/>
        <v>-940.39636527098855</v>
      </c>
      <c r="K53" s="108">
        <f t="shared" si="3"/>
        <v>-5010.4518160255057</v>
      </c>
      <c r="L53" s="98">
        <f t="shared" si="4"/>
        <v>106829.16333475024</v>
      </c>
      <c r="M53" s="55"/>
    </row>
    <row r="54" spans="1:13" x14ac:dyDescent="0.2">
      <c r="A54" s="117" t="s">
        <v>43</v>
      </c>
      <c r="B54" s="108">
        <f t="shared" si="3"/>
        <v>10628.951584735425</v>
      </c>
      <c r="C54" s="108">
        <f t="shared" si="3"/>
        <v>7707.7011732610517</v>
      </c>
      <c r="D54" s="108">
        <f t="shared" si="3"/>
        <v>53076.838952944141</v>
      </c>
      <c r="E54" s="108">
        <f t="shared" si="3"/>
        <v>19502.219309452747</v>
      </c>
      <c r="F54" s="108">
        <f t="shared" si="3"/>
        <v>2368.9306054614331</v>
      </c>
      <c r="G54" s="108">
        <f t="shared" si="3"/>
        <v>6581.9334666468376</v>
      </c>
      <c r="H54" s="108">
        <f t="shared" si="3"/>
        <v>2101.4854081364801</v>
      </c>
      <c r="I54" s="108">
        <f t="shared" si="3"/>
        <v>6815.6598463494074</v>
      </c>
      <c r="J54" s="108">
        <f t="shared" si="3"/>
        <v>-1049.1846970932015</v>
      </c>
      <c r="K54" s="108">
        <f t="shared" si="3"/>
        <v>-5590.078359545716</v>
      </c>
      <c r="L54" s="98">
        <f t="shared" si="4"/>
        <v>102144.45729034858</v>
      </c>
      <c r="M54" s="55"/>
    </row>
    <row r="55" spans="1:13" x14ac:dyDescent="0.2">
      <c r="A55" s="117" t="s">
        <v>44</v>
      </c>
      <c r="B55" s="108">
        <f t="shared" si="3"/>
        <v>3745.9215786748773</v>
      </c>
      <c r="C55" s="108">
        <f t="shared" si="3"/>
        <v>1253.1681013006255</v>
      </c>
      <c r="D55" s="108">
        <f t="shared" si="3"/>
        <v>36720.227754883199</v>
      </c>
      <c r="E55" s="108">
        <f t="shared" si="3"/>
        <v>18683.662246305514</v>
      </c>
      <c r="F55" s="108">
        <f t="shared" si="3"/>
        <v>2922.3649123602258</v>
      </c>
      <c r="G55" s="108">
        <f t="shared" si="3"/>
        <v>5793.725305500694</v>
      </c>
      <c r="H55" s="108">
        <f t="shared" si="3"/>
        <v>1604.355468011657</v>
      </c>
      <c r="I55" s="108">
        <f t="shared" si="3"/>
        <v>6214.7435877920352</v>
      </c>
      <c r="J55" s="108">
        <f t="shared" si="3"/>
        <v>-1014.4309155505441</v>
      </c>
      <c r="K55" s="108">
        <f t="shared" si="3"/>
        <v>-5097.2179397787331</v>
      </c>
      <c r="L55" s="98">
        <f>SUM(B55:K55)</f>
        <v>70826.520099499525</v>
      </c>
      <c r="M55" s="55"/>
    </row>
    <row r="56" spans="1:13" x14ac:dyDescent="0.2">
      <c r="A56" s="117" t="s">
        <v>509</v>
      </c>
      <c r="B56" s="108">
        <f t="shared" si="3"/>
        <v>-5877.7563846171606</v>
      </c>
      <c r="C56" s="108">
        <f t="shared" si="3"/>
        <v>-6371.4881182992713</v>
      </c>
      <c r="D56" s="108">
        <f t="shared" si="3"/>
        <v>10118.613941800431</v>
      </c>
      <c r="E56" s="108">
        <f t="shared" si="3"/>
        <v>20676.706365115926</v>
      </c>
      <c r="F56" s="108">
        <f t="shared" si="3"/>
        <v>2566.1122136856038</v>
      </c>
      <c r="G56" s="108">
        <f t="shared" si="3"/>
        <v>3745.472813999027</v>
      </c>
      <c r="H56" s="108">
        <f t="shared" si="3"/>
        <v>2046.5984661269283</v>
      </c>
      <c r="I56" s="108">
        <f t="shared" si="3"/>
        <v>7242.1060184678845</v>
      </c>
      <c r="J56" s="108">
        <f t="shared" si="3"/>
        <v>-1083.4613774060504</v>
      </c>
      <c r="K56" s="108">
        <f t="shared" si="3"/>
        <v>-5444.0757722513736</v>
      </c>
      <c r="L56" s="98">
        <f>SUM(B56:K56)</f>
        <v>27618.828166621948</v>
      </c>
      <c r="M56" s="55"/>
    </row>
    <row r="57" spans="1:13" x14ac:dyDescent="0.2">
      <c r="A57" s="117" t="s">
        <v>34</v>
      </c>
      <c r="B57" s="96">
        <f t="shared" si="3"/>
        <v>1097.4578640238844</v>
      </c>
      <c r="C57" s="96">
        <f t="shared" si="3"/>
        <v>-10242.281371982897</v>
      </c>
      <c r="D57" s="96">
        <f t="shared" si="3"/>
        <v>22587.682815073415</v>
      </c>
      <c r="E57" s="96">
        <f t="shared" si="3"/>
        <v>18734.149389762126</v>
      </c>
      <c r="F57" s="96">
        <f t="shared" si="3"/>
        <v>2389.9039495231436</v>
      </c>
      <c r="G57" s="96">
        <f t="shared" si="3"/>
        <v>1006.6962007163536</v>
      </c>
      <c r="H57" s="96">
        <f t="shared" si="3"/>
        <v>2526.4600419374879</v>
      </c>
      <c r="I57" s="96">
        <f t="shared" si="3"/>
        <v>8433.6656650810073</v>
      </c>
      <c r="J57" s="96">
        <f t="shared" si="3"/>
        <v>-1037.7849426037187</v>
      </c>
      <c r="K57" s="96">
        <f t="shared" si="3"/>
        <v>-5070.24522163039</v>
      </c>
      <c r="L57" s="95">
        <f>SUM(B57:K57)</f>
        <v>40425.70438990042</v>
      </c>
      <c r="M57" s="55"/>
    </row>
    <row r="58" spans="1:13" x14ac:dyDescent="0.2">
      <c r="A58" s="112" t="s">
        <v>88</v>
      </c>
      <c r="B58" s="94">
        <f t="shared" ref="B58:L58" si="5">SUM(B46:B57)</f>
        <v>122059.80069191958</v>
      </c>
      <c r="C58" s="94">
        <f t="shared" si="5"/>
        <v>68438.372188738576</v>
      </c>
      <c r="D58" s="94">
        <f t="shared" si="5"/>
        <v>431463.59131716436</v>
      </c>
      <c r="E58" s="94">
        <f t="shared" si="5"/>
        <v>221126.53183241276</v>
      </c>
      <c r="F58" s="94">
        <f t="shared" si="5"/>
        <v>26088.511339191882</v>
      </c>
      <c r="G58" s="94">
        <f t="shared" si="5"/>
        <v>63948.697663562903</v>
      </c>
      <c r="H58" s="94">
        <f t="shared" si="5"/>
        <v>25102.996427945312</v>
      </c>
      <c r="I58" s="94">
        <f t="shared" si="5"/>
        <v>86018.288732029672</v>
      </c>
      <c r="J58" s="94">
        <f t="shared" si="5"/>
        <v>-10346.196678138253</v>
      </c>
      <c r="K58" s="94">
        <f t="shared" si="5"/>
        <v>-60705.643607124992</v>
      </c>
      <c r="L58" s="93">
        <f t="shared" si="5"/>
        <v>973194.9499077017</v>
      </c>
      <c r="M58" s="44"/>
    </row>
    <row r="59" spans="1:13" x14ac:dyDescent="0.2">
      <c r="A59" s="117"/>
      <c r="B59" s="98"/>
      <c r="C59" s="98"/>
      <c r="D59" s="98"/>
      <c r="E59" s="98"/>
      <c r="F59" s="98"/>
      <c r="G59" s="98"/>
      <c r="H59" s="98"/>
      <c r="I59" s="98"/>
      <c r="J59" s="98"/>
      <c r="K59" s="98"/>
      <c r="L59" s="98"/>
      <c r="M59" s="55"/>
    </row>
    <row r="60" spans="1:13" x14ac:dyDescent="0.2">
      <c r="A60" s="117"/>
      <c r="B60" s="98"/>
      <c r="C60" s="98"/>
      <c r="D60" s="98"/>
      <c r="E60" s="98"/>
      <c r="F60" s="98"/>
      <c r="G60" s="98"/>
      <c r="H60" s="98"/>
      <c r="I60" s="98"/>
      <c r="J60" s="98"/>
      <c r="K60" s="98"/>
      <c r="L60" s="98"/>
      <c r="M60" s="55"/>
    </row>
    <row r="61" spans="1:13" x14ac:dyDescent="0.2">
      <c r="A61" s="63" t="s">
        <v>561</v>
      </c>
      <c r="B61" s="98"/>
      <c r="C61" s="98"/>
      <c r="D61" s="98"/>
      <c r="E61" s="98"/>
      <c r="F61" s="98"/>
      <c r="G61" s="98"/>
      <c r="H61" s="98"/>
      <c r="I61" s="98"/>
      <c r="J61" s="98"/>
      <c r="K61" s="98"/>
      <c r="L61" s="98"/>
      <c r="M61" s="55"/>
    </row>
    <row r="62" spans="1:13" x14ac:dyDescent="0.2">
      <c r="A62" s="112"/>
      <c r="B62" s="98"/>
      <c r="C62" s="98"/>
      <c r="D62" s="98"/>
      <c r="E62" s="98"/>
      <c r="F62" s="98"/>
      <c r="G62" s="98"/>
      <c r="H62" s="98"/>
      <c r="I62" s="98"/>
      <c r="J62" s="98"/>
      <c r="K62" s="98"/>
      <c r="L62" s="98"/>
      <c r="M62" s="55"/>
    </row>
    <row r="63" spans="1:13" x14ac:dyDescent="0.2">
      <c r="A63" s="112"/>
      <c r="B63" s="111" t="s">
        <v>14</v>
      </c>
      <c r="C63" s="111" t="s">
        <v>15</v>
      </c>
      <c r="D63" s="111" t="s">
        <v>16</v>
      </c>
      <c r="E63" s="111" t="s">
        <v>18</v>
      </c>
      <c r="F63" s="111" t="s">
        <v>19</v>
      </c>
      <c r="G63" s="111" t="s">
        <v>20</v>
      </c>
      <c r="H63" s="111" t="s">
        <v>21</v>
      </c>
      <c r="I63" s="111" t="s">
        <v>527</v>
      </c>
      <c r="J63" s="111" t="s">
        <v>528</v>
      </c>
      <c r="K63" s="111" t="s">
        <v>333</v>
      </c>
      <c r="L63" s="111" t="s">
        <v>84</v>
      </c>
      <c r="M63" s="55"/>
    </row>
    <row r="64" spans="1:13" x14ac:dyDescent="0.2">
      <c r="A64" s="110" t="s">
        <v>9</v>
      </c>
      <c r="B64" s="116"/>
      <c r="C64" s="116"/>
      <c r="D64" s="116"/>
      <c r="E64" s="116"/>
      <c r="F64" s="116"/>
      <c r="G64" s="116"/>
      <c r="H64" s="116"/>
      <c r="I64" s="116"/>
      <c r="J64" s="116"/>
      <c r="K64" s="116"/>
      <c r="L64" s="116"/>
      <c r="M64" s="55"/>
    </row>
    <row r="65" spans="1:33" x14ac:dyDescent="0.2">
      <c r="A65" s="106" t="s">
        <v>566</v>
      </c>
      <c r="B65" s="109">
        <f>+('[1]Murrey''s 2016'!$M$5+'[1]American 2016'!$M$5)/2000</f>
        <v>344.18</v>
      </c>
      <c r="C65" s="108">
        <f>+('[1]Murrey''s 2016'!$M$6+'[1]American 2016'!$M$6)/2000</f>
        <v>300.85000000000002</v>
      </c>
      <c r="D65" s="108">
        <f>+('[1]Murrey''s 2016'!$M$7+'[1]American 2016'!$M$7)/2000</f>
        <v>405.55</v>
      </c>
      <c r="E65" s="108">
        <f>+('[1]Murrey''s 2016'!$M$8+'[1]American 2016'!$M$8)/2000</f>
        <v>15.65</v>
      </c>
      <c r="F65" s="109">
        <f>+('[1]Murrey''s 2016'!$M$9+'[1]American 2016'!$M$9)/2000</f>
        <v>36.11</v>
      </c>
      <c r="G65" s="109">
        <f>+('[1]Murrey''s 2016'!$M$10+'[1]American 2016'!$M$10)/2000</f>
        <v>43.32</v>
      </c>
      <c r="H65" s="109">
        <f>+('[1]Murrey''s 2016'!$M$11+'[1]American 2016'!$M$11)/2000</f>
        <v>10.83</v>
      </c>
      <c r="I65" s="109">
        <f>+('[1]Murrey''s 2016'!$M$12+'[1]American 2016'!$M$12)/2000</f>
        <v>16.84</v>
      </c>
      <c r="J65" s="109">
        <f>+('[1]Murrey''s 2016'!$M$13+'[1]American 2016'!$M$13)/2000</f>
        <v>6.02</v>
      </c>
      <c r="K65" s="109">
        <f>+('[1]Murrey''s 2016'!$M$16+'[1]American 2016'!$M$16)/2000</f>
        <v>24.06</v>
      </c>
      <c r="L65" s="107">
        <f>SUM(B65:K65)</f>
        <v>1203.4099999999996</v>
      </c>
      <c r="M65" s="55"/>
    </row>
    <row r="66" spans="1:33" x14ac:dyDescent="0.2">
      <c r="A66" s="106"/>
      <c r="B66" s="98"/>
      <c r="C66" s="98"/>
      <c r="D66" s="98"/>
      <c r="E66" s="98"/>
      <c r="F66" s="98"/>
      <c r="G66" s="98"/>
      <c r="H66" s="98"/>
      <c r="I66" s="98"/>
      <c r="J66" s="98"/>
      <c r="K66" s="98"/>
      <c r="L66" s="98"/>
      <c r="M66" s="55"/>
    </row>
    <row r="67" spans="1:33" x14ac:dyDescent="0.2">
      <c r="A67" s="117"/>
      <c r="B67" s="117"/>
      <c r="C67" s="117"/>
      <c r="D67" s="117"/>
      <c r="E67" s="117"/>
      <c r="F67" s="117"/>
      <c r="G67" s="117" t="s">
        <v>6</v>
      </c>
      <c r="H67" s="117"/>
      <c r="I67" s="117"/>
      <c r="J67" s="115" t="s">
        <v>330</v>
      </c>
      <c r="K67" s="116" t="s">
        <v>6</v>
      </c>
      <c r="L67" s="98"/>
      <c r="M67" s="55"/>
    </row>
    <row r="68" spans="1:33" x14ac:dyDescent="0.2">
      <c r="A68" s="117"/>
      <c r="B68" s="111" t="s">
        <v>14</v>
      </c>
      <c r="C68" s="111" t="s">
        <v>15</v>
      </c>
      <c r="D68" s="111" t="s">
        <v>16</v>
      </c>
      <c r="E68" s="111" t="s">
        <v>18</v>
      </c>
      <c r="F68" s="111" t="s">
        <v>19</v>
      </c>
      <c r="G68" s="111" t="s">
        <v>20</v>
      </c>
      <c r="H68" s="111" t="s">
        <v>21</v>
      </c>
      <c r="I68" s="111" t="s">
        <v>527</v>
      </c>
      <c r="J68" s="111" t="s">
        <v>528</v>
      </c>
      <c r="K68" s="111" t="s">
        <v>333</v>
      </c>
      <c r="L68" s="98"/>
      <c r="M68" s="55"/>
    </row>
    <row r="69" spans="1:33" x14ac:dyDescent="0.2">
      <c r="A69" s="100" t="s">
        <v>86</v>
      </c>
      <c r="B69" s="116"/>
      <c r="C69" s="116"/>
      <c r="D69" s="116"/>
      <c r="E69" s="116"/>
      <c r="F69" s="116"/>
      <c r="G69" s="116"/>
      <c r="H69" s="116"/>
      <c r="I69" s="116"/>
      <c r="J69" s="116"/>
      <c r="K69" s="116"/>
      <c r="L69" s="98"/>
      <c r="M69" s="55"/>
    </row>
    <row r="70" spans="1:33" x14ac:dyDescent="0.2">
      <c r="A70" s="104" t="s">
        <v>567</v>
      </c>
      <c r="B70" s="46">
        <f>+'[10]No Glass'!$K$12</f>
        <v>-0.66000000000000369</v>
      </c>
      <c r="C70" s="46">
        <f>+'[10]No Glass'!$K$14</f>
        <v>-5.6600000000000037</v>
      </c>
      <c r="D70" s="46">
        <f>+'[10]No Glass'!$K$13</f>
        <v>94.339999999999975</v>
      </c>
      <c r="E70" s="46">
        <f>+'[10]No Glass'!$K$23</f>
        <v>1169.3400000000001</v>
      </c>
      <c r="F70" s="46">
        <f>+'[10]No Glass'!$K$24</f>
        <v>2.3399999999999963</v>
      </c>
      <c r="G70" s="46">
        <f>+'[10]No Glass'!$K$16</f>
        <v>99.339999999999975</v>
      </c>
      <c r="H70" s="46">
        <f>+'[10]No Glass'!$K$17</f>
        <v>139.33999999999997</v>
      </c>
      <c r="I70" s="46">
        <f>+'[10]No Glass'!$K$18</f>
        <v>369.34</v>
      </c>
      <c r="J70" s="46">
        <f>+'[10]No Glass'!$K$19</f>
        <v>-210.66000000000003</v>
      </c>
      <c r="K70" s="46">
        <f>+'[10]No Glass'!$K$26</f>
        <v>-265.66000000000003</v>
      </c>
      <c r="L70" s="98"/>
      <c r="M70" s="43"/>
      <c r="N70" s="43"/>
      <c r="O70" s="43"/>
      <c r="P70" s="43"/>
      <c r="Q70" s="43"/>
      <c r="R70" s="43"/>
      <c r="S70" s="43"/>
      <c r="T70" s="43"/>
      <c r="U70" s="43"/>
      <c r="V70" s="43"/>
      <c r="X70" s="42"/>
      <c r="Y70" s="42"/>
      <c r="Z70" s="42"/>
      <c r="AA70" s="42"/>
      <c r="AB70" s="42"/>
      <c r="AC70" s="42"/>
      <c r="AD70" s="42"/>
      <c r="AE70" s="42"/>
      <c r="AF70" s="42"/>
      <c r="AG70" s="42"/>
    </row>
    <row r="71" spans="1:33" x14ac:dyDescent="0.2">
      <c r="A71" s="117" t="s">
        <v>43</v>
      </c>
      <c r="B71" s="46">
        <f>+'[11]No Glass'!$K$12</f>
        <v>-15.660000000000004</v>
      </c>
      <c r="C71" s="46">
        <f>+'[11]No Glass'!$K$14</f>
        <v>-20.660000000000004</v>
      </c>
      <c r="D71" s="46">
        <f>+'[11]No Glass'!$K$13</f>
        <v>79.339999999999975</v>
      </c>
      <c r="E71" s="46">
        <f>+'[11]No Glass'!$K$23</f>
        <v>1139.3400000000001</v>
      </c>
      <c r="F71" s="46">
        <f>+'[11]No Glass'!$K$24</f>
        <v>17.339999999999996</v>
      </c>
      <c r="G71" s="46">
        <f>+'[11]No Glass'!$K$16</f>
        <v>99.339999999999975</v>
      </c>
      <c r="H71" s="46">
        <f>+'[11]No Glass'!$K$17</f>
        <v>139.33999999999997</v>
      </c>
      <c r="I71" s="46">
        <f>+'[11]No Glass'!$K$18</f>
        <v>339.34</v>
      </c>
      <c r="J71" s="46">
        <f>+'[11]No Glass'!$K$19</f>
        <v>-210.66000000000003</v>
      </c>
      <c r="K71" s="46">
        <f>+'[11]No Glass'!$K$26</f>
        <v>-265.66000000000003</v>
      </c>
      <c r="L71" s="98"/>
      <c r="M71" s="43"/>
      <c r="N71" s="43"/>
      <c r="O71" s="43"/>
      <c r="P71" s="43"/>
      <c r="Q71" s="43"/>
      <c r="R71" s="43"/>
      <c r="S71" s="43"/>
      <c r="T71" s="43"/>
      <c r="U71" s="43"/>
      <c r="V71" s="43"/>
      <c r="X71" s="42"/>
      <c r="Y71" s="42"/>
      <c r="Z71" s="42"/>
      <c r="AA71" s="42"/>
      <c r="AB71" s="42"/>
      <c r="AC71" s="42"/>
      <c r="AD71" s="42"/>
      <c r="AE71" s="42"/>
      <c r="AF71" s="42"/>
      <c r="AG71" s="42"/>
    </row>
    <row r="72" spans="1:33" x14ac:dyDescent="0.2">
      <c r="A72" s="117" t="s">
        <v>44</v>
      </c>
      <c r="B72" s="46">
        <f>+'[12]No Glass'!$K$12</f>
        <v>-33.660000000000004</v>
      </c>
      <c r="C72" s="46">
        <f>+'[12]No Glass'!$K$14</f>
        <v>-40.660000000000004</v>
      </c>
      <c r="D72" s="46">
        <f>+'[12]No Glass'!$K$13</f>
        <v>49.34</v>
      </c>
      <c r="E72" s="46">
        <f>+'[12]No Glass'!$K$23</f>
        <v>1199.3400000000001</v>
      </c>
      <c r="F72" s="46">
        <f>+'[12]No Glass'!$K$24</f>
        <v>39.340000000000003</v>
      </c>
      <c r="G72" s="46">
        <f>+'[12]No Glass'!$K$16</f>
        <v>94.339999999999975</v>
      </c>
      <c r="H72" s="46">
        <f>+'[12]No Glass'!$K$17</f>
        <v>109.33999999999997</v>
      </c>
      <c r="I72" s="46">
        <f>+'[12]No Glass'!$K$18</f>
        <v>339.34</v>
      </c>
      <c r="J72" s="46">
        <f>+'[12]No Glass'!$K$19</f>
        <v>-220.66000000000003</v>
      </c>
      <c r="K72" s="46">
        <f>+'[12]No Glass'!$K$26</f>
        <v>-265.66000000000003</v>
      </c>
      <c r="L72" s="98"/>
      <c r="M72" s="43"/>
      <c r="N72" s="43"/>
      <c r="O72" s="43"/>
      <c r="P72" s="43"/>
      <c r="Q72" s="43"/>
      <c r="R72" s="43"/>
      <c r="S72" s="43"/>
      <c r="T72" s="43"/>
      <c r="U72" s="43"/>
      <c r="V72" s="43"/>
      <c r="X72" s="42"/>
      <c r="Y72" s="42"/>
      <c r="Z72" s="42"/>
      <c r="AA72" s="42"/>
      <c r="AB72" s="42"/>
      <c r="AC72" s="42"/>
      <c r="AD72" s="42"/>
      <c r="AE72" s="42"/>
      <c r="AF72" s="42"/>
      <c r="AG72" s="42"/>
    </row>
    <row r="73" spans="1:33" x14ac:dyDescent="0.2">
      <c r="A73" s="117" t="s">
        <v>116</v>
      </c>
      <c r="B73" s="46">
        <f>+'[13]No Glass'!$K$12</f>
        <v>-61.660000000000004</v>
      </c>
      <c r="C73" s="46">
        <f>+'[13]No Glass'!$K$14</f>
        <v>-65.66</v>
      </c>
      <c r="D73" s="46">
        <f>+'[13]No Glass'!$K$13</f>
        <v>-20.660000000000004</v>
      </c>
      <c r="E73" s="46">
        <f>+'[13]No Glass'!$K$23</f>
        <v>1244.3400000000001</v>
      </c>
      <c r="F73" s="46">
        <f>+'[13]No Glass'!$K$24</f>
        <v>24.340000000000003</v>
      </c>
      <c r="G73" s="46">
        <f>+'[13]No Glass'!$K$16</f>
        <v>39.340000000000003</v>
      </c>
      <c r="H73" s="46">
        <f>+'[13]No Glass'!$K$17</f>
        <v>139.33999999999997</v>
      </c>
      <c r="I73" s="46">
        <f>+'[13]No Glass'!$K$18</f>
        <v>374.34</v>
      </c>
      <c r="J73" s="46">
        <f>+'[13]No Glass'!$K$19</f>
        <v>-220.66000000000003</v>
      </c>
      <c r="K73" s="46">
        <f>+'[13]No Glass'!$K$26</f>
        <v>-265.66000000000003</v>
      </c>
      <c r="L73" s="98"/>
      <c r="M73" s="43"/>
      <c r="N73" s="43"/>
      <c r="O73" s="43"/>
      <c r="P73" s="43"/>
      <c r="Q73" s="43"/>
      <c r="R73" s="43"/>
      <c r="S73" s="43"/>
      <c r="T73" s="43"/>
      <c r="U73" s="43"/>
      <c r="V73" s="43"/>
      <c r="X73" s="42"/>
      <c r="Y73" s="42"/>
      <c r="Z73" s="42"/>
      <c r="AA73" s="42"/>
      <c r="AB73" s="42"/>
      <c r="AC73" s="42"/>
      <c r="AD73" s="42"/>
      <c r="AE73" s="42"/>
      <c r="AF73" s="42"/>
      <c r="AG73" s="42"/>
    </row>
    <row r="74" spans="1:33" x14ac:dyDescent="0.2">
      <c r="A74" s="117" t="s">
        <v>34</v>
      </c>
      <c r="B74" s="46">
        <f>+'[14]No Glass'!$K$12</f>
        <v>-41.660000000000004</v>
      </c>
      <c r="C74" s="46">
        <f>+'[14]No Glass'!$K$14</f>
        <v>-80.66</v>
      </c>
      <c r="D74" s="46">
        <f>+'[14]No Glass'!$K$13</f>
        <v>13.339999999999996</v>
      </c>
      <c r="E74" s="46">
        <f>+'[14]No Glass'!$K$23</f>
        <v>1209.3400000000001</v>
      </c>
      <c r="F74" s="46">
        <f>+'[14]No Glass'!$K$24</f>
        <v>24.340000000000003</v>
      </c>
      <c r="G74" s="46">
        <f>+'[14]No Glass'!$K$16</f>
        <v>-20.660000000000004</v>
      </c>
      <c r="H74" s="46">
        <f>+'[14]No Glass'!$K$17</f>
        <v>199.33999999999997</v>
      </c>
      <c r="I74" s="46">
        <f>+'[14]No Glass'!$K$18</f>
        <v>479.34000000000003</v>
      </c>
      <c r="J74" s="46">
        <f>+'[14]No Glass'!$K$19</f>
        <v>-225.66000000000003</v>
      </c>
      <c r="K74" s="46">
        <f>+'[14]No Glass'!$K$26</f>
        <v>-265.66000000000003</v>
      </c>
      <c r="L74" s="98"/>
      <c r="M74" s="43"/>
      <c r="N74" s="43"/>
      <c r="O74" s="43"/>
      <c r="P74" s="43"/>
      <c r="Q74" s="43"/>
      <c r="R74" s="43"/>
      <c r="S74" s="43"/>
      <c r="T74" s="43"/>
      <c r="U74" s="43"/>
      <c r="V74" s="43"/>
      <c r="X74" s="42"/>
      <c r="Y74" s="42"/>
      <c r="Z74" s="42"/>
      <c r="AA74" s="42"/>
      <c r="AB74" s="42"/>
      <c r="AC74" s="42"/>
      <c r="AD74" s="42"/>
      <c r="AE74" s="42"/>
      <c r="AF74" s="42"/>
      <c r="AG74" s="42"/>
    </row>
    <row r="75" spans="1:33" x14ac:dyDescent="0.2">
      <c r="A75" s="117" t="s">
        <v>35</v>
      </c>
      <c r="B75" s="46">
        <f>+'[15]No Glass'!K12</f>
        <v>-32.829999999999991</v>
      </c>
      <c r="C75" s="46">
        <f>+'[15]No Glass'!K14</f>
        <v>-112.82999999999998</v>
      </c>
      <c r="D75" s="46">
        <f>+'[15]No Glass'!K13</f>
        <v>22.170000000000016</v>
      </c>
      <c r="E75" s="46">
        <f>+'[15]No Glass'!K23</f>
        <v>1237.17</v>
      </c>
      <c r="F75" s="46">
        <f>+'[15]No Glass'!K24</f>
        <v>37.170000000000016</v>
      </c>
      <c r="G75" s="46">
        <f>+'[15]No Glass'!K16</f>
        <v>-27.829999999999991</v>
      </c>
      <c r="H75" s="46">
        <f>+'[15]No Glass'!K17</f>
        <v>157.17000000000002</v>
      </c>
      <c r="I75" s="46">
        <f>+'[15]No Glass'!K18</f>
        <v>487.16999999999996</v>
      </c>
      <c r="J75" s="46">
        <f>+'[15]No Glass'!K19</f>
        <v>-202.82999999999998</v>
      </c>
      <c r="K75" s="46">
        <f>+'[15]No Glass'!$K$26</f>
        <v>-267.83</v>
      </c>
      <c r="L75" s="98"/>
      <c r="M75" s="55"/>
    </row>
    <row r="76" spans="1:33" x14ac:dyDescent="0.2">
      <c r="A76" s="117"/>
      <c r="B76" s="98"/>
      <c r="C76" s="98"/>
      <c r="D76" s="98"/>
      <c r="E76" s="98"/>
      <c r="F76" s="98"/>
      <c r="G76" s="98"/>
      <c r="H76" s="98"/>
      <c r="I76" s="98"/>
      <c r="J76" s="98"/>
      <c r="K76" s="98"/>
      <c r="L76" s="98"/>
      <c r="M76" s="55"/>
    </row>
    <row r="77" spans="1:33" x14ac:dyDescent="0.2">
      <c r="A77" s="117"/>
      <c r="B77" s="98"/>
      <c r="C77" s="98"/>
      <c r="D77" s="98"/>
      <c r="E77" s="98"/>
      <c r="F77" s="98"/>
      <c r="G77" s="98"/>
      <c r="H77" s="98"/>
      <c r="I77" s="98"/>
      <c r="J77" s="98"/>
      <c r="K77" s="98"/>
      <c r="L77" s="98"/>
      <c r="M77" s="55"/>
    </row>
    <row r="78" spans="1:33" x14ac:dyDescent="0.2">
      <c r="A78" s="117"/>
      <c r="B78" s="98"/>
      <c r="C78" s="98"/>
      <c r="D78" s="98"/>
      <c r="E78" s="98"/>
      <c r="F78" s="98"/>
      <c r="G78" s="98"/>
      <c r="H78" s="98"/>
      <c r="I78" s="98"/>
      <c r="J78" s="98"/>
      <c r="K78" s="98"/>
      <c r="L78" s="98"/>
      <c r="M78" s="55"/>
    </row>
    <row r="79" spans="1:33" x14ac:dyDescent="0.2">
      <c r="A79" s="112"/>
      <c r="B79" s="111" t="s">
        <v>14</v>
      </c>
      <c r="C79" s="111" t="s">
        <v>15</v>
      </c>
      <c r="D79" s="111" t="s">
        <v>16</v>
      </c>
      <c r="E79" s="111" t="s">
        <v>18</v>
      </c>
      <c r="F79" s="111" t="s">
        <v>19</v>
      </c>
      <c r="G79" s="111" t="s">
        <v>20</v>
      </c>
      <c r="H79" s="111" t="s">
        <v>21</v>
      </c>
      <c r="I79" s="111" t="s">
        <v>527</v>
      </c>
      <c r="J79" s="111" t="s">
        <v>528</v>
      </c>
      <c r="K79" s="111" t="s">
        <v>333</v>
      </c>
      <c r="L79" s="111" t="s">
        <v>84</v>
      </c>
      <c r="M79" s="55"/>
    </row>
    <row r="80" spans="1:33" x14ac:dyDescent="0.2">
      <c r="A80" s="100" t="s">
        <v>24</v>
      </c>
      <c r="B80" s="98"/>
      <c r="C80" s="98"/>
      <c r="D80" s="98"/>
      <c r="E80" s="98"/>
      <c r="F80" s="98"/>
      <c r="G80" s="116"/>
      <c r="H80" s="116"/>
      <c r="I80" s="116"/>
      <c r="J80" s="116"/>
      <c r="K80" s="98"/>
      <c r="L80" s="98"/>
      <c r="M80" s="55"/>
    </row>
    <row r="81" spans="1:13" x14ac:dyDescent="0.2">
      <c r="A81" s="104" t="s">
        <v>567</v>
      </c>
      <c r="B81" s="41">
        <f t="shared" ref="B81:K85" si="6">+B18*B70</f>
        <v>-214.3054665079714</v>
      </c>
      <c r="C81" s="41">
        <f t="shared" si="6"/>
        <v>-1606.496265674815</v>
      </c>
      <c r="D81" s="41">
        <f t="shared" si="6"/>
        <v>36095.166817079691</v>
      </c>
      <c r="E81" s="41">
        <f t="shared" si="6"/>
        <v>17258.674532123274</v>
      </c>
      <c r="F81" s="41">
        <f t="shared" si="6"/>
        <v>79.70038010626979</v>
      </c>
      <c r="G81" s="41">
        <f t="shared" si="6"/>
        <v>4060.2234665419751</v>
      </c>
      <c r="H81" s="41">
        <f t="shared" si="6"/>
        <v>1423.775764616365</v>
      </c>
      <c r="I81" s="41">
        <f t="shared" si="6"/>
        <v>5870.5347213432515</v>
      </c>
      <c r="J81" s="41">
        <f t="shared" si="6"/>
        <v>-1195.8463015090331</v>
      </c>
      <c r="K81" s="41">
        <f t="shared" si="6"/>
        <v>-6032.2515609776847</v>
      </c>
      <c r="L81" s="41">
        <f t="shared" ref="L81:L86" si="7">SUM(B81:K81)</f>
        <v>55739.176087141328</v>
      </c>
      <c r="M81" s="55"/>
    </row>
    <row r="82" spans="1:13" x14ac:dyDescent="0.2">
      <c r="A82" s="117" t="s">
        <v>43</v>
      </c>
      <c r="B82" s="41">
        <f t="shared" si="6"/>
        <v>-5673.121397987622</v>
      </c>
      <c r="C82" s="41">
        <f t="shared" si="6"/>
        <v>-6542.3626228255298</v>
      </c>
      <c r="D82" s="41">
        <f t="shared" si="6"/>
        <v>33867.752955819429</v>
      </c>
      <c r="E82" s="41">
        <f t="shared" si="6"/>
        <v>18761.215992056244</v>
      </c>
      <c r="F82" s="41">
        <f t="shared" si="6"/>
        <v>658.92294993104338</v>
      </c>
      <c r="G82" s="41">
        <f t="shared" si="6"/>
        <v>4529.9242800103702</v>
      </c>
      <c r="H82" s="41">
        <f t="shared" si="6"/>
        <v>1588.4831114773631</v>
      </c>
      <c r="I82" s="41">
        <f t="shared" si="6"/>
        <v>6017.656273768559</v>
      </c>
      <c r="J82" s="41">
        <f t="shared" si="6"/>
        <v>-1334.1859730149331</v>
      </c>
      <c r="K82" s="41">
        <f t="shared" si="6"/>
        <v>-6730.0834632326423</v>
      </c>
      <c r="L82" s="41">
        <f t="shared" si="7"/>
        <v>45144.202106002289</v>
      </c>
      <c r="M82" s="55"/>
    </row>
    <row r="83" spans="1:13" x14ac:dyDescent="0.2">
      <c r="A83" s="117" t="s">
        <v>44</v>
      </c>
      <c r="B83" s="41">
        <f t="shared" si="6"/>
        <v>-11118.846590669878</v>
      </c>
      <c r="C83" s="41">
        <f t="shared" si="6"/>
        <v>-11740.510368406331</v>
      </c>
      <c r="D83" s="41">
        <f t="shared" si="6"/>
        <v>19204.749177718222</v>
      </c>
      <c r="E83" s="41">
        <f t="shared" si="6"/>
        <v>18007.990965880752</v>
      </c>
      <c r="F83" s="41">
        <f t="shared" si="6"/>
        <v>1363.1234959953913</v>
      </c>
      <c r="G83" s="41">
        <f t="shared" si="6"/>
        <v>3922.6356058628921</v>
      </c>
      <c r="H83" s="41">
        <f t="shared" si="6"/>
        <v>1136.5830431022066</v>
      </c>
      <c r="I83" s="41">
        <f t="shared" si="6"/>
        <v>5487.0975934884455</v>
      </c>
      <c r="J83" s="41">
        <f t="shared" si="6"/>
        <v>-1274.3044849446833</v>
      </c>
      <c r="K83" s="41">
        <f t="shared" si="6"/>
        <v>-6136.7122173552898</v>
      </c>
      <c r="L83" s="41">
        <f t="shared" si="7"/>
        <v>18851.806220671726</v>
      </c>
      <c r="M83" s="55"/>
    </row>
    <row r="84" spans="1:13" x14ac:dyDescent="0.2">
      <c r="A84" s="117" t="s">
        <v>509</v>
      </c>
      <c r="B84" s="41">
        <f t="shared" si="6"/>
        <v>-21754.049140185718</v>
      </c>
      <c r="C84" s="41">
        <f t="shared" si="6"/>
        <v>-20249.366401138919</v>
      </c>
      <c r="D84" s="41">
        <f t="shared" si="6"/>
        <v>-8588.7659834674196</v>
      </c>
      <c r="E84" s="41">
        <f t="shared" si="6"/>
        <v>19955.056694408264</v>
      </c>
      <c r="F84" s="41">
        <f t="shared" si="6"/>
        <v>900.76681974484575</v>
      </c>
      <c r="G84" s="41">
        <f t="shared" si="6"/>
        <v>1747.0583412701178</v>
      </c>
      <c r="H84" s="41">
        <f t="shared" si="6"/>
        <v>1546.994847944701</v>
      </c>
      <c r="I84" s="41">
        <f t="shared" si="6"/>
        <v>6464.9448346288646</v>
      </c>
      <c r="J84" s="41">
        <f t="shared" si="6"/>
        <v>-1361.0189430628434</v>
      </c>
      <c r="K84" s="41">
        <f t="shared" si="6"/>
        <v>-6554.3060348785448</v>
      </c>
      <c r="L84" s="41">
        <f t="shared" si="7"/>
        <v>-27892.684964736647</v>
      </c>
      <c r="M84" s="55"/>
    </row>
    <row r="85" spans="1:13" x14ac:dyDescent="0.2">
      <c r="A85" s="117" t="s">
        <v>34</v>
      </c>
      <c r="B85" s="41">
        <f t="shared" si="6"/>
        <v>-13688.651082405713</v>
      </c>
      <c r="C85" s="41">
        <f t="shared" si="6"/>
        <v>-23167.201779701078</v>
      </c>
      <c r="D85" s="41">
        <f t="shared" si="6"/>
        <v>5164.890105469306</v>
      </c>
      <c r="E85" s="41">
        <f t="shared" si="6"/>
        <v>18062.05352856078</v>
      </c>
      <c r="F85" s="41">
        <f t="shared" si="6"/>
        <v>838.91350059696163</v>
      </c>
      <c r="G85" s="41">
        <f t="shared" si="6"/>
        <v>-854.49233799506453</v>
      </c>
      <c r="H85" s="41">
        <f t="shared" si="6"/>
        <v>2061.1629072596334</v>
      </c>
      <c r="I85" s="41">
        <f t="shared" si="6"/>
        <v>7709.8701222487889</v>
      </c>
      <c r="J85" s="41">
        <f t="shared" si="6"/>
        <v>-1296.2833507580824</v>
      </c>
      <c r="K85" s="41">
        <f t="shared" si="6"/>
        <v>-6104.2388542478448</v>
      </c>
      <c r="L85" s="41">
        <f t="shared" si="7"/>
        <v>-11273.977240972312</v>
      </c>
      <c r="M85" s="55"/>
    </row>
    <row r="86" spans="1:13" x14ac:dyDescent="0.2">
      <c r="A86" s="117" t="s">
        <v>35</v>
      </c>
      <c r="B86" s="40">
        <f>+B65*B75</f>
        <v>-11299.429399999997</v>
      </c>
      <c r="C86" s="40">
        <f t="shared" ref="C86:K86" si="8">+C65*C75</f>
        <v>-33944.905500000001</v>
      </c>
      <c r="D86" s="40">
        <f t="shared" si="8"/>
        <v>8991.043500000007</v>
      </c>
      <c r="E86" s="40">
        <f t="shared" si="8"/>
        <v>19361.710500000001</v>
      </c>
      <c r="F86" s="40">
        <f t="shared" si="8"/>
        <v>1342.2087000000006</v>
      </c>
      <c r="G86" s="40">
        <f t="shared" si="8"/>
        <v>-1205.5955999999996</v>
      </c>
      <c r="H86" s="40">
        <f t="shared" si="8"/>
        <v>1702.1511000000003</v>
      </c>
      <c r="I86" s="40">
        <f t="shared" si="8"/>
        <v>8203.9427999999989</v>
      </c>
      <c r="J86" s="40">
        <f t="shared" si="8"/>
        <v>-1221.0365999999999</v>
      </c>
      <c r="K86" s="40">
        <f t="shared" si="8"/>
        <v>-6443.9897999999994</v>
      </c>
      <c r="L86" s="40">
        <f t="shared" si="7"/>
        <v>-14513.90029999999</v>
      </c>
      <c r="M86" s="55"/>
    </row>
    <row r="87" spans="1:13" x14ac:dyDescent="0.2">
      <c r="A87" s="112" t="s">
        <v>88</v>
      </c>
      <c r="B87" s="94">
        <f>SUM(B81:B86)</f>
        <v>-63748.403077756899</v>
      </c>
      <c r="C87" s="94">
        <f t="shared" ref="C87:L87" si="9">SUM(C81:C86)</f>
        <v>-97250.842937746667</v>
      </c>
      <c r="D87" s="94">
        <f t="shared" si="9"/>
        <v>94734.836572619242</v>
      </c>
      <c r="E87" s="94">
        <f t="shared" si="9"/>
        <v>111406.7022130293</v>
      </c>
      <c r="F87" s="94">
        <f t="shared" si="9"/>
        <v>5183.6358463745128</v>
      </c>
      <c r="G87" s="94">
        <f t="shared" si="9"/>
        <v>12199.75375569029</v>
      </c>
      <c r="H87" s="94">
        <f t="shared" si="9"/>
        <v>9459.1507744002702</v>
      </c>
      <c r="I87" s="94">
        <f t="shared" si="9"/>
        <v>39754.046345477902</v>
      </c>
      <c r="J87" s="94">
        <f t="shared" si="9"/>
        <v>-7682.6756532895761</v>
      </c>
      <c r="K87" s="94">
        <f t="shared" si="9"/>
        <v>-38001.581930692002</v>
      </c>
      <c r="L87" s="94">
        <f t="shared" si="9"/>
        <v>66054.62190810639</v>
      </c>
      <c r="M87" s="55"/>
    </row>
    <row r="88" spans="1:13" x14ac:dyDescent="0.2">
      <c r="A88" s="117"/>
      <c r="B88" s="98"/>
      <c r="C88" s="98"/>
      <c r="D88" s="98"/>
      <c r="E88" s="98"/>
      <c r="F88" s="98"/>
      <c r="G88" s="98"/>
      <c r="H88" s="98"/>
      <c r="I88" s="98"/>
      <c r="J88" s="98"/>
      <c r="K88" s="98"/>
      <c r="L88" s="98"/>
      <c r="M88" s="55"/>
    </row>
    <row r="89" spans="1:13" x14ac:dyDescent="0.2">
      <c r="A89" s="117"/>
      <c r="B89" s="98"/>
      <c r="C89" s="98"/>
      <c r="D89" s="98"/>
      <c r="E89" s="98"/>
      <c r="F89" s="98"/>
      <c r="G89" s="98"/>
      <c r="H89" s="98"/>
      <c r="I89" s="98"/>
      <c r="J89" s="98"/>
      <c r="K89" s="98"/>
      <c r="L89" s="98"/>
      <c r="M89" s="55"/>
    </row>
    <row r="90" spans="1:13" x14ac:dyDescent="0.2">
      <c r="A90" s="117"/>
      <c r="B90" s="98"/>
      <c r="C90" s="98"/>
      <c r="D90" s="98"/>
      <c r="E90" s="98"/>
      <c r="F90" s="98"/>
      <c r="G90" s="98"/>
      <c r="H90" s="98"/>
      <c r="I90" s="98"/>
      <c r="J90" s="98"/>
      <c r="K90" s="98"/>
      <c r="L90" s="98"/>
      <c r="M90" s="55"/>
    </row>
    <row r="91" spans="1:13" x14ac:dyDescent="0.2">
      <c r="A91" s="117"/>
      <c r="B91" s="98"/>
      <c r="C91" s="98"/>
      <c r="D91" s="98"/>
      <c r="E91" s="98"/>
      <c r="F91" s="98"/>
      <c r="G91" s="98"/>
      <c r="H91" s="98"/>
      <c r="I91" s="98"/>
      <c r="J91" s="98"/>
      <c r="K91" s="98"/>
      <c r="L91" s="98"/>
      <c r="M91" s="55"/>
    </row>
    <row r="92" spans="1:13" x14ac:dyDescent="0.2">
      <c r="A92" s="92"/>
      <c r="B92" s="91"/>
      <c r="C92" s="91"/>
      <c r="D92" s="91"/>
      <c r="E92" s="91"/>
      <c r="F92" s="91"/>
      <c r="G92" s="91"/>
      <c r="H92" s="91"/>
      <c r="I92" s="91"/>
      <c r="J92" s="91"/>
      <c r="K92" s="91"/>
      <c r="L92" s="91" t="s">
        <v>6</v>
      </c>
      <c r="M92" s="55"/>
    </row>
    <row r="93" spans="1:13" x14ac:dyDescent="0.2">
      <c r="A93" s="118"/>
      <c r="B93" s="90"/>
      <c r="C93" s="90"/>
      <c r="D93" s="90"/>
      <c r="E93" s="177"/>
      <c r="F93" s="174" t="s">
        <v>536</v>
      </c>
      <c r="G93" s="177"/>
      <c r="H93" s="90"/>
      <c r="I93" s="90"/>
      <c r="J93" s="90"/>
      <c r="K93" s="90"/>
      <c r="L93" s="90"/>
      <c r="M93" s="55"/>
    </row>
    <row r="94" spans="1:13" x14ac:dyDescent="0.2">
      <c r="A94" s="55"/>
      <c r="B94" s="55"/>
      <c r="C94" s="55"/>
      <c r="D94" s="55"/>
      <c r="E94" s="177"/>
      <c r="F94" s="174" t="s">
        <v>537</v>
      </c>
      <c r="G94" s="177"/>
      <c r="H94" s="117"/>
      <c r="I94" s="117"/>
      <c r="J94" s="55"/>
      <c r="K94" s="55"/>
      <c r="L94" s="55"/>
      <c r="M94" s="55"/>
    </row>
    <row r="95" spans="1:13" x14ac:dyDescent="0.2">
      <c r="A95" s="55"/>
      <c r="B95" s="55"/>
      <c r="C95" s="55"/>
      <c r="D95" s="55"/>
      <c r="E95" s="177"/>
      <c r="F95" s="174" t="s">
        <v>0</v>
      </c>
      <c r="G95" s="177"/>
      <c r="H95" s="117"/>
      <c r="I95" s="117"/>
      <c r="J95" s="55"/>
      <c r="K95" s="55"/>
      <c r="L95" s="55"/>
      <c r="M95" s="55"/>
    </row>
    <row r="96" spans="1:13" x14ac:dyDescent="0.2">
      <c r="A96" s="55"/>
      <c r="B96" s="55"/>
      <c r="C96" s="55"/>
      <c r="D96" s="55"/>
      <c r="E96" s="116"/>
      <c r="F96" s="115" t="s">
        <v>378</v>
      </c>
      <c r="G96" s="117"/>
      <c r="H96" s="117"/>
      <c r="I96" s="117"/>
      <c r="J96" s="55"/>
      <c r="K96" s="55"/>
      <c r="L96" s="55"/>
      <c r="M96" s="55"/>
    </row>
    <row r="97" spans="1:16" x14ac:dyDescent="0.2">
      <c r="A97" s="55"/>
      <c r="B97" s="55"/>
      <c r="C97" s="55"/>
      <c r="D97" s="55"/>
      <c r="E97" s="116"/>
      <c r="F97" s="115" t="str">
        <f>E5</f>
        <v>After Eighteenth  Year</v>
      </c>
      <c r="G97" s="117"/>
      <c r="H97" s="117"/>
      <c r="I97" s="117"/>
      <c r="J97" s="55"/>
      <c r="K97" s="55"/>
      <c r="L97" s="55"/>
      <c r="M97" s="55"/>
    </row>
    <row r="98" spans="1:16" x14ac:dyDescent="0.2">
      <c r="A98" s="55"/>
      <c r="B98" s="55"/>
      <c r="C98" s="55"/>
      <c r="D98" s="55"/>
      <c r="E98" s="55"/>
      <c r="F98" s="55"/>
      <c r="G98" s="55"/>
      <c r="H98" s="55"/>
      <c r="I98" s="55"/>
      <c r="J98" s="55"/>
      <c r="K98" s="55"/>
      <c r="L98" s="55"/>
      <c r="M98" s="55"/>
    </row>
    <row r="99" spans="1:16" x14ac:dyDescent="0.2">
      <c r="A99" s="114" t="s">
        <v>81</v>
      </c>
      <c r="C99" s="113"/>
      <c r="D99" s="113"/>
      <c r="E99" s="117"/>
      <c r="F99" s="117"/>
      <c r="G99" s="117"/>
      <c r="H99" s="117"/>
      <c r="I99" s="117"/>
      <c r="J99" s="117"/>
      <c r="K99" s="117"/>
      <c r="L99" s="117"/>
      <c r="M99" s="39"/>
    </row>
    <row r="100" spans="1:16" x14ac:dyDescent="0.2">
      <c r="A100" s="117"/>
      <c r="B100" s="117"/>
      <c r="C100" s="117"/>
      <c r="D100" s="117"/>
      <c r="E100" s="117"/>
      <c r="F100" s="117"/>
      <c r="G100" s="116"/>
      <c r="H100" s="116" t="s">
        <v>6</v>
      </c>
      <c r="I100" s="117"/>
      <c r="J100" s="115" t="s">
        <v>330</v>
      </c>
      <c r="K100" s="116" t="s">
        <v>6</v>
      </c>
      <c r="L100" s="117"/>
      <c r="M100" s="39"/>
    </row>
    <row r="101" spans="1:16" x14ac:dyDescent="0.2">
      <c r="A101" s="89"/>
      <c r="B101" s="111" t="s">
        <v>14</v>
      </c>
      <c r="C101" s="111" t="s">
        <v>15</v>
      </c>
      <c r="D101" s="111" t="s">
        <v>16</v>
      </c>
      <c r="E101" s="111" t="s">
        <v>18</v>
      </c>
      <c r="F101" s="111" t="s">
        <v>19</v>
      </c>
      <c r="G101" s="111" t="s">
        <v>20</v>
      </c>
      <c r="H101" s="111" t="s">
        <v>21</v>
      </c>
      <c r="I101" s="111" t="s">
        <v>527</v>
      </c>
      <c r="J101" s="111" t="s">
        <v>528</v>
      </c>
      <c r="K101" s="111" t="s">
        <v>333</v>
      </c>
      <c r="L101" s="111" t="s">
        <v>84</v>
      </c>
      <c r="M101" s="115"/>
      <c r="N101" s="115"/>
      <c r="O101" s="115"/>
      <c r="P101" s="115"/>
    </row>
    <row r="102" spans="1:16" x14ac:dyDescent="0.2">
      <c r="A102" s="110" t="s">
        <v>9</v>
      </c>
      <c r="B102" s="116"/>
      <c r="C102" s="116"/>
      <c r="D102" s="116"/>
      <c r="E102" s="116"/>
      <c r="F102" s="116"/>
      <c r="G102" s="116"/>
      <c r="H102" s="116"/>
      <c r="I102" s="116"/>
      <c r="J102" s="116"/>
      <c r="K102" s="116"/>
      <c r="L102" s="116"/>
      <c r="M102" s="116"/>
      <c r="N102" s="116"/>
      <c r="O102" s="39"/>
      <c r="P102" s="39"/>
    </row>
    <row r="103" spans="1:16" x14ac:dyDescent="0.2">
      <c r="A103" s="106" t="s">
        <v>565</v>
      </c>
      <c r="B103" s="108">
        <f>'[16]Revised_MF for SP'!$DG$7*B$117</f>
        <v>20.72449998179999</v>
      </c>
      <c r="C103" s="108">
        <f>'[16]Revised_MF for SP'!$DG$7*C$117</f>
        <v>18.115786666552644</v>
      </c>
      <c r="D103" s="108">
        <f>'[16]Revised_MF for SP'!$DG$7*D$117</f>
        <v>24.420102551263991</v>
      </c>
      <c r="E103" s="108">
        <f>'[16]Revised_MF for SP'!$DG$7*E$117</f>
        <v>0.94161204008478683</v>
      </c>
      <c r="F103" s="108">
        <f>'[16]Revised_MF for SP'!$DG$7*F$117</f>
        <v>2.1739365423692294</v>
      </c>
      <c r="G103" s="108">
        <f>'[16]Revised_MF for SP'!$DG$7*G$117</f>
        <v>2.6086606372687071</v>
      </c>
      <c r="H103" s="108">
        <f>'[16]Revised_MF for SP'!$DG$7*H$117</f>
        <v>0.65216515931717678</v>
      </c>
      <c r="I103" s="108">
        <f>'[16]Revised_MF for SP'!$DG$7*I$117</f>
        <v>1.0144440180631813</v>
      </c>
      <c r="J103" s="108">
        <f>'[16]Revised_MF for SP'!$DG$7*J$117</f>
        <v>0.36233153672464502</v>
      </c>
      <c r="K103" s="108">
        <f>'[16]Revised_MF for SP'!$DG$7*K$117</f>
        <v>1.4492207909412991</v>
      </c>
      <c r="L103" s="108">
        <f t="shared" ref="L103:L114" si="10">SUM(B103:K103)</f>
        <v>72.462759924385665</v>
      </c>
      <c r="M103" s="108"/>
      <c r="N103" s="109"/>
      <c r="O103" s="38"/>
      <c r="P103" s="38"/>
    </row>
    <row r="104" spans="1:16" x14ac:dyDescent="0.2">
      <c r="A104" s="106" t="s">
        <v>553</v>
      </c>
      <c r="B104" s="108">
        <f>'[16]Revised_MF for SP'!$DH$7*B$117</f>
        <v>20.72449998179999</v>
      </c>
      <c r="C104" s="108">
        <f>'[16]Revised_MF for SP'!$DH$7*C$117</f>
        <v>18.115786666552644</v>
      </c>
      <c r="D104" s="108">
        <f>'[16]Revised_MF for SP'!$DH$7*D$117</f>
        <v>24.420102551263991</v>
      </c>
      <c r="E104" s="108">
        <f>'[16]Revised_MF for SP'!$DH$7*E$117</f>
        <v>0.94161204008478683</v>
      </c>
      <c r="F104" s="108">
        <f>'[16]Revised_MF for SP'!$DH$7*F$117</f>
        <v>2.1739365423692294</v>
      </c>
      <c r="G104" s="108">
        <f>'[16]Revised_MF for SP'!$DH$7*G$117</f>
        <v>2.6086606372687071</v>
      </c>
      <c r="H104" s="108">
        <f>'[16]Revised_MF for SP'!$DH$7*H$117</f>
        <v>0.65216515931717678</v>
      </c>
      <c r="I104" s="108">
        <f>'[16]Revised_MF for SP'!$DH$7*I$117</f>
        <v>1.0144440180631813</v>
      </c>
      <c r="J104" s="108">
        <f>'[16]Revised_MF for SP'!$DH$7*J$117</f>
        <v>0.36233153672464502</v>
      </c>
      <c r="K104" s="108">
        <f>'[16]Revised_MF for SP'!$DH$7*K$117</f>
        <v>1.4492207909412991</v>
      </c>
      <c r="L104" s="108">
        <f t="shared" si="10"/>
        <v>72.462759924385665</v>
      </c>
      <c r="M104" s="108"/>
      <c r="N104" s="109"/>
      <c r="O104" s="38"/>
      <c r="P104" s="38"/>
    </row>
    <row r="105" spans="1:16" x14ac:dyDescent="0.2">
      <c r="A105" s="117" t="s">
        <v>37</v>
      </c>
      <c r="B105" s="108">
        <f>'[16]Revised_MF for SP'!$DI$7*B$117</f>
        <v>18.840454528909081</v>
      </c>
      <c r="C105" s="108">
        <f>'[16]Revised_MF for SP'!$DI$7*C$117</f>
        <v>16.468896969593313</v>
      </c>
      <c r="D105" s="108">
        <f>'[16]Revised_MF for SP'!$DI$7*D$117</f>
        <v>22.20009322842181</v>
      </c>
      <c r="E105" s="108">
        <f>'[16]Revised_MF for SP'!$DI$7*E$117</f>
        <v>0.85601094553162427</v>
      </c>
      <c r="F105" s="108">
        <f>'[16]Revised_MF for SP'!$DI$7*F$117</f>
        <v>1.9763059476083904</v>
      </c>
      <c r="G105" s="108">
        <f>'[16]Revised_MF for SP'!$DI$7*G$117</f>
        <v>2.3715096702442793</v>
      </c>
      <c r="H105" s="108">
        <f>'[16]Revised_MF for SP'!$DI$7*H$117</f>
        <v>0.59287741756106982</v>
      </c>
      <c r="I105" s="108">
        <f>'[16]Revised_MF for SP'!$DI$7*I$117</f>
        <v>0.92222183460289198</v>
      </c>
      <c r="J105" s="108">
        <f>'[16]Revised_MF for SP'!$DI$7*J$117</f>
        <v>0.32939230611331366</v>
      </c>
      <c r="K105" s="108">
        <f>'[16]Revised_MF for SP'!$DI$7*K$117</f>
        <v>1.3174734463102717</v>
      </c>
      <c r="L105" s="108">
        <f t="shared" si="10"/>
        <v>65.875236294896041</v>
      </c>
      <c r="M105" s="108"/>
      <c r="N105" s="109"/>
      <c r="O105" s="38"/>
      <c r="P105" s="38"/>
    </row>
    <row r="106" spans="1:16" x14ac:dyDescent="0.2">
      <c r="A106" s="104" t="s">
        <v>329</v>
      </c>
      <c r="B106" s="108">
        <f>'[16]Revised_MF for SP'!$DJ$7*B$117</f>
        <v>21.666522708245441</v>
      </c>
      <c r="C106" s="108">
        <f>'[16]Revised_MF for SP'!$DJ$7*C$117</f>
        <v>18.939231515032308</v>
      </c>
      <c r="D106" s="108">
        <f>'[16]Revised_MF for SP'!$DJ$7*D$117</f>
        <v>25.530107212685081</v>
      </c>
      <c r="E106" s="108">
        <f>'[16]Revised_MF for SP'!$DJ$7*E$117</f>
        <v>0.98441258736136794</v>
      </c>
      <c r="F106" s="108">
        <f>'[16]Revised_MF for SP'!$DJ$7*F$117</f>
        <v>2.2727518397496489</v>
      </c>
      <c r="G106" s="108">
        <f>'[16]Revised_MF for SP'!$DJ$7*G$117</f>
        <v>2.7272361207809208</v>
      </c>
      <c r="H106" s="108">
        <f>'[16]Revised_MF for SP'!$DJ$7*H$117</f>
        <v>0.6818090301952302</v>
      </c>
      <c r="I106" s="108">
        <f>'[16]Revised_MF for SP'!$DJ$7*I$117</f>
        <v>1.0605551097933259</v>
      </c>
      <c r="J106" s="108">
        <f>'[16]Revised_MF for SP'!$DJ$7*J$117</f>
        <v>0.37880115203031067</v>
      </c>
      <c r="K106" s="108">
        <f>'[16]Revised_MF for SP'!$DJ$7*K$117</f>
        <v>1.5150944632568126</v>
      </c>
      <c r="L106" s="108">
        <f t="shared" si="10"/>
        <v>75.75652173913042</v>
      </c>
      <c r="M106" s="108"/>
      <c r="N106" s="109"/>
      <c r="O106" s="38"/>
      <c r="P106" s="38"/>
    </row>
    <row r="107" spans="1:16" x14ac:dyDescent="0.2">
      <c r="A107" s="117" t="s">
        <v>95</v>
      </c>
      <c r="B107" s="108">
        <f>'[16]Revised_MF for SP'!$DK$7*B$117</f>
        <v>18.840454528909081</v>
      </c>
      <c r="C107" s="108">
        <f>'[16]Revised_MF for SP'!$DK$7*C$117</f>
        <v>16.468896969593313</v>
      </c>
      <c r="D107" s="108">
        <f>'[16]Revised_MF for SP'!$DK$7*D$117</f>
        <v>22.20009322842181</v>
      </c>
      <c r="E107" s="108">
        <f>'[16]Revised_MF for SP'!$DK$7*E$117</f>
        <v>0.85601094553162427</v>
      </c>
      <c r="F107" s="108">
        <f>'[16]Revised_MF for SP'!$DK$7*F$117</f>
        <v>1.9763059476083904</v>
      </c>
      <c r="G107" s="108">
        <f>'[16]Revised_MF for SP'!$DK$7*G$117</f>
        <v>2.3715096702442793</v>
      </c>
      <c r="H107" s="108">
        <f>'[16]Revised_MF for SP'!$DK$7*H$117</f>
        <v>0.59287741756106982</v>
      </c>
      <c r="I107" s="108">
        <f>'[16]Revised_MF for SP'!$DK$7*I$117</f>
        <v>0.92222183460289198</v>
      </c>
      <c r="J107" s="108">
        <f>'[16]Revised_MF for SP'!$DK$7*J$117</f>
        <v>0.32939230611331366</v>
      </c>
      <c r="K107" s="108">
        <f>'[16]Revised_MF for SP'!$DK$7*K$117</f>
        <v>1.3174734463102717</v>
      </c>
      <c r="L107" s="108">
        <f t="shared" si="10"/>
        <v>65.875236294896041</v>
      </c>
      <c r="M107" s="108"/>
      <c r="N107" s="108"/>
      <c r="O107" s="38"/>
      <c r="P107" s="38"/>
    </row>
    <row r="108" spans="1:16" x14ac:dyDescent="0.2">
      <c r="A108" s="117" t="s">
        <v>40</v>
      </c>
      <c r="B108" s="108">
        <f>'[16]Revised_MF for SP'!$DL$7*B$117</f>
        <v>21.666522708245441</v>
      </c>
      <c r="C108" s="108">
        <f>'[16]Revised_MF for SP'!$DL$7*C$117</f>
        <v>18.939231515032308</v>
      </c>
      <c r="D108" s="108">
        <f>'[16]Revised_MF for SP'!$DL$7*D$117</f>
        <v>25.530107212685081</v>
      </c>
      <c r="E108" s="108">
        <f>'[16]Revised_MF for SP'!$DL$7*E$117</f>
        <v>0.98441258736136794</v>
      </c>
      <c r="F108" s="108">
        <f>'[16]Revised_MF for SP'!$DL$7*F$117</f>
        <v>2.2727518397496489</v>
      </c>
      <c r="G108" s="108">
        <f>'[16]Revised_MF for SP'!$DL$7*G$117</f>
        <v>2.7272361207809208</v>
      </c>
      <c r="H108" s="108">
        <f>'[16]Revised_MF for SP'!$DL$7*H$117</f>
        <v>0.6818090301952302</v>
      </c>
      <c r="I108" s="108">
        <f>'[16]Revised_MF for SP'!$DL$7*I$117</f>
        <v>1.0605551097933259</v>
      </c>
      <c r="J108" s="108">
        <f>'[16]Revised_MF for SP'!$DL$7*J$117</f>
        <v>0.37880115203031067</v>
      </c>
      <c r="K108" s="108">
        <f>'[16]Revised_MF for SP'!$DL$7*K$117</f>
        <v>1.5150944632568126</v>
      </c>
      <c r="L108" s="108">
        <f t="shared" si="10"/>
        <v>75.75652173913042</v>
      </c>
      <c r="M108" s="108"/>
      <c r="N108" s="108"/>
      <c r="O108" s="38"/>
      <c r="P108" s="38"/>
    </row>
    <row r="109" spans="1:16" x14ac:dyDescent="0.2">
      <c r="A109" s="117" t="s">
        <v>41</v>
      </c>
      <c r="B109" s="108">
        <f>'[16]Revised_MF for SP'!$DM$7*B$117</f>
        <v>20.72449998179999</v>
      </c>
      <c r="C109" s="108">
        <f>'[16]Revised_MF for SP'!$DM$7*C$117</f>
        <v>18.115786666552644</v>
      </c>
      <c r="D109" s="108">
        <f>'[16]Revised_MF for SP'!$DM$7*D$117</f>
        <v>24.420102551263991</v>
      </c>
      <c r="E109" s="108">
        <f>'[16]Revised_MF for SP'!$DM$7*E$117</f>
        <v>0.94161204008478683</v>
      </c>
      <c r="F109" s="108">
        <f>'[16]Revised_MF for SP'!$DM$7*F$117</f>
        <v>2.1739365423692294</v>
      </c>
      <c r="G109" s="108">
        <f>'[16]Revised_MF for SP'!$DM$7*G$117</f>
        <v>2.6086606372687071</v>
      </c>
      <c r="H109" s="108">
        <f>'[16]Revised_MF for SP'!$DM$7*H$117</f>
        <v>0.65216515931717678</v>
      </c>
      <c r="I109" s="108">
        <f>'[16]Revised_MF for SP'!$DM$7*I$117</f>
        <v>1.0144440180631813</v>
      </c>
      <c r="J109" s="108">
        <f>'[16]Revised_MF for SP'!$DM$7*J$117</f>
        <v>0.36233153672464502</v>
      </c>
      <c r="K109" s="108">
        <f>'[16]Revised_MF for SP'!$DM$7*K$117</f>
        <v>1.4492207909412991</v>
      </c>
      <c r="L109" s="108">
        <f t="shared" si="10"/>
        <v>72.462759924385665</v>
      </c>
      <c r="M109" s="108"/>
      <c r="N109" s="108"/>
      <c r="O109" s="38"/>
      <c r="P109" s="38"/>
    </row>
    <row r="110" spans="1:16" x14ac:dyDescent="0.2">
      <c r="A110" s="117" t="s">
        <v>42</v>
      </c>
      <c r="B110" s="108">
        <f>'[16]Revised_MF for SP'!$DN$7*B$117</f>
        <v>19.782477255354536</v>
      </c>
      <c r="C110" s="108">
        <f>'[16]Revised_MF for SP'!$DN$7*C$117</f>
        <v>17.29234181807298</v>
      </c>
      <c r="D110" s="108">
        <f>'[16]Revised_MF for SP'!$DN$7*D$117</f>
        <v>23.310097889842904</v>
      </c>
      <c r="E110" s="108">
        <f>'[16]Revised_MF for SP'!$DN$7*E$117</f>
        <v>0.8988114928082056</v>
      </c>
      <c r="F110" s="108">
        <f>'[16]Revised_MF for SP'!$DN$7*F$117</f>
        <v>2.0751212449888103</v>
      </c>
      <c r="G110" s="108">
        <f>'[16]Revised_MF for SP'!$DN$7*G$117</f>
        <v>2.4900851537564934</v>
      </c>
      <c r="H110" s="108">
        <f>'[16]Revised_MF for SP'!$DN$7*H$117</f>
        <v>0.62252128843912335</v>
      </c>
      <c r="I110" s="108">
        <f>'[16]Revised_MF for SP'!$DN$7*I$117</f>
        <v>0.96833292633303669</v>
      </c>
      <c r="J110" s="108">
        <f>'[16]Revised_MF for SP'!$DN$7*J$117</f>
        <v>0.34586192141897937</v>
      </c>
      <c r="K110" s="108">
        <f>'[16]Revised_MF for SP'!$DN$7*K$117</f>
        <v>1.3833471186257855</v>
      </c>
      <c r="L110" s="108">
        <f t="shared" si="10"/>
        <v>69.168998109640853</v>
      </c>
      <c r="M110" s="108"/>
      <c r="N110" s="108"/>
      <c r="O110" s="38"/>
      <c r="P110" s="38"/>
    </row>
    <row r="111" spans="1:16" x14ac:dyDescent="0.2">
      <c r="A111" s="118" t="s">
        <v>43</v>
      </c>
      <c r="B111" s="108">
        <f>'[16]Revised_MF for SP'!$DO$7*B$117</f>
        <v>21.666522708245441</v>
      </c>
      <c r="C111" s="108">
        <f>'[16]Revised_MF for SP'!$DO$7*C$117</f>
        <v>18.939231515032308</v>
      </c>
      <c r="D111" s="108">
        <f>'[16]Revised_MF for SP'!$DO$7*D$117</f>
        <v>25.530107212685081</v>
      </c>
      <c r="E111" s="108">
        <f>'[16]Revised_MF for SP'!$DO$7*E$117</f>
        <v>0.98441258736136794</v>
      </c>
      <c r="F111" s="108">
        <f>'[16]Revised_MF for SP'!$DO$7*F$117</f>
        <v>2.2727518397496489</v>
      </c>
      <c r="G111" s="108">
        <f>'[16]Revised_MF for SP'!$DO$7*G$117</f>
        <v>2.7272361207809208</v>
      </c>
      <c r="H111" s="108">
        <f>'[16]Revised_MF for SP'!$DO$7*H$117</f>
        <v>0.6818090301952302</v>
      </c>
      <c r="I111" s="108">
        <f>'[16]Revised_MF for SP'!$DO$7*I$117</f>
        <v>1.0605551097933259</v>
      </c>
      <c r="J111" s="108">
        <f>'[16]Revised_MF for SP'!$DO$7*J$117</f>
        <v>0.37880115203031067</v>
      </c>
      <c r="K111" s="108">
        <f>'[16]Revised_MF for SP'!$DO$7*K$117</f>
        <v>1.5150944632568126</v>
      </c>
      <c r="L111" s="108">
        <f t="shared" si="10"/>
        <v>75.75652173913042</v>
      </c>
      <c r="M111" s="108"/>
      <c r="N111" s="109"/>
      <c r="O111" s="38"/>
      <c r="P111" s="38"/>
    </row>
    <row r="112" spans="1:16" x14ac:dyDescent="0.2">
      <c r="A112" s="117" t="s">
        <v>44</v>
      </c>
      <c r="B112" s="108">
        <f>'[16]Revised_MF for SP'!$DP$7*B$117</f>
        <v>19.782477255354536</v>
      </c>
      <c r="C112" s="108">
        <f>'[16]Revised_MF for SP'!$DP$7*C$117</f>
        <v>17.29234181807298</v>
      </c>
      <c r="D112" s="108">
        <f>'[16]Revised_MF for SP'!$DP$7*D$117</f>
        <v>23.310097889842904</v>
      </c>
      <c r="E112" s="108">
        <f>'[16]Revised_MF for SP'!$DP$7*E$117</f>
        <v>0.8988114928082056</v>
      </c>
      <c r="F112" s="108">
        <f>'[16]Revised_MF for SP'!$DP$7*F$117</f>
        <v>2.0751212449888103</v>
      </c>
      <c r="G112" s="108">
        <f>'[16]Revised_MF for SP'!$DP$7*G$117</f>
        <v>2.4900851537564934</v>
      </c>
      <c r="H112" s="108">
        <f>'[16]Revised_MF for SP'!$DP$7*H$117</f>
        <v>0.62252128843912335</v>
      </c>
      <c r="I112" s="108">
        <f>'[16]Revised_MF for SP'!$DP$7*I$117</f>
        <v>0.96833292633303669</v>
      </c>
      <c r="J112" s="108">
        <f>'[16]Revised_MF for SP'!$DP$7*J$117</f>
        <v>0.34586192141897937</v>
      </c>
      <c r="K112" s="108">
        <f>'[16]Revised_MF for SP'!$DP$7*K$117</f>
        <v>1.3833471186257855</v>
      </c>
      <c r="L112" s="108">
        <f t="shared" si="10"/>
        <v>69.168998109640853</v>
      </c>
      <c r="M112" s="108"/>
      <c r="N112" s="109"/>
      <c r="O112" s="38"/>
      <c r="P112" s="38"/>
    </row>
    <row r="113" spans="1:16" x14ac:dyDescent="0.2">
      <c r="A113" s="117" t="s">
        <v>509</v>
      </c>
      <c r="B113" s="108">
        <f>'[16]Revised_MF for SP'!$DQ$7*B$117</f>
        <v>20.72449998179999</v>
      </c>
      <c r="C113" s="108">
        <f>'[16]Revised_MF for SP'!$DQ$7*C$117</f>
        <v>18.115786666552644</v>
      </c>
      <c r="D113" s="108">
        <f>'[16]Revised_MF for SP'!$DQ$7*D$117</f>
        <v>24.420102551263991</v>
      </c>
      <c r="E113" s="108">
        <f>'[16]Revised_MF for SP'!$DQ$7*E$117</f>
        <v>0.94161204008478683</v>
      </c>
      <c r="F113" s="108">
        <f>'[16]Revised_MF for SP'!$DQ$7*F$117</f>
        <v>2.1739365423692294</v>
      </c>
      <c r="G113" s="108">
        <f>'[16]Revised_MF for SP'!$DQ$7*G$117</f>
        <v>2.6086606372687071</v>
      </c>
      <c r="H113" s="108">
        <f>'[16]Revised_MF for SP'!$DQ$7*H$117</f>
        <v>0.65216515931717678</v>
      </c>
      <c r="I113" s="108">
        <f>'[16]Revised_MF for SP'!$DQ$7*I$117</f>
        <v>1.0144440180631813</v>
      </c>
      <c r="J113" s="108">
        <f>'[16]Revised_MF for SP'!$DQ$7*J$117</f>
        <v>0.36233153672464502</v>
      </c>
      <c r="K113" s="108">
        <f>'[16]Revised_MF for SP'!$DQ$7*K$117</f>
        <v>1.4492207909412991</v>
      </c>
      <c r="L113" s="108">
        <f t="shared" si="10"/>
        <v>72.462759924385665</v>
      </c>
      <c r="M113" s="108"/>
      <c r="N113" s="109"/>
      <c r="O113" s="38"/>
      <c r="P113" s="38"/>
    </row>
    <row r="114" spans="1:16" x14ac:dyDescent="0.2">
      <c r="A114" s="118" t="s">
        <v>34</v>
      </c>
      <c r="B114" s="96">
        <f>'[16]Revised_MF for SP'!$DR$7*B$117</f>
        <v>20.72449998179999</v>
      </c>
      <c r="C114" s="96">
        <f>'[16]Revised_MF for SP'!$DR$7*C$117</f>
        <v>18.115786666552644</v>
      </c>
      <c r="D114" s="96">
        <f>'[16]Revised_MF for SP'!$DR$7*D$117</f>
        <v>24.420102551263991</v>
      </c>
      <c r="E114" s="96">
        <f>'[16]Revised_MF for SP'!$DR$7*E$117</f>
        <v>0.94161204008478683</v>
      </c>
      <c r="F114" s="96">
        <f>'[16]Revised_MF for SP'!$DR$7*F$117</f>
        <v>2.1739365423692294</v>
      </c>
      <c r="G114" s="96">
        <f>'[16]Revised_MF for SP'!$DR$7*G$117</f>
        <v>2.6086606372687071</v>
      </c>
      <c r="H114" s="96">
        <f>'[16]Revised_MF for SP'!$DR$7*H$117</f>
        <v>0.65216515931717678</v>
      </c>
      <c r="I114" s="96">
        <f>'[16]Revised_MF for SP'!$DR$7*I$117</f>
        <v>1.0144440180631813</v>
      </c>
      <c r="J114" s="96">
        <f>'[16]Revised_MF for SP'!$DR$7*J$117</f>
        <v>0.36233153672464502</v>
      </c>
      <c r="K114" s="96">
        <f>'[16]Revised_MF for SP'!$DR$7*K$117</f>
        <v>1.4492207909412991</v>
      </c>
      <c r="L114" s="96">
        <f t="shared" si="10"/>
        <v>72.462759924385665</v>
      </c>
      <c r="M114" s="108"/>
      <c r="N114" s="109"/>
      <c r="O114" s="38"/>
      <c r="P114" s="38"/>
    </row>
    <row r="115" spans="1:16" x14ac:dyDescent="0.2">
      <c r="A115" s="112" t="s">
        <v>22</v>
      </c>
      <c r="B115" s="103">
        <f t="shared" ref="B115:L115" si="11">SUM(B103:B114)</f>
        <v>245.86793160226352</v>
      </c>
      <c r="C115" s="103">
        <f t="shared" si="11"/>
        <v>214.91910545319271</v>
      </c>
      <c r="D115" s="103">
        <f t="shared" si="11"/>
        <v>289.71121663090463</v>
      </c>
      <c r="E115" s="103">
        <f t="shared" si="11"/>
        <v>11.170942839187695</v>
      </c>
      <c r="F115" s="103">
        <f t="shared" si="11"/>
        <v>25.790792616289497</v>
      </c>
      <c r="G115" s="103">
        <f t="shared" si="11"/>
        <v>30.948201196687837</v>
      </c>
      <c r="H115" s="103">
        <f t="shared" si="11"/>
        <v>7.7370502991719592</v>
      </c>
      <c r="I115" s="103">
        <f t="shared" si="11"/>
        <v>12.034994941567739</v>
      </c>
      <c r="J115" s="103">
        <f t="shared" si="11"/>
        <v>4.2985695947787432</v>
      </c>
      <c r="K115" s="103">
        <f t="shared" si="11"/>
        <v>17.193028474349045</v>
      </c>
      <c r="L115" s="103">
        <f t="shared" si="11"/>
        <v>859.67183364839332</v>
      </c>
      <c r="M115" s="103"/>
      <c r="N115" s="103"/>
      <c r="O115" s="88"/>
      <c r="P115" s="88"/>
    </row>
    <row r="116" spans="1:16" x14ac:dyDescent="0.2">
      <c r="A116" s="117"/>
      <c r="B116" s="108"/>
      <c r="C116" s="108"/>
      <c r="D116" s="108"/>
      <c r="E116" s="108"/>
      <c r="F116" s="108"/>
      <c r="G116" s="108"/>
      <c r="H116" s="108"/>
      <c r="I116" s="108"/>
      <c r="J116" s="108"/>
      <c r="K116" s="108"/>
      <c r="L116" s="108"/>
      <c r="M116" s="108"/>
      <c r="N116" s="116"/>
      <c r="O116" s="39"/>
      <c r="P116" s="39"/>
    </row>
    <row r="117" spans="1:16" x14ac:dyDescent="0.2">
      <c r="A117" s="117" t="s">
        <v>117</v>
      </c>
      <c r="B117" s="102">
        <f>B25</f>
        <v>0.28600207890819851</v>
      </c>
      <c r="C117" s="102">
        <f t="shared" ref="C117:K117" si="12">C25</f>
        <v>0.25000133427785987</v>
      </c>
      <c r="D117" s="102">
        <f t="shared" si="12"/>
        <v>0.33700210393236729</v>
      </c>
      <c r="E117" s="102">
        <f t="shared" si="12"/>
        <v>1.2994426945197118E-2</v>
      </c>
      <c r="F117" s="102">
        <f t="shared" si="12"/>
        <v>3.0000741686318822E-2</v>
      </c>
      <c r="G117" s="102">
        <f t="shared" si="12"/>
        <v>3.600001766411913E-2</v>
      </c>
      <c r="H117" s="102">
        <f t="shared" si="12"/>
        <v>9.0000044160297825E-3</v>
      </c>
      <c r="I117" s="102">
        <f t="shared" si="12"/>
        <v>1.3999522225233292E-2</v>
      </c>
      <c r="J117" s="102">
        <f t="shared" si="12"/>
        <v>5.0002447754230626E-3</v>
      </c>
      <c r="K117" s="102">
        <f t="shared" si="12"/>
        <v>1.9999525169253147E-2</v>
      </c>
      <c r="L117" s="102">
        <f>SUM(B117:K117)</f>
        <v>1</v>
      </c>
      <c r="M117" s="102"/>
      <c r="N117" s="102"/>
      <c r="O117" s="102"/>
      <c r="P117" s="87"/>
    </row>
    <row r="118" spans="1:16" x14ac:dyDescent="0.2">
      <c r="A118" s="117"/>
      <c r="B118" s="116"/>
      <c r="C118" s="116"/>
      <c r="D118" s="116"/>
      <c r="E118" s="116"/>
      <c r="F118" s="116"/>
      <c r="G118" s="116"/>
      <c r="H118" s="116"/>
      <c r="I118" s="116"/>
      <c r="J118" s="116"/>
      <c r="K118" s="116"/>
      <c r="L118" s="116"/>
      <c r="M118" s="116"/>
      <c r="N118" s="116"/>
      <c r="O118" s="116"/>
      <c r="P118" s="39"/>
    </row>
    <row r="119" spans="1:16" x14ac:dyDescent="0.2">
      <c r="A119" s="117"/>
      <c r="B119" s="117"/>
      <c r="C119" s="117"/>
      <c r="D119" s="117"/>
      <c r="E119" s="117"/>
      <c r="F119" s="117"/>
      <c r="G119" s="116"/>
      <c r="H119" s="116" t="s">
        <v>6</v>
      </c>
      <c r="I119" s="117"/>
      <c r="J119" s="115" t="s">
        <v>330</v>
      </c>
      <c r="K119" s="55"/>
      <c r="L119" s="55"/>
    </row>
    <row r="120" spans="1:16" x14ac:dyDescent="0.2">
      <c r="A120" s="117"/>
      <c r="B120" s="111" t="s">
        <v>14</v>
      </c>
      <c r="C120" s="111" t="s">
        <v>15</v>
      </c>
      <c r="D120" s="111" t="s">
        <v>16</v>
      </c>
      <c r="E120" s="111" t="s">
        <v>18</v>
      </c>
      <c r="F120" s="111" t="s">
        <v>19</v>
      </c>
      <c r="G120" s="111" t="s">
        <v>20</v>
      </c>
      <c r="H120" s="111" t="s">
        <v>21</v>
      </c>
      <c r="I120" s="111" t="s">
        <v>527</v>
      </c>
      <c r="J120" s="111" t="s">
        <v>528</v>
      </c>
      <c r="K120" s="111" t="s">
        <v>333</v>
      </c>
      <c r="L120" s="115"/>
      <c r="M120" s="115"/>
      <c r="N120" s="101"/>
      <c r="O120" s="101"/>
      <c r="P120" s="55"/>
    </row>
    <row r="121" spans="1:16" x14ac:dyDescent="0.2">
      <c r="A121" s="100" t="s">
        <v>86</v>
      </c>
      <c r="B121" s="101"/>
      <c r="C121" s="101"/>
      <c r="D121" s="101"/>
      <c r="E121" s="101"/>
      <c r="F121" s="101"/>
      <c r="G121" s="101"/>
      <c r="H121" s="101"/>
      <c r="I121" s="101"/>
      <c r="J121" s="101"/>
      <c r="K121" s="101"/>
      <c r="L121" s="101"/>
      <c r="M121" s="101"/>
      <c r="N121" s="101"/>
      <c r="O121" s="101"/>
      <c r="P121" s="55"/>
    </row>
    <row r="122" spans="1:16" x14ac:dyDescent="0.2">
      <c r="A122" s="106" t="s">
        <v>565</v>
      </c>
      <c r="B122" s="99">
        <f t="shared" ref="B122:K133" si="13">B30</f>
        <v>54.339999999999996</v>
      </c>
      <c r="C122" s="99">
        <f t="shared" si="13"/>
        <v>44.339999999999996</v>
      </c>
      <c r="D122" s="99">
        <f t="shared" si="13"/>
        <v>70.34</v>
      </c>
      <c r="E122" s="99">
        <f t="shared" si="13"/>
        <v>1164.3400000000001</v>
      </c>
      <c r="F122" s="99">
        <f t="shared" si="13"/>
        <v>47.339999999999996</v>
      </c>
      <c r="G122" s="99">
        <f t="shared" si="13"/>
        <v>89.34</v>
      </c>
      <c r="H122" s="99">
        <f t="shared" si="13"/>
        <v>184.33999999999997</v>
      </c>
      <c r="I122" s="99">
        <f t="shared" si="13"/>
        <v>364.34</v>
      </c>
      <c r="J122" s="99">
        <f t="shared" si="13"/>
        <v>-90.66</v>
      </c>
      <c r="K122" s="99">
        <f t="shared" si="13"/>
        <v>-220.66000000000003</v>
      </c>
      <c r="L122" s="99"/>
      <c r="M122" s="99"/>
      <c r="N122" s="99"/>
      <c r="O122" s="99"/>
      <c r="P122" s="55"/>
    </row>
    <row r="123" spans="1:16" x14ac:dyDescent="0.2">
      <c r="A123" s="106" t="s">
        <v>553</v>
      </c>
      <c r="B123" s="99">
        <f t="shared" si="13"/>
        <v>61.339999999999996</v>
      </c>
      <c r="C123" s="99">
        <f t="shared" si="13"/>
        <v>51.339999999999996</v>
      </c>
      <c r="D123" s="99">
        <f t="shared" si="13"/>
        <v>81.34</v>
      </c>
      <c r="E123" s="99">
        <f t="shared" si="13"/>
        <v>1164.3400000000001</v>
      </c>
      <c r="F123" s="99">
        <f t="shared" si="13"/>
        <v>62.339999999999996</v>
      </c>
      <c r="G123" s="99">
        <f t="shared" si="13"/>
        <v>99.339999999999975</v>
      </c>
      <c r="H123" s="99">
        <f t="shared" si="13"/>
        <v>184.33999999999997</v>
      </c>
      <c r="I123" s="99">
        <f t="shared" si="13"/>
        <v>424.34</v>
      </c>
      <c r="J123" s="99">
        <f t="shared" si="13"/>
        <v>-105.66</v>
      </c>
      <c r="K123" s="99">
        <f t="shared" si="13"/>
        <v>-220.66000000000003</v>
      </c>
      <c r="L123" s="99"/>
      <c r="M123" s="99"/>
      <c r="N123" s="99"/>
      <c r="O123" s="99"/>
      <c r="P123" s="55"/>
    </row>
    <row r="124" spans="1:16" x14ac:dyDescent="0.2">
      <c r="A124" s="117" t="s">
        <v>37</v>
      </c>
      <c r="B124" s="99">
        <f t="shared" si="13"/>
        <v>68.34</v>
      </c>
      <c r="C124" s="99">
        <f t="shared" si="13"/>
        <v>54.339999999999996</v>
      </c>
      <c r="D124" s="99">
        <f t="shared" si="13"/>
        <v>91.34</v>
      </c>
      <c r="E124" s="99">
        <f t="shared" si="13"/>
        <v>1264.3400000000001</v>
      </c>
      <c r="F124" s="99">
        <f t="shared" si="13"/>
        <v>62.339999999999996</v>
      </c>
      <c r="G124" s="99">
        <f t="shared" si="13"/>
        <v>119.33999999999997</v>
      </c>
      <c r="H124" s="99">
        <f t="shared" si="13"/>
        <v>204.33999999999997</v>
      </c>
      <c r="I124" s="99">
        <f t="shared" si="13"/>
        <v>444.34</v>
      </c>
      <c r="J124" s="99">
        <f t="shared" si="13"/>
        <v>-105.66</v>
      </c>
      <c r="K124" s="99">
        <f t="shared" si="13"/>
        <v>-220.66000000000003</v>
      </c>
      <c r="L124" s="99"/>
      <c r="M124" s="99"/>
      <c r="N124" s="99"/>
      <c r="O124" s="99"/>
      <c r="P124" s="55"/>
    </row>
    <row r="125" spans="1:16" x14ac:dyDescent="0.2">
      <c r="A125" s="104" t="s">
        <v>329</v>
      </c>
      <c r="B125" s="99">
        <f t="shared" si="13"/>
        <v>75.34</v>
      </c>
      <c r="C125" s="99">
        <f t="shared" si="13"/>
        <v>62.339999999999996</v>
      </c>
      <c r="D125" s="99">
        <f t="shared" si="13"/>
        <v>121.33999999999997</v>
      </c>
      <c r="E125" s="99">
        <f t="shared" si="13"/>
        <v>1304.3400000000001</v>
      </c>
      <c r="F125" s="99">
        <f t="shared" si="13"/>
        <v>82.34</v>
      </c>
      <c r="G125" s="99">
        <f t="shared" si="13"/>
        <v>159.33999999999997</v>
      </c>
      <c r="H125" s="99">
        <f t="shared" si="13"/>
        <v>244.33999999999997</v>
      </c>
      <c r="I125" s="99">
        <f t="shared" si="13"/>
        <v>524.34</v>
      </c>
      <c r="J125" s="99">
        <f t="shared" si="13"/>
        <v>-150.66</v>
      </c>
      <c r="K125" s="99">
        <f t="shared" si="13"/>
        <v>-220.66000000000003</v>
      </c>
      <c r="L125" s="99"/>
      <c r="M125" s="99"/>
      <c r="N125" s="99"/>
      <c r="O125" s="99"/>
      <c r="P125" s="55"/>
    </row>
    <row r="126" spans="1:16" x14ac:dyDescent="0.2">
      <c r="A126" s="117" t="s">
        <v>95</v>
      </c>
      <c r="B126" s="99">
        <f t="shared" si="13"/>
        <v>4.3399999999999963</v>
      </c>
      <c r="C126" s="99">
        <f t="shared" si="13"/>
        <v>-5.6600000000000037</v>
      </c>
      <c r="D126" s="99">
        <f t="shared" si="13"/>
        <v>84.34</v>
      </c>
      <c r="E126" s="99">
        <f t="shared" si="13"/>
        <v>1324.3400000000001</v>
      </c>
      <c r="F126" s="99">
        <f t="shared" si="13"/>
        <v>67.34</v>
      </c>
      <c r="G126" s="99">
        <f t="shared" si="13"/>
        <v>174.33999999999997</v>
      </c>
      <c r="H126" s="99">
        <f t="shared" si="13"/>
        <v>324.33999999999997</v>
      </c>
      <c r="I126" s="99">
        <f t="shared" si="13"/>
        <v>524.34</v>
      </c>
      <c r="J126" s="99">
        <f t="shared" si="13"/>
        <v>-160.66000000000003</v>
      </c>
      <c r="K126" s="99">
        <f t="shared" si="13"/>
        <v>-220.66000000000003</v>
      </c>
      <c r="L126" s="99"/>
      <c r="M126" s="99"/>
      <c r="N126" s="99"/>
      <c r="O126" s="101"/>
      <c r="P126" s="55"/>
    </row>
    <row r="127" spans="1:16" x14ac:dyDescent="0.2">
      <c r="A127" s="117" t="s">
        <v>40</v>
      </c>
      <c r="B127" s="99">
        <f t="shared" si="13"/>
        <v>9.3399999999999963</v>
      </c>
      <c r="C127" s="99">
        <f t="shared" si="13"/>
        <v>-0.66000000000000369</v>
      </c>
      <c r="D127" s="99">
        <f t="shared" si="13"/>
        <v>94.34</v>
      </c>
      <c r="E127" s="99">
        <f t="shared" si="13"/>
        <v>1284.3400000000001</v>
      </c>
      <c r="F127" s="99">
        <f t="shared" si="13"/>
        <v>57.339999999999996</v>
      </c>
      <c r="G127" s="99">
        <f t="shared" si="13"/>
        <v>184.33999999999997</v>
      </c>
      <c r="H127" s="99">
        <f t="shared" si="13"/>
        <v>184.33999999999997</v>
      </c>
      <c r="I127" s="99">
        <f t="shared" si="13"/>
        <v>494.34000000000003</v>
      </c>
      <c r="J127" s="99">
        <f t="shared" si="13"/>
        <v>-160.66000000000003</v>
      </c>
      <c r="K127" s="99">
        <f t="shared" si="13"/>
        <v>-220.66000000000003</v>
      </c>
      <c r="L127" s="99"/>
      <c r="M127" s="99"/>
      <c r="N127" s="99"/>
      <c r="O127" s="101"/>
      <c r="P127" s="55"/>
    </row>
    <row r="128" spans="1:16" x14ac:dyDescent="0.2">
      <c r="A128" s="117" t="s">
        <v>41</v>
      </c>
      <c r="B128" s="99">
        <f t="shared" si="13"/>
        <v>27.339999999999996</v>
      </c>
      <c r="C128" s="99">
        <f t="shared" si="13"/>
        <v>19.339999999999996</v>
      </c>
      <c r="D128" s="99">
        <f t="shared" si="13"/>
        <v>134.33999999999997</v>
      </c>
      <c r="E128" s="99">
        <f t="shared" si="13"/>
        <v>1184.3400000000001</v>
      </c>
      <c r="F128" s="99">
        <f t="shared" si="13"/>
        <v>47.339999999999996</v>
      </c>
      <c r="G128" s="99">
        <f t="shared" si="13"/>
        <v>199.33999999999997</v>
      </c>
      <c r="H128" s="99">
        <f t="shared" si="13"/>
        <v>184.33999999999997</v>
      </c>
      <c r="I128" s="99">
        <f t="shared" si="13"/>
        <v>484.34000000000003</v>
      </c>
      <c r="J128" s="99">
        <f t="shared" si="13"/>
        <v>-165.66000000000003</v>
      </c>
      <c r="K128" s="99">
        <f t="shared" si="13"/>
        <v>-220.66000000000003</v>
      </c>
      <c r="L128" s="99"/>
      <c r="M128" s="99"/>
      <c r="N128" s="99"/>
      <c r="O128" s="101"/>
      <c r="P128" s="55"/>
    </row>
    <row r="129" spans="1:16" x14ac:dyDescent="0.2">
      <c r="A129" s="117" t="s">
        <v>42</v>
      </c>
      <c r="B129" s="99">
        <f t="shared" si="13"/>
        <v>44.339999999999996</v>
      </c>
      <c r="C129" s="99">
        <f t="shared" si="13"/>
        <v>39.339999999999996</v>
      </c>
      <c r="D129" s="99">
        <f t="shared" si="13"/>
        <v>139.33999999999997</v>
      </c>
      <c r="E129" s="99">
        <f t="shared" si="13"/>
        <v>1214.3400000000001</v>
      </c>
      <c r="F129" s="99">
        <f t="shared" si="13"/>
        <v>47.339999999999996</v>
      </c>
      <c r="G129" s="99">
        <f t="shared" si="13"/>
        <v>144.33999999999997</v>
      </c>
      <c r="H129" s="99">
        <f t="shared" si="13"/>
        <v>184.33999999999997</v>
      </c>
      <c r="I129" s="99">
        <f t="shared" si="13"/>
        <v>414.34</v>
      </c>
      <c r="J129" s="99">
        <f t="shared" si="13"/>
        <v>-165.66000000000003</v>
      </c>
      <c r="K129" s="99">
        <f t="shared" si="13"/>
        <v>-220.66000000000003</v>
      </c>
      <c r="L129" s="99"/>
      <c r="M129" s="99"/>
      <c r="N129" s="99"/>
      <c r="O129" s="101"/>
      <c r="P129" s="55"/>
    </row>
    <row r="130" spans="1:16" x14ac:dyDescent="0.2">
      <c r="A130" s="117" t="s">
        <v>43</v>
      </c>
      <c r="B130" s="99">
        <f t="shared" si="13"/>
        <v>29.339999999999996</v>
      </c>
      <c r="C130" s="99">
        <f t="shared" si="13"/>
        <v>24.339999999999996</v>
      </c>
      <c r="D130" s="99">
        <f t="shared" si="13"/>
        <v>124.33999999999997</v>
      </c>
      <c r="E130" s="99">
        <f t="shared" si="13"/>
        <v>1184.3400000000001</v>
      </c>
      <c r="F130" s="99">
        <f t="shared" si="13"/>
        <v>62.339999999999996</v>
      </c>
      <c r="G130" s="99">
        <f t="shared" si="13"/>
        <v>144.33999999999997</v>
      </c>
      <c r="H130" s="99">
        <f t="shared" si="13"/>
        <v>184.33999999999997</v>
      </c>
      <c r="I130" s="99">
        <f t="shared" si="13"/>
        <v>384.34</v>
      </c>
      <c r="J130" s="99">
        <f t="shared" si="13"/>
        <v>-165.66000000000003</v>
      </c>
      <c r="K130" s="99">
        <f t="shared" si="13"/>
        <v>-220.66000000000003</v>
      </c>
      <c r="L130" s="99"/>
      <c r="M130" s="99"/>
      <c r="N130" s="99"/>
      <c r="O130" s="101"/>
      <c r="P130" s="55"/>
    </row>
    <row r="131" spans="1:16" x14ac:dyDescent="0.2">
      <c r="A131" s="117" t="s">
        <v>508</v>
      </c>
      <c r="B131" s="99">
        <f t="shared" si="13"/>
        <v>11.339999999999996</v>
      </c>
      <c r="C131" s="99">
        <f t="shared" si="13"/>
        <v>4.3399999999999963</v>
      </c>
      <c r="D131" s="99">
        <f t="shared" si="13"/>
        <v>94.34</v>
      </c>
      <c r="E131" s="99">
        <f t="shared" si="13"/>
        <v>1244.3400000000001</v>
      </c>
      <c r="F131" s="99">
        <f t="shared" si="13"/>
        <v>84.34</v>
      </c>
      <c r="G131" s="99">
        <f t="shared" si="13"/>
        <v>139.33999999999997</v>
      </c>
      <c r="H131" s="99">
        <f t="shared" si="13"/>
        <v>154.33999999999997</v>
      </c>
      <c r="I131" s="99">
        <f t="shared" si="13"/>
        <v>384.34</v>
      </c>
      <c r="J131" s="99">
        <f t="shared" si="13"/>
        <v>-175.66000000000003</v>
      </c>
      <c r="K131" s="99">
        <f t="shared" si="13"/>
        <v>-220.66000000000003</v>
      </c>
      <c r="L131" s="99"/>
      <c r="M131" s="99"/>
      <c r="N131" s="99"/>
      <c r="O131" s="101"/>
      <c r="P131" s="55"/>
    </row>
    <row r="132" spans="1:16" x14ac:dyDescent="0.2">
      <c r="A132" s="117" t="s">
        <v>509</v>
      </c>
      <c r="B132" s="99">
        <f t="shared" si="13"/>
        <v>-16.660000000000004</v>
      </c>
      <c r="C132" s="99">
        <f t="shared" si="13"/>
        <v>-20.660000000000004</v>
      </c>
      <c r="D132" s="99">
        <f t="shared" si="13"/>
        <v>24.339999999999996</v>
      </c>
      <c r="E132" s="99">
        <f t="shared" si="13"/>
        <v>1289.3400000000001</v>
      </c>
      <c r="F132" s="99">
        <f t="shared" si="13"/>
        <v>69.34</v>
      </c>
      <c r="G132" s="99">
        <f t="shared" si="13"/>
        <v>84.34</v>
      </c>
      <c r="H132" s="99">
        <f t="shared" si="13"/>
        <v>184.33999999999997</v>
      </c>
      <c r="I132" s="99">
        <f t="shared" si="13"/>
        <v>419.34</v>
      </c>
      <c r="J132" s="99">
        <f t="shared" si="13"/>
        <v>-175.66000000000003</v>
      </c>
      <c r="K132" s="99">
        <f t="shared" si="13"/>
        <v>-220.66000000000003</v>
      </c>
      <c r="L132" s="99"/>
      <c r="M132" s="99"/>
      <c r="N132" s="99"/>
      <c r="O132" s="101"/>
      <c r="P132" s="55"/>
    </row>
    <row r="133" spans="1:16" x14ac:dyDescent="0.2">
      <c r="A133" s="117" t="s">
        <v>34</v>
      </c>
      <c r="B133" s="99">
        <f t="shared" si="13"/>
        <v>3.3399999999999963</v>
      </c>
      <c r="C133" s="99">
        <f t="shared" si="13"/>
        <v>-35.660000000000004</v>
      </c>
      <c r="D133" s="99">
        <f t="shared" si="13"/>
        <v>58.339999999999996</v>
      </c>
      <c r="E133" s="99">
        <f t="shared" si="13"/>
        <v>1254.3400000000001</v>
      </c>
      <c r="F133" s="99">
        <f t="shared" si="13"/>
        <v>69.34</v>
      </c>
      <c r="G133" s="99">
        <f t="shared" si="13"/>
        <v>24.339999999999996</v>
      </c>
      <c r="H133" s="99">
        <f t="shared" si="13"/>
        <v>244.33999999999997</v>
      </c>
      <c r="I133" s="99">
        <f t="shared" si="13"/>
        <v>524.34</v>
      </c>
      <c r="J133" s="99">
        <f t="shared" si="13"/>
        <v>-180.66000000000003</v>
      </c>
      <c r="K133" s="99">
        <f t="shared" si="13"/>
        <v>-220.66000000000003</v>
      </c>
      <c r="L133" s="99"/>
      <c r="M133" s="99"/>
      <c r="N133" s="99"/>
      <c r="O133" s="101"/>
      <c r="P133" s="55"/>
    </row>
    <row r="134" spans="1:16" x14ac:dyDescent="0.2">
      <c r="A134" s="117"/>
      <c r="B134" s="99"/>
      <c r="C134" s="99"/>
      <c r="D134" s="99"/>
      <c r="E134" s="99"/>
      <c r="F134" s="99"/>
      <c r="G134" s="99"/>
      <c r="H134" s="99"/>
      <c r="I134" s="99"/>
      <c r="J134" s="99"/>
      <c r="K134" s="99"/>
      <c r="L134" s="99"/>
      <c r="M134" s="99"/>
      <c r="N134" s="99"/>
      <c r="O134" s="101"/>
      <c r="P134" s="55"/>
    </row>
    <row r="135" spans="1:16" x14ac:dyDescent="0.2">
      <c r="A135" s="67"/>
      <c r="B135" s="55"/>
      <c r="C135" s="55"/>
      <c r="D135" s="55"/>
      <c r="E135" s="55"/>
      <c r="F135" s="55"/>
      <c r="G135" s="116"/>
      <c r="H135" s="116" t="s">
        <v>6</v>
      </c>
      <c r="I135" s="117"/>
      <c r="J135" s="115" t="s">
        <v>330</v>
      </c>
      <c r="K135" s="116"/>
      <c r="L135" s="55"/>
      <c r="M135" s="55"/>
      <c r="N135" s="55"/>
      <c r="O135" s="55"/>
      <c r="P135" s="55"/>
    </row>
    <row r="136" spans="1:16" x14ac:dyDescent="0.2">
      <c r="A136" s="112"/>
      <c r="B136" s="111" t="s">
        <v>14</v>
      </c>
      <c r="C136" s="111" t="s">
        <v>15</v>
      </c>
      <c r="D136" s="111" t="s">
        <v>16</v>
      </c>
      <c r="E136" s="111" t="s">
        <v>18</v>
      </c>
      <c r="F136" s="111" t="s">
        <v>19</v>
      </c>
      <c r="G136" s="111" t="s">
        <v>20</v>
      </c>
      <c r="H136" s="111" t="s">
        <v>21</v>
      </c>
      <c r="I136" s="111" t="s">
        <v>527</v>
      </c>
      <c r="J136" s="111" t="s">
        <v>528</v>
      </c>
      <c r="K136" s="111" t="s">
        <v>333</v>
      </c>
      <c r="L136" s="111" t="s">
        <v>84</v>
      </c>
      <c r="M136" s="115"/>
      <c r="N136" s="115"/>
      <c r="O136" s="115"/>
      <c r="P136" s="115"/>
    </row>
    <row r="137" spans="1:16" x14ac:dyDescent="0.2">
      <c r="A137" s="100" t="s">
        <v>24</v>
      </c>
      <c r="B137" s="98"/>
      <c r="C137" s="98"/>
      <c r="D137" s="98"/>
      <c r="E137" s="98"/>
      <c r="F137" s="98"/>
      <c r="G137" s="98"/>
      <c r="H137" s="98"/>
      <c r="I137" s="98"/>
      <c r="J137" s="98"/>
      <c r="K137" s="98"/>
      <c r="L137" s="98"/>
      <c r="M137" s="98"/>
      <c r="N137" s="98"/>
      <c r="O137" s="39"/>
      <c r="P137" s="39"/>
    </row>
    <row r="138" spans="1:16" x14ac:dyDescent="0.2">
      <c r="A138" s="106" t="s">
        <v>565</v>
      </c>
      <c r="B138" s="98">
        <f>B103*B122</f>
        <v>1126.1693290110113</v>
      </c>
      <c r="C138" s="98">
        <f t="shared" ref="C138:K138" si="14">C103*C122</f>
        <v>803.25398079494414</v>
      </c>
      <c r="D138" s="98">
        <f t="shared" si="14"/>
        <v>1717.7100134559091</v>
      </c>
      <c r="E138" s="98">
        <f t="shared" si="14"/>
        <v>1096.3565627523208</v>
      </c>
      <c r="F138" s="98">
        <f t="shared" si="14"/>
        <v>102.91415591575931</v>
      </c>
      <c r="G138" s="98">
        <f t="shared" si="14"/>
        <v>233.05774133358631</v>
      </c>
      <c r="H138" s="98">
        <f t="shared" si="14"/>
        <v>120.22012546852835</v>
      </c>
      <c r="I138" s="98">
        <f t="shared" si="14"/>
        <v>369.60253354113945</v>
      </c>
      <c r="J138" s="98">
        <f t="shared" si="14"/>
        <v>-32.848977119456315</v>
      </c>
      <c r="K138" s="98">
        <f t="shared" si="14"/>
        <v>-319.7850597291071</v>
      </c>
      <c r="L138" s="108">
        <f t="shared" ref="L138:L149" si="15">SUM(B138:K138)</f>
        <v>5216.6504054246361</v>
      </c>
      <c r="M138" s="98"/>
      <c r="N138" s="108"/>
      <c r="O138" s="76"/>
      <c r="P138" s="76"/>
    </row>
    <row r="139" spans="1:16" x14ac:dyDescent="0.2">
      <c r="A139" s="106" t="s">
        <v>553</v>
      </c>
      <c r="B139" s="98">
        <f t="shared" ref="B139:K149" si="16">B104*B123</f>
        <v>1271.2408288836114</v>
      </c>
      <c r="C139" s="98">
        <f t="shared" si="16"/>
        <v>930.06448746081264</v>
      </c>
      <c r="D139" s="98">
        <f t="shared" si="16"/>
        <v>1986.3311415198132</v>
      </c>
      <c r="E139" s="98">
        <f t="shared" si="16"/>
        <v>1096.3565627523208</v>
      </c>
      <c r="F139" s="98">
        <f t="shared" si="16"/>
        <v>135.52320405129774</v>
      </c>
      <c r="G139" s="98">
        <f t="shared" si="16"/>
        <v>259.14434770627332</v>
      </c>
      <c r="H139" s="98">
        <f t="shared" si="16"/>
        <v>120.22012546852835</v>
      </c>
      <c r="I139" s="98">
        <f t="shared" si="16"/>
        <v>430.4691746249303</v>
      </c>
      <c r="J139" s="98">
        <f t="shared" si="16"/>
        <v>-38.283950170325994</v>
      </c>
      <c r="K139" s="98">
        <f t="shared" si="16"/>
        <v>-319.7850597291071</v>
      </c>
      <c r="L139" s="108">
        <f t="shared" si="15"/>
        <v>5871.2808625681537</v>
      </c>
      <c r="M139" s="98"/>
      <c r="N139" s="108"/>
      <c r="O139" s="76"/>
      <c r="P139" s="76"/>
    </row>
    <row r="140" spans="1:16" x14ac:dyDescent="0.2">
      <c r="A140" s="117" t="s">
        <v>37</v>
      </c>
      <c r="B140" s="98">
        <f t="shared" si="16"/>
        <v>1287.5566625056467</v>
      </c>
      <c r="C140" s="98">
        <f t="shared" si="16"/>
        <v>894.91986132770057</v>
      </c>
      <c r="D140" s="98">
        <f t="shared" si="16"/>
        <v>2027.7565154840481</v>
      </c>
      <c r="E140" s="98">
        <f t="shared" si="16"/>
        <v>1082.288878873454</v>
      </c>
      <c r="F140" s="98">
        <f t="shared" si="16"/>
        <v>123.20291277390704</v>
      </c>
      <c r="G140" s="98">
        <f t="shared" si="16"/>
        <v>283.01596404695221</v>
      </c>
      <c r="H140" s="98">
        <f t="shared" si="16"/>
        <v>121.14857150442899</v>
      </c>
      <c r="I140" s="98">
        <f t="shared" si="16"/>
        <v>409.78004998744899</v>
      </c>
      <c r="J140" s="98">
        <f t="shared" si="16"/>
        <v>-34.803591063932721</v>
      </c>
      <c r="K140" s="98">
        <f t="shared" si="16"/>
        <v>-290.7136906628246</v>
      </c>
      <c r="L140" s="108">
        <f t="shared" si="15"/>
        <v>5904.1521347768303</v>
      </c>
      <c r="M140" s="98"/>
      <c r="N140" s="108"/>
      <c r="O140" s="76"/>
      <c r="P140" s="76"/>
    </row>
    <row r="141" spans="1:16" x14ac:dyDescent="0.2">
      <c r="A141" s="104" t="s">
        <v>329</v>
      </c>
      <c r="B141" s="98">
        <f t="shared" si="16"/>
        <v>1632.3558208392117</v>
      </c>
      <c r="C141" s="98">
        <f t="shared" si="16"/>
        <v>1180.671692647114</v>
      </c>
      <c r="D141" s="98">
        <f t="shared" si="16"/>
        <v>3097.8232091872073</v>
      </c>
      <c r="E141" s="98">
        <f t="shared" si="16"/>
        <v>1284.0087141989268</v>
      </c>
      <c r="F141" s="98">
        <f t="shared" si="16"/>
        <v>187.13838648498609</v>
      </c>
      <c r="G141" s="98">
        <f t="shared" si="16"/>
        <v>434.55780348523183</v>
      </c>
      <c r="H141" s="98">
        <f t="shared" si="16"/>
        <v>166.59321843790252</v>
      </c>
      <c r="I141" s="98">
        <f t="shared" si="16"/>
        <v>556.09146626903248</v>
      </c>
      <c r="J141" s="98">
        <f t="shared" si="16"/>
        <v>-57.070181564886603</v>
      </c>
      <c r="K141" s="98">
        <f t="shared" si="16"/>
        <v>-334.3207442622483</v>
      </c>
      <c r="L141" s="108">
        <f t="shared" si="15"/>
        <v>8147.8493857224785</v>
      </c>
      <c r="M141" s="98"/>
      <c r="N141" s="108"/>
      <c r="O141" s="76"/>
      <c r="P141" s="76"/>
    </row>
    <row r="142" spans="1:16" x14ac:dyDescent="0.2">
      <c r="A142" s="117" t="s">
        <v>95</v>
      </c>
      <c r="B142" s="98">
        <f t="shared" si="16"/>
        <v>81.767572655465344</v>
      </c>
      <c r="C142" s="98">
        <f t="shared" si="16"/>
        <v>-93.213956847898217</v>
      </c>
      <c r="D142" s="98">
        <f t="shared" si="16"/>
        <v>1872.3558628850956</v>
      </c>
      <c r="E142" s="98">
        <f t="shared" si="16"/>
        <v>1133.6495356053515</v>
      </c>
      <c r="F142" s="98">
        <f t="shared" si="16"/>
        <v>133.08444251194902</v>
      </c>
      <c r="G142" s="98">
        <f t="shared" si="16"/>
        <v>413.44899591038757</v>
      </c>
      <c r="H142" s="98">
        <f t="shared" si="16"/>
        <v>192.29386161175736</v>
      </c>
      <c r="I142" s="98">
        <f t="shared" si="16"/>
        <v>483.55779675568039</v>
      </c>
      <c r="J142" s="98">
        <f t="shared" si="16"/>
        <v>-52.920167900164984</v>
      </c>
      <c r="K142" s="98">
        <f t="shared" si="16"/>
        <v>-290.7136906628246</v>
      </c>
      <c r="L142" s="108">
        <f t="shared" si="15"/>
        <v>3873.3102525247987</v>
      </c>
      <c r="M142" s="98"/>
      <c r="N142" s="108"/>
      <c r="O142" s="76"/>
      <c r="P142" s="76"/>
    </row>
    <row r="143" spans="1:16" x14ac:dyDescent="0.2">
      <c r="A143" s="117" t="s">
        <v>40</v>
      </c>
      <c r="B143" s="98">
        <f t="shared" si="16"/>
        <v>202.36532209501235</v>
      </c>
      <c r="C143" s="98">
        <f t="shared" si="16"/>
        <v>-12.499892799921394</v>
      </c>
      <c r="D143" s="98">
        <f t="shared" si="16"/>
        <v>2408.5103144447107</v>
      </c>
      <c r="E143" s="98">
        <f t="shared" si="16"/>
        <v>1264.3204624516995</v>
      </c>
      <c r="F143" s="98">
        <f t="shared" si="16"/>
        <v>130.31959049124487</v>
      </c>
      <c r="G143" s="98">
        <f t="shared" si="16"/>
        <v>502.73870650475487</v>
      </c>
      <c r="H143" s="98">
        <f t="shared" si="16"/>
        <v>125.68467662618872</v>
      </c>
      <c r="I143" s="98">
        <f t="shared" si="16"/>
        <v>524.27481297523275</v>
      </c>
      <c r="J143" s="98">
        <f t="shared" si="16"/>
        <v>-60.858193085189725</v>
      </c>
      <c r="K143" s="98">
        <f t="shared" si="16"/>
        <v>-334.3207442622483</v>
      </c>
      <c r="L143" s="108">
        <f t="shared" si="15"/>
        <v>4750.5350554414845</v>
      </c>
      <c r="M143" s="98"/>
      <c r="N143" s="108"/>
      <c r="O143" s="76"/>
      <c r="P143" s="76"/>
    </row>
    <row r="144" spans="1:16" x14ac:dyDescent="0.2">
      <c r="A144" s="117" t="s">
        <v>41</v>
      </c>
      <c r="B144" s="98">
        <f t="shared" si="16"/>
        <v>566.60782950241162</v>
      </c>
      <c r="C144" s="98">
        <f t="shared" si="16"/>
        <v>350.35931413112809</v>
      </c>
      <c r="D144" s="98">
        <f t="shared" si="16"/>
        <v>3280.5965767368039</v>
      </c>
      <c r="E144" s="98">
        <f t="shared" si="16"/>
        <v>1115.1888035540167</v>
      </c>
      <c r="F144" s="98">
        <f t="shared" si="16"/>
        <v>102.91415591575931</v>
      </c>
      <c r="G144" s="98">
        <f t="shared" si="16"/>
        <v>520.01041143314399</v>
      </c>
      <c r="H144" s="98">
        <f t="shared" si="16"/>
        <v>120.22012546852835</v>
      </c>
      <c r="I144" s="98">
        <f t="shared" si="16"/>
        <v>491.33581570872127</v>
      </c>
      <c r="J144" s="98">
        <f t="shared" si="16"/>
        <v>-60.023842373804705</v>
      </c>
      <c r="K144" s="98">
        <f t="shared" si="16"/>
        <v>-319.7850597291071</v>
      </c>
      <c r="L144" s="108">
        <f t="shared" si="15"/>
        <v>6167.4241303476028</v>
      </c>
      <c r="M144" s="98"/>
      <c r="N144" s="108"/>
      <c r="O144" s="76"/>
      <c r="P144" s="76"/>
    </row>
    <row r="145" spans="1:16" x14ac:dyDescent="0.2">
      <c r="A145" s="117" t="s">
        <v>42</v>
      </c>
      <c r="B145" s="98">
        <f t="shared" si="16"/>
        <v>877.15504150242009</v>
      </c>
      <c r="C145" s="98">
        <f t="shared" si="16"/>
        <v>680.28072712299104</v>
      </c>
      <c r="D145" s="98">
        <f t="shared" si="16"/>
        <v>3248.0290399707096</v>
      </c>
      <c r="E145" s="98">
        <f t="shared" si="16"/>
        <v>1091.4627481767166</v>
      </c>
      <c r="F145" s="98">
        <f t="shared" si="16"/>
        <v>98.236239737770276</v>
      </c>
      <c r="G145" s="98">
        <f t="shared" si="16"/>
        <v>359.41889109321221</v>
      </c>
      <c r="H145" s="98">
        <f t="shared" si="16"/>
        <v>114.75557431086798</v>
      </c>
      <c r="I145" s="98">
        <f t="shared" si="16"/>
        <v>401.2190646968304</v>
      </c>
      <c r="J145" s="98">
        <f t="shared" si="16"/>
        <v>-57.295485902268133</v>
      </c>
      <c r="K145" s="98">
        <f t="shared" si="16"/>
        <v>-305.24937519596585</v>
      </c>
      <c r="L145" s="108">
        <f t="shared" si="15"/>
        <v>6508.012465513284</v>
      </c>
      <c r="M145" s="98"/>
      <c r="N145" s="108"/>
      <c r="O145" s="76"/>
      <c r="P145" s="76"/>
    </row>
    <row r="146" spans="1:16" x14ac:dyDescent="0.2">
      <c r="A146" s="117" t="s">
        <v>43</v>
      </c>
      <c r="B146" s="98">
        <f t="shared" si="16"/>
        <v>635.69577625992122</v>
      </c>
      <c r="C146" s="98">
        <f t="shared" si="16"/>
        <v>460.98089507588628</v>
      </c>
      <c r="D146" s="98">
        <f t="shared" si="16"/>
        <v>3174.4135308252626</v>
      </c>
      <c r="E146" s="98">
        <f t="shared" si="16"/>
        <v>1165.8792037155627</v>
      </c>
      <c r="F146" s="98">
        <f t="shared" si="16"/>
        <v>141.68334968999309</v>
      </c>
      <c r="G146" s="98">
        <f t="shared" si="16"/>
        <v>393.64926167351803</v>
      </c>
      <c r="H146" s="98">
        <f t="shared" si="16"/>
        <v>125.68467662618872</v>
      </c>
      <c r="I146" s="98">
        <f t="shared" si="16"/>
        <v>407.61375089796684</v>
      </c>
      <c r="J146" s="98">
        <f t="shared" si="16"/>
        <v>-62.752198845341276</v>
      </c>
      <c r="K146" s="98">
        <f t="shared" si="16"/>
        <v>-334.3207442622483</v>
      </c>
      <c r="L146" s="108">
        <f t="shared" si="15"/>
        <v>6108.5275016567102</v>
      </c>
      <c r="M146" s="98"/>
      <c r="N146" s="108"/>
      <c r="O146" s="76"/>
      <c r="P146" s="76"/>
    </row>
    <row r="147" spans="1:16" x14ac:dyDescent="0.2">
      <c r="A147" s="117" t="s">
        <v>44</v>
      </c>
      <c r="B147" s="98">
        <f t="shared" si="16"/>
        <v>224.33329207572035</v>
      </c>
      <c r="C147" s="98">
        <f t="shared" si="16"/>
        <v>75.04876349043667</v>
      </c>
      <c r="D147" s="98">
        <f t="shared" si="16"/>
        <v>2199.0746349277797</v>
      </c>
      <c r="E147" s="98">
        <f t="shared" si="16"/>
        <v>1118.4270929609627</v>
      </c>
      <c r="F147" s="98">
        <f t="shared" si="16"/>
        <v>175.01572580235626</v>
      </c>
      <c r="G147" s="98">
        <f t="shared" si="16"/>
        <v>346.96846532442976</v>
      </c>
      <c r="H147" s="98">
        <f t="shared" si="16"/>
        <v>96.079935657694278</v>
      </c>
      <c r="I147" s="98">
        <f t="shared" si="16"/>
        <v>372.16907690683928</v>
      </c>
      <c r="J147" s="98">
        <f t="shared" si="16"/>
        <v>-60.754105116457922</v>
      </c>
      <c r="K147" s="98">
        <f t="shared" si="16"/>
        <v>-305.24937519596585</v>
      </c>
      <c r="L147" s="108">
        <f t="shared" si="15"/>
        <v>4241.1135068337953</v>
      </c>
      <c r="M147" s="98"/>
      <c r="N147" s="108"/>
      <c r="O147" s="76"/>
      <c r="P147" s="76"/>
    </row>
    <row r="148" spans="1:16" x14ac:dyDescent="0.2">
      <c r="A148" s="117" t="s">
        <v>116</v>
      </c>
      <c r="B148" s="98">
        <f t="shared" si="16"/>
        <v>-345.27016969678789</v>
      </c>
      <c r="C148" s="98">
        <f t="shared" si="16"/>
        <v>-374.27215253097768</v>
      </c>
      <c r="D148" s="98">
        <f t="shared" si="16"/>
        <v>594.38529609776549</v>
      </c>
      <c r="E148" s="98">
        <f t="shared" si="16"/>
        <v>1214.0580677629191</v>
      </c>
      <c r="F148" s="98">
        <f t="shared" si="16"/>
        <v>150.74075984788237</v>
      </c>
      <c r="G148" s="98">
        <f t="shared" si="16"/>
        <v>220.01443814724277</v>
      </c>
      <c r="H148" s="98">
        <f t="shared" si="16"/>
        <v>120.22012546852835</v>
      </c>
      <c r="I148" s="98">
        <f t="shared" si="16"/>
        <v>425.39695453461439</v>
      </c>
      <c r="J148" s="98">
        <f t="shared" si="16"/>
        <v>-63.647157741051153</v>
      </c>
      <c r="K148" s="98">
        <f t="shared" si="16"/>
        <v>-319.7850597291071</v>
      </c>
      <c r="L148" s="108">
        <f t="shared" si="15"/>
        <v>1621.8411021610286</v>
      </c>
      <c r="M148" s="98"/>
      <c r="N148" s="108"/>
      <c r="O148" s="76"/>
      <c r="P148" s="76"/>
    </row>
    <row r="149" spans="1:16" x14ac:dyDescent="0.2">
      <c r="A149" s="117" t="s">
        <v>34</v>
      </c>
      <c r="B149" s="95">
        <f t="shared" si="16"/>
        <v>69.219829939211891</v>
      </c>
      <c r="C149" s="95">
        <f t="shared" si="16"/>
        <v>-646.00895252926739</v>
      </c>
      <c r="D149" s="95">
        <f t="shared" si="16"/>
        <v>1424.6687828407412</v>
      </c>
      <c r="E149" s="95">
        <f t="shared" si="16"/>
        <v>1181.1016463599517</v>
      </c>
      <c r="F149" s="95">
        <f t="shared" si="16"/>
        <v>150.74075984788237</v>
      </c>
      <c r="G149" s="95">
        <f t="shared" si="16"/>
        <v>63.494799911120325</v>
      </c>
      <c r="H149" s="95">
        <f t="shared" si="16"/>
        <v>159.35003502755896</v>
      </c>
      <c r="I149" s="95">
        <f t="shared" si="16"/>
        <v>531.91357643124854</v>
      </c>
      <c r="J149" s="95">
        <f t="shared" si="16"/>
        <v>-65.458815424674384</v>
      </c>
      <c r="K149" s="95">
        <f t="shared" si="16"/>
        <v>-319.7850597291071</v>
      </c>
      <c r="L149" s="96">
        <f t="shared" si="15"/>
        <v>2549.2366026746663</v>
      </c>
      <c r="M149" s="98"/>
      <c r="N149" s="108"/>
      <c r="O149" s="76"/>
      <c r="P149" s="76"/>
    </row>
    <row r="150" spans="1:16" x14ac:dyDescent="0.2">
      <c r="A150" s="86" t="s">
        <v>88</v>
      </c>
      <c r="B150" s="85">
        <f t="shared" ref="B150:L150" si="17">SUM(B138:B149)</f>
        <v>7629.1971355728574</v>
      </c>
      <c r="C150" s="85">
        <f t="shared" si="17"/>
        <v>4249.5847673429471</v>
      </c>
      <c r="D150" s="85">
        <f t="shared" si="17"/>
        <v>27031.654918375843</v>
      </c>
      <c r="E150" s="85">
        <f t="shared" si="17"/>
        <v>13843.098279164202</v>
      </c>
      <c r="F150" s="85">
        <f t="shared" si="17"/>
        <v>1631.5136830707877</v>
      </c>
      <c r="G150" s="85">
        <f t="shared" si="17"/>
        <v>4029.5198265698532</v>
      </c>
      <c r="H150" s="85">
        <f t="shared" si="17"/>
        <v>1582.4710516767011</v>
      </c>
      <c r="I150" s="85">
        <f t="shared" si="17"/>
        <v>5403.4240733296856</v>
      </c>
      <c r="J150" s="85">
        <f t="shared" si="17"/>
        <v>-646.71666630755396</v>
      </c>
      <c r="K150" s="85">
        <f t="shared" si="17"/>
        <v>-3793.8136631498619</v>
      </c>
      <c r="L150" s="85">
        <f t="shared" si="17"/>
        <v>60959.933405645468</v>
      </c>
      <c r="M150" s="85"/>
      <c r="N150" s="97"/>
      <c r="O150" s="84"/>
      <c r="P150" s="84"/>
    </row>
    <row r="151" spans="1:16" x14ac:dyDescent="0.2">
      <c r="A151" s="55"/>
      <c r="B151" s="55"/>
      <c r="C151" s="55"/>
      <c r="D151" s="55"/>
      <c r="E151" s="55"/>
      <c r="F151" s="55"/>
      <c r="G151" s="55"/>
      <c r="H151" s="55"/>
      <c r="I151" s="55"/>
      <c r="J151" s="55"/>
      <c r="K151" s="55"/>
      <c r="L151" s="55"/>
      <c r="M151" s="55"/>
      <c r="N151" s="55"/>
      <c r="O151" s="77"/>
      <c r="P151" s="55"/>
    </row>
    <row r="152" spans="1:16" x14ac:dyDescent="0.2">
      <c r="A152" s="54"/>
      <c r="B152" s="55"/>
      <c r="C152" s="55"/>
      <c r="D152" s="55"/>
      <c r="E152" s="55"/>
      <c r="F152" s="55"/>
      <c r="G152" s="55"/>
      <c r="H152" s="112"/>
      <c r="I152" s="112"/>
      <c r="J152" s="115"/>
      <c r="K152" s="55"/>
      <c r="L152" s="55"/>
      <c r="M152" s="55"/>
    </row>
    <row r="153" spans="1:16" x14ac:dyDescent="0.2">
      <c r="A153" s="89"/>
      <c r="B153" s="115"/>
      <c r="C153" s="115"/>
      <c r="D153" s="115"/>
      <c r="E153" s="115"/>
      <c r="F153" s="115"/>
      <c r="G153" s="115"/>
      <c r="H153" s="115"/>
      <c r="I153" s="115"/>
      <c r="J153" s="115"/>
      <c r="K153" s="115"/>
      <c r="L153" s="115"/>
      <c r="M153" s="55"/>
    </row>
    <row r="154" spans="1:16" x14ac:dyDescent="0.2">
      <c r="A154" s="118"/>
      <c r="B154" s="45"/>
      <c r="C154" s="45"/>
      <c r="D154" s="45"/>
      <c r="E154" s="45"/>
      <c r="F154" s="45"/>
      <c r="G154" s="45"/>
      <c r="H154" s="45"/>
      <c r="I154" s="45"/>
      <c r="J154" s="45"/>
      <c r="K154" s="45"/>
      <c r="L154" s="45"/>
      <c r="M154" s="45"/>
    </row>
    <row r="155" spans="1:16" x14ac:dyDescent="0.2">
      <c r="A155" s="63" t="s">
        <v>561</v>
      </c>
      <c r="B155" s="45"/>
      <c r="C155" s="45"/>
      <c r="D155" s="45"/>
      <c r="E155" s="45"/>
      <c r="F155" s="45"/>
      <c r="G155" s="45"/>
      <c r="H155" s="45"/>
      <c r="I155" s="45"/>
      <c r="J155" s="45"/>
      <c r="K155" s="45"/>
      <c r="L155" s="45"/>
      <c r="M155" s="45"/>
    </row>
    <row r="156" spans="1:16" x14ac:dyDescent="0.2">
      <c r="A156" s="75"/>
      <c r="B156" s="45"/>
      <c r="C156" s="45"/>
      <c r="D156" s="45"/>
      <c r="E156" s="45"/>
      <c r="F156" s="45"/>
      <c r="G156" s="45"/>
      <c r="H156" s="45"/>
      <c r="I156" s="45"/>
      <c r="J156" s="45"/>
      <c r="K156" s="45"/>
      <c r="L156" s="45"/>
      <c r="M156" s="45"/>
    </row>
    <row r="157" spans="1:16" x14ac:dyDescent="0.2">
      <c r="A157" s="89"/>
      <c r="B157" s="111" t="s">
        <v>14</v>
      </c>
      <c r="C157" s="111" t="s">
        <v>15</v>
      </c>
      <c r="D157" s="111" t="s">
        <v>16</v>
      </c>
      <c r="E157" s="111" t="s">
        <v>18</v>
      </c>
      <c r="F157" s="111" t="s">
        <v>19</v>
      </c>
      <c r="G157" s="111" t="s">
        <v>20</v>
      </c>
      <c r="H157" s="111" t="s">
        <v>21</v>
      </c>
      <c r="I157" s="111" t="s">
        <v>527</v>
      </c>
      <c r="J157" s="111" t="s">
        <v>528</v>
      </c>
      <c r="K157" s="111" t="s">
        <v>333</v>
      </c>
      <c r="L157" s="111" t="s">
        <v>84</v>
      </c>
      <c r="M157" s="45"/>
    </row>
    <row r="158" spans="1:16" x14ac:dyDescent="0.2">
      <c r="A158" s="110" t="s">
        <v>9</v>
      </c>
      <c r="B158" s="116"/>
      <c r="C158" s="116"/>
      <c r="D158" s="116"/>
      <c r="E158" s="116"/>
      <c r="F158" s="116"/>
      <c r="G158" s="116"/>
      <c r="H158" s="116"/>
      <c r="I158" s="116"/>
      <c r="J158" s="116"/>
      <c r="K158" s="116"/>
      <c r="L158" s="116"/>
      <c r="M158" s="45"/>
    </row>
    <row r="159" spans="1:16" x14ac:dyDescent="0.2">
      <c r="A159" s="106" t="s">
        <v>566</v>
      </c>
      <c r="B159" s="108">
        <f>'[16]Revised_MF for SP'!$DS$7*B117</f>
        <v>19.782477255354536</v>
      </c>
      <c r="C159" s="108">
        <f>'[16]Revised_MF for SP'!$DS$7*C117</f>
        <v>17.29234181807298</v>
      </c>
      <c r="D159" s="108">
        <f>'[16]Revised_MF for SP'!$DS$7*D117</f>
        <v>23.310097889842904</v>
      </c>
      <c r="E159" s="108">
        <f>'[16]Revised_MF for SP'!$DS$7*E117</f>
        <v>0.8988114928082056</v>
      </c>
      <c r="F159" s="108">
        <f>'[16]Revised_MF for SP'!$DS$7*F117</f>
        <v>2.0751212449888103</v>
      </c>
      <c r="G159" s="108">
        <f>'[16]Revised_MF for SP'!$DS$7*G117</f>
        <v>2.4900851537564934</v>
      </c>
      <c r="H159" s="108">
        <f>'[16]Revised_MF for SP'!$DS$7*H117</f>
        <v>0.62252128843912335</v>
      </c>
      <c r="I159" s="108">
        <f>'[16]Revised_MF for SP'!$DS$7*I117</f>
        <v>0.96833292633303669</v>
      </c>
      <c r="J159" s="108">
        <f>'[16]Revised_MF for SP'!$DS$7*J117</f>
        <v>0.34586192141897937</v>
      </c>
      <c r="K159" s="108">
        <f>'[16]Revised_MF for SP'!$DS$7*K117</f>
        <v>1.3833471186257855</v>
      </c>
      <c r="L159" s="108">
        <f>SUM(B159:K159)</f>
        <v>69.168998109640853</v>
      </c>
      <c r="M159" s="45"/>
    </row>
    <row r="160" spans="1:16" s="29" customFormat="1" x14ac:dyDescent="0.2">
      <c r="A160" s="74"/>
      <c r="B160" s="52"/>
      <c r="C160" s="52"/>
      <c r="D160" s="52"/>
      <c r="E160" s="52"/>
      <c r="F160" s="52"/>
      <c r="G160" s="52"/>
      <c r="H160" s="52"/>
      <c r="I160" s="52"/>
      <c r="J160" s="52"/>
      <c r="K160" s="52"/>
      <c r="L160" s="52"/>
      <c r="M160" s="73"/>
    </row>
    <row r="161" spans="1:22" x14ac:dyDescent="0.2">
      <c r="A161" s="104"/>
      <c r="B161" s="45"/>
      <c r="C161" s="45"/>
      <c r="D161" s="45"/>
      <c r="E161" s="45"/>
      <c r="F161" s="45"/>
      <c r="G161" s="116"/>
      <c r="H161" s="116" t="s">
        <v>6</v>
      </c>
      <c r="I161" s="117"/>
      <c r="J161" s="115" t="s">
        <v>330</v>
      </c>
      <c r="K161" s="45" t="s">
        <v>6</v>
      </c>
      <c r="L161" s="55"/>
      <c r="M161" s="55"/>
    </row>
    <row r="162" spans="1:22" x14ac:dyDescent="0.2">
      <c r="A162" s="117"/>
      <c r="B162" s="111" t="s">
        <v>14</v>
      </c>
      <c r="C162" s="111" t="s">
        <v>15</v>
      </c>
      <c r="D162" s="111" t="s">
        <v>16</v>
      </c>
      <c r="E162" s="111" t="s">
        <v>18</v>
      </c>
      <c r="F162" s="111" t="s">
        <v>19</v>
      </c>
      <c r="G162" s="111" t="s">
        <v>20</v>
      </c>
      <c r="H162" s="111" t="s">
        <v>21</v>
      </c>
      <c r="I162" s="111" t="s">
        <v>527</v>
      </c>
      <c r="J162" s="111" t="s">
        <v>528</v>
      </c>
      <c r="K162" s="111" t="s">
        <v>333</v>
      </c>
    </row>
    <row r="163" spans="1:22" x14ac:dyDescent="0.2">
      <c r="A163" s="100" t="s">
        <v>86</v>
      </c>
      <c r="B163" s="101"/>
      <c r="C163" s="101"/>
      <c r="D163" s="101"/>
      <c r="E163" s="101"/>
      <c r="F163" s="101"/>
      <c r="G163" s="101"/>
      <c r="H163" s="101"/>
      <c r="I163" s="101"/>
      <c r="J163" s="101"/>
      <c r="K163" s="101"/>
    </row>
    <row r="164" spans="1:22" x14ac:dyDescent="0.2">
      <c r="A164" s="104" t="s">
        <v>567</v>
      </c>
      <c r="B164" s="37">
        <f t="shared" ref="B164:K169" si="18">+B70</f>
        <v>-0.66000000000000369</v>
      </c>
      <c r="C164" s="37">
        <f t="shared" si="18"/>
        <v>-5.6600000000000037</v>
      </c>
      <c r="D164" s="37">
        <f t="shared" si="18"/>
        <v>94.339999999999975</v>
      </c>
      <c r="E164" s="37">
        <f t="shared" si="18"/>
        <v>1169.3400000000001</v>
      </c>
      <c r="F164" s="37">
        <f t="shared" si="18"/>
        <v>2.3399999999999963</v>
      </c>
      <c r="G164" s="37">
        <f t="shared" si="18"/>
        <v>99.339999999999975</v>
      </c>
      <c r="H164" s="37">
        <f t="shared" si="18"/>
        <v>139.33999999999997</v>
      </c>
      <c r="I164" s="37">
        <f t="shared" si="18"/>
        <v>369.34</v>
      </c>
      <c r="J164" s="37">
        <f t="shared" si="18"/>
        <v>-210.66000000000003</v>
      </c>
      <c r="K164" s="37">
        <f t="shared" si="18"/>
        <v>-265.66000000000003</v>
      </c>
      <c r="N164" s="36"/>
      <c r="O164" s="36"/>
      <c r="P164" s="36"/>
      <c r="Q164" s="36"/>
      <c r="R164" s="36"/>
      <c r="S164" s="36"/>
      <c r="T164" s="36"/>
      <c r="U164" s="36"/>
      <c r="V164" s="36"/>
    </row>
    <row r="165" spans="1:22" x14ac:dyDescent="0.2">
      <c r="A165" s="117" t="s">
        <v>43</v>
      </c>
      <c r="B165" s="37">
        <f t="shared" si="18"/>
        <v>-15.660000000000004</v>
      </c>
      <c r="C165" s="37">
        <f t="shared" si="18"/>
        <v>-20.660000000000004</v>
      </c>
      <c r="D165" s="37">
        <f t="shared" si="18"/>
        <v>79.339999999999975</v>
      </c>
      <c r="E165" s="37">
        <f t="shared" si="18"/>
        <v>1139.3400000000001</v>
      </c>
      <c r="F165" s="37">
        <f t="shared" si="18"/>
        <v>17.339999999999996</v>
      </c>
      <c r="G165" s="37">
        <f t="shared" si="18"/>
        <v>99.339999999999975</v>
      </c>
      <c r="H165" s="37">
        <f t="shared" si="18"/>
        <v>139.33999999999997</v>
      </c>
      <c r="I165" s="37">
        <f t="shared" si="18"/>
        <v>339.34</v>
      </c>
      <c r="J165" s="37">
        <f t="shared" si="18"/>
        <v>-210.66000000000003</v>
      </c>
      <c r="K165" s="37">
        <f t="shared" si="18"/>
        <v>-265.66000000000003</v>
      </c>
      <c r="N165" s="36"/>
      <c r="O165" s="36"/>
      <c r="P165" s="36"/>
      <c r="Q165" s="36"/>
      <c r="R165" s="36"/>
      <c r="S165" s="36"/>
      <c r="T165" s="36"/>
      <c r="U165" s="36"/>
      <c r="V165" s="36"/>
    </row>
    <row r="166" spans="1:22" x14ac:dyDescent="0.2">
      <c r="A166" s="117" t="s">
        <v>44</v>
      </c>
      <c r="B166" s="37">
        <f t="shared" si="18"/>
        <v>-33.660000000000004</v>
      </c>
      <c r="C166" s="37">
        <f t="shared" si="18"/>
        <v>-40.660000000000004</v>
      </c>
      <c r="D166" s="37">
        <f t="shared" si="18"/>
        <v>49.34</v>
      </c>
      <c r="E166" s="37">
        <f t="shared" si="18"/>
        <v>1199.3400000000001</v>
      </c>
      <c r="F166" s="37">
        <f t="shared" si="18"/>
        <v>39.340000000000003</v>
      </c>
      <c r="G166" s="37">
        <f t="shared" si="18"/>
        <v>94.339999999999975</v>
      </c>
      <c r="H166" s="37">
        <f t="shared" si="18"/>
        <v>109.33999999999997</v>
      </c>
      <c r="I166" s="37">
        <f t="shared" si="18"/>
        <v>339.34</v>
      </c>
      <c r="J166" s="37">
        <f t="shared" si="18"/>
        <v>-220.66000000000003</v>
      </c>
      <c r="K166" s="37">
        <f t="shared" si="18"/>
        <v>-265.66000000000003</v>
      </c>
      <c r="N166" s="36"/>
      <c r="O166" s="36"/>
      <c r="P166" s="36"/>
      <c r="Q166" s="36"/>
      <c r="R166" s="36"/>
      <c r="S166" s="36"/>
      <c r="T166" s="36"/>
      <c r="U166" s="36"/>
      <c r="V166" s="36"/>
    </row>
    <row r="167" spans="1:22" x14ac:dyDescent="0.2">
      <c r="A167" s="117" t="s">
        <v>116</v>
      </c>
      <c r="B167" s="37">
        <f t="shared" si="18"/>
        <v>-61.660000000000004</v>
      </c>
      <c r="C167" s="37">
        <f t="shared" si="18"/>
        <v>-65.66</v>
      </c>
      <c r="D167" s="37">
        <f t="shared" si="18"/>
        <v>-20.660000000000004</v>
      </c>
      <c r="E167" s="37">
        <f t="shared" si="18"/>
        <v>1244.3400000000001</v>
      </c>
      <c r="F167" s="37">
        <f t="shared" si="18"/>
        <v>24.340000000000003</v>
      </c>
      <c r="G167" s="37">
        <f t="shared" si="18"/>
        <v>39.340000000000003</v>
      </c>
      <c r="H167" s="37">
        <f t="shared" si="18"/>
        <v>139.33999999999997</v>
      </c>
      <c r="I167" s="37">
        <f t="shared" si="18"/>
        <v>374.34</v>
      </c>
      <c r="J167" s="37">
        <f t="shared" si="18"/>
        <v>-220.66000000000003</v>
      </c>
      <c r="K167" s="37">
        <f t="shared" si="18"/>
        <v>-265.66000000000003</v>
      </c>
      <c r="N167" s="36"/>
      <c r="O167" s="36"/>
      <c r="P167" s="36"/>
      <c r="Q167" s="36"/>
      <c r="R167" s="36"/>
      <c r="S167" s="36"/>
      <c r="T167" s="36"/>
      <c r="U167" s="36"/>
      <c r="V167" s="36"/>
    </row>
    <row r="168" spans="1:22" x14ac:dyDescent="0.2">
      <c r="A168" s="117" t="s">
        <v>34</v>
      </c>
      <c r="B168" s="37">
        <f t="shared" si="18"/>
        <v>-41.660000000000004</v>
      </c>
      <c r="C168" s="37">
        <f t="shared" si="18"/>
        <v>-80.66</v>
      </c>
      <c r="D168" s="37">
        <f t="shared" si="18"/>
        <v>13.339999999999996</v>
      </c>
      <c r="E168" s="37">
        <f t="shared" si="18"/>
        <v>1209.3400000000001</v>
      </c>
      <c r="F168" s="37">
        <f t="shared" si="18"/>
        <v>24.340000000000003</v>
      </c>
      <c r="G168" s="37">
        <f t="shared" si="18"/>
        <v>-20.660000000000004</v>
      </c>
      <c r="H168" s="37">
        <f t="shared" si="18"/>
        <v>199.33999999999997</v>
      </c>
      <c r="I168" s="37">
        <f t="shared" si="18"/>
        <v>479.34000000000003</v>
      </c>
      <c r="J168" s="37">
        <f t="shared" si="18"/>
        <v>-225.66000000000003</v>
      </c>
      <c r="K168" s="37">
        <f t="shared" si="18"/>
        <v>-265.66000000000003</v>
      </c>
      <c r="N168" s="36"/>
      <c r="O168" s="36"/>
      <c r="P168" s="36"/>
      <c r="Q168" s="36"/>
      <c r="R168" s="36"/>
      <c r="S168" s="36"/>
      <c r="T168" s="36"/>
      <c r="U168" s="36"/>
      <c r="V168" s="36"/>
    </row>
    <row r="169" spans="1:22" x14ac:dyDescent="0.2">
      <c r="A169" s="117" t="s">
        <v>35</v>
      </c>
      <c r="B169" s="37">
        <f t="shared" si="18"/>
        <v>-32.829999999999991</v>
      </c>
      <c r="C169" s="37">
        <f t="shared" si="18"/>
        <v>-112.82999999999998</v>
      </c>
      <c r="D169" s="37">
        <f t="shared" si="18"/>
        <v>22.170000000000016</v>
      </c>
      <c r="E169" s="37">
        <f t="shared" si="18"/>
        <v>1237.17</v>
      </c>
      <c r="F169" s="37">
        <f t="shared" si="18"/>
        <v>37.170000000000016</v>
      </c>
      <c r="G169" s="37">
        <f t="shared" si="18"/>
        <v>-27.829999999999991</v>
      </c>
      <c r="H169" s="37">
        <f t="shared" si="18"/>
        <v>157.17000000000002</v>
      </c>
      <c r="I169" s="37">
        <f t="shared" si="18"/>
        <v>487.16999999999996</v>
      </c>
      <c r="J169" s="37">
        <f t="shared" si="18"/>
        <v>-202.82999999999998</v>
      </c>
      <c r="K169" s="37">
        <f t="shared" si="18"/>
        <v>-267.83</v>
      </c>
    </row>
    <row r="171" spans="1:22" x14ac:dyDescent="0.2">
      <c r="G171" s="116"/>
      <c r="H171" s="116" t="s">
        <v>6</v>
      </c>
      <c r="I171" s="117"/>
      <c r="J171" s="115" t="s">
        <v>330</v>
      </c>
    </row>
    <row r="172" spans="1:22" x14ac:dyDescent="0.2">
      <c r="A172" s="112"/>
      <c r="B172" s="111" t="s">
        <v>14</v>
      </c>
      <c r="C172" s="111" t="s">
        <v>15</v>
      </c>
      <c r="D172" s="111" t="s">
        <v>16</v>
      </c>
      <c r="E172" s="111" t="s">
        <v>18</v>
      </c>
      <c r="F172" s="111" t="s">
        <v>19</v>
      </c>
      <c r="G172" s="111" t="s">
        <v>20</v>
      </c>
      <c r="H172" s="111" t="s">
        <v>21</v>
      </c>
      <c r="I172" s="111" t="s">
        <v>527</v>
      </c>
      <c r="J172" s="111" t="s">
        <v>528</v>
      </c>
      <c r="K172" s="111" t="s">
        <v>333</v>
      </c>
      <c r="L172" s="111" t="s">
        <v>84</v>
      </c>
    </row>
    <row r="173" spans="1:22" x14ac:dyDescent="0.2">
      <c r="A173" s="100" t="s">
        <v>24</v>
      </c>
      <c r="B173" s="98"/>
      <c r="C173" s="98"/>
      <c r="D173" s="98"/>
      <c r="E173" s="98"/>
      <c r="F173" s="98"/>
      <c r="G173" s="98"/>
      <c r="H173" s="98"/>
      <c r="I173" s="98"/>
      <c r="J173" s="98"/>
      <c r="K173" s="98"/>
      <c r="L173" s="98"/>
    </row>
    <row r="174" spans="1:22" x14ac:dyDescent="0.2">
      <c r="A174" s="104" t="s">
        <v>567</v>
      </c>
      <c r="B174" s="41">
        <f t="shared" ref="B174:K178" si="19">B110*B164</f>
        <v>-13.056434988534066</v>
      </c>
      <c r="C174" s="41">
        <f t="shared" si="19"/>
        <v>-97.874654690293127</v>
      </c>
      <c r="D174" s="41">
        <f t="shared" si="19"/>
        <v>2199.0746349277788</v>
      </c>
      <c r="E174" s="41">
        <f t="shared" si="19"/>
        <v>1051.0162310003473</v>
      </c>
      <c r="F174" s="41">
        <f t="shared" si="19"/>
        <v>4.8557837132738086</v>
      </c>
      <c r="G174" s="41">
        <f t="shared" si="19"/>
        <v>247.36505917417</v>
      </c>
      <c r="H174" s="41">
        <f t="shared" si="19"/>
        <v>86.742116331107439</v>
      </c>
      <c r="I174" s="41">
        <f t="shared" si="19"/>
        <v>357.64408301184375</v>
      </c>
      <c r="J174" s="41">
        <f t="shared" si="19"/>
        <v>-72.859272366122198</v>
      </c>
      <c r="K174" s="41">
        <f t="shared" si="19"/>
        <v>-367.49999553412624</v>
      </c>
      <c r="L174" s="41">
        <f t="shared" ref="L174:L179" si="20">SUM(B174:K174)</f>
        <v>3395.4075505794453</v>
      </c>
    </row>
    <row r="175" spans="1:22" x14ac:dyDescent="0.2">
      <c r="A175" s="117" t="s">
        <v>43</v>
      </c>
      <c r="B175" s="41">
        <f t="shared" si="19"/>
        <v>-339.29774561112367</v>
      </c>
      <c r="C175" s="41">
        <f t="shared" si="19"/>
        <v>-391.28452310056753</v>
      </c>
      <c r="D175" s="41">
        <f t="shared" si="19"/>
        <v>2025.5587062544337</v>
      </c>
      <c r="E175" s="41">
        <f t="shared" si="19"/>
        <v>1121.580637284301</v>
      </c>
      <c r="F175" s="41">
        <f t="shared" si="19"/>
        <v>39.409516901258904</v>
      </c>
      <c r="G175" s="41">
        <f t="shared" si="19"/>
        <v>270.92363623837662</v>
      </c>
      <c r="H175" s="41">
        <f t="shared" si="19"/>
        <v>95.003270267403366</v>
      </c>
      <c r="I175" s="41">
        <f t="shared" si="19"/>
        <v>359.88877095726718</v>
      </c>
      <c r="J175" s="41">
        <f t="shared" si="19"/>
        <v>-79.798250686705259</v>
      </c>
      <c r="K175" s="41">
        <f t="shared" si="19"/>
        <v>-402.49999510880485</v>
      </c>
      <c r="L175" s="41">
        <f t="shared" si="20"/>
        <v>2699.4840233958403</v>
      </c>
    </row>
    <row r="176" spans="1:22" x14ac:dyDescent="0.2">
      <c r="A176" s="117" t="s">
        <v>44</v>
      </c>
      <c r="B176" s="41">
        <f t="shared" si="19"/>
        <v>-665.8781844152337</v>
      </c>
      <c r="C176" s="41">
        <f t="shared" si="19"/>
        <v>-703.10661832284745</v>
      </c>
      <c r="D176" s="41">
        <f t="shared" si="19"/>
        <v>1150.1202298848489</v>
      </c>
      <c r="E176" s="41">
        <f t="shared" si="19"/>
        <v>1077.9805757845934</v>
      </c>
      <c r="F176" s="41">
        <f t="shared" si="19"/>
        <v>81.635269777859804</v>
      </c>
      <c r="G176" s="41">
        <f t="shared" si="19"/>
        <v>234.91463340538752</v>
      </c>
      <c r="H176" s="41">
        <f t="shared" si="19"/>
        <v>68.066477677933733</v>
      </c>
      <c r="I176" s="41">
        <f t="shared" si="19"/>
        <v>328.59409522185263</v>
      </c>
      <c r="J176" s="41">
        <f t="shared" si="19"/>
        <v>-76.317891580311993</v>
      </c>
      <c r="K176" s="41">
        <f t="shared" si="19"/>
        <v>-367.49999553412624</v>
      </c>
      <c r="L176" s="41">
        <f t="shared" si="20"/>
        <v>1128.5085918999566</v>
      </c>
    </row>
    <row r="177" spans="1:12" x14ac:dyDescent="0.2">
      <c r="A177" s="117" t="s">
        <v>116</v>
      </c>
      <c r="B177" s="41">
        <f t="shared" si="19"/>
        <v>-1277.8726688777874</v>
      </c>
      <c r="C177" s="41">
        <f t="shared" si="19"/>
        <v>-1189.4825525258466</v>
      </c>
      <c r="D177" s="41">
        <f t="shared" si="19"/>
        <v>-504.51931870911415</v>
      </c>
      <c r="E177" s="41">
        <f t="shared" si="19"/>
        <v>1171.6855259591039</v>
      </c>
      <c r="F177" s="41">
        <f t="shared" si="19"/>
        <v>52.913615441267048</v>
      </c>
      <c r="G177" s="41">
        <f t="shared" si="19"/>
        <v>102.62470947015095</v>
      </c>
      <c r="H177" s="41">
        <f t="shared" si="19"/>
        <v>90.872693299255403</v>
      </c>
      <c r="I177" s="41">
        <f t="shared" si="19"/>
        <v>379.74697372177127</v>
      </c>
      <c r="J177" s="41">
        <f t="shared" si="19"/>
        <v>-79.952076893660177</v>
      </c>
      <c r="K177" s="41">
        <f t="shared" si="19"/>
        <v>-384.99999532146558</v>
      </c>
      <c r="L177" s="41">
        <f t="shared" si="20"/>
        <v>-1638.9830944363255</v>
      </c>
    </row>
    <row r="178" spans="1:12" x14ac:dyDescent="0.2">
      <c r="A178" s="117" t="s">
        <v>34</v>
      </c>
      <c r="B178" s="41">
        <f t="shared" si="19"/>
        <v>-863.38266924178765</v>
      </c>
      <c r="C178" s="41">
        <f t="shared" si="19"/>
        <v>-1461.2193525241362</v>
      </c>
      <c r="D178" s="41">
        <f t="shared" si="19"/>
        <v>325.76416803386155</v>
      </c>
      <c r="E178" s="41">
        <f t="shared" si="19"/>
        <v>1138.7291045561362</v>
      </c>
      <c r="F178" s="41">
        <f t="shared" si="19"/>
        <v>52.913615441267048</v>
      </c>
      <c r="G178" s="41">
        <f t="shared" si="19"/>
        <v>-53.8949287659715</v>
      </c>
      <c r="H178" s="41">
        <f t="shared" si="19"/>
        <v>130.002602858286</v>
      </c>
      <c r="I178" s="41">
        <f t="shared" si="19"/>
        <v>486.26359561840536</v>
      </c>
      <c r="J178" s="41">
        <f t="shared" si="19"/>
        <v>-81.763734577283401</v>
      </c>
      <c r="K178" s="41">
        <f t="shared" si="19"/>
        <v>-384.99999532146558</v>
      </c>
      <c r="L178" s="41">
        <f t="shared" si="20"/>
        <v>-711.58759392268803</v>
      </c>
    </row>
    <row r="179" spans="1:12" x14ac:dyDescent="0.2">
      <c r="A179" s="117" t="s">
        <v>35</v>
      </c>
      <c r="B179" s="40">
        <f>+B159*B169</f>
        <v>-649.45872829328925</v>
      </c>
      <c r="C179" s="40">
        <f t="shared" ref="C179:K179" si="21">+C159*C169</f>
        <v>-1951.0949273331742</v>
      </c>
      <c r="D179" s="40">
        <f t="shared" si="21"/>
        <v>516.78487021781757</v>
      </c>
      <c r="E179" s="40">
        <f t="shared" si="21"/>
        <v>1111.9826145575278</v>
      </c>
      <c r="F179" s="40">
        <f t="shared" si="21"/>
        <v>77.132256676234107</v>
      </c>
      <c r="G179" s="40">
        <f t="shared" si="21"/>
        <v>-69.299069829043191</v>
      </c>
      <c r="H179" s="40">
        <f t="shared" si="21"/>
        <v>97.841670903977032</v>
      </c>
      <c r="I179" s="40">
        <f t="shared" si="21"/>
        <v>471.74275172166546</v>
      </c>
      <c r="J179" s="40">
        <f t="shared" si="21"/>
        <v>-70.151173521411579</v>
      </c>
      <c r="K179" s="40">
        <f t="shared" si="21"/>
        <v>-370.50185878154412</v>
      </c>
      <c r="L179" s="40">
        <f t="shared" si="20"/>
        <v>-835.02159368124035</v>
      </c>
    </row>
    <row r="180" spans="1:12" x14ac:dyDescent="0.2">
      <c r="A180" s="86" t="s">
        <v>88</v>
      </c>
      <c r="B180" s="85">
        <f>SUM(B174:B179)</f>
        <v>-3808.9464314277561</v>
      </c>
      <c r="C180" s="85">
        <f t="shared" ref="C180:L180" si="22">SUM(C174:C179)</f>
        <v>-5794.0626284968657</v>
      </c>
      <c r="D180" s="85">
        <f t="shared" si="22"/>
        <v>5712.7832906096264</v>
      </c>
      <c r="E180" s="85">
        <f t="shared" si="22"/>
        <v>6672.9746891420091</v>
      </c>
      <c r="F180" s="85">
        <f t="shared" si="22"/>
        <v>308.86005795116068</v>
      </c>
      <c r="G180" s="85">
        <f t="shared" si="22"/>
        <v>732.63403969307035</v>
      </c>
      <c r="H180" s="85">
        <f t="shared" si="22"/>
        <v>568.52883133796297</v>
      </c>
      <c r="I180" s="85">
        <f t="shared" si="22"/>
        <v>2383.8802702528055</v>
      </c>
      <c r="J180" s="85">
        <f t="shared" si="22"/>
        <v>-460.84239962549458</v>
      </c>
      <c r="K180" s="85">
        <f t="shared" si="22"/>
        <v>-2278.0018356015325</v>
      </c>
      <c r="L180" s="85">
        <f t="shared" si="22"/>
        <v>4037.8078838349884</v>
      </c>
    </row>
  </sheetData>
  <pageMargins left="0.7" right="0.7" top="0.75" bottom="0.75" header="0.3" footer="0.3"/>
  <pageSetup scale="84" fitToHeight="3" orientation="landscape" r:id="rId1"/>
  <legacyDrawing r:id="rId2"/>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59999389629810485"/>
  </sheetPr>
  <dimension ref="A1:I128"/>
  <sheetViews>
    <sheetView showGridLines="0" topLeftCell="A30" zoomScaleNormal="100" workbookViewId="0">
      <selection activeCell="F53" sqref="F53"/>
    </sheetView>
  </sheetViews>
  <sheetFormatPr defaultRowHeight="15" x14ac:dyDescent="0.2"/>
  <cols>
    <col min="1" max="1" width="13.21875" style="65" customWidth="1"/>
    <col min="2" max="2" width="7.5546875" style="65" customWidth="1"/>
    <col min="3" max="5" width="8.88671875" style="65"/>
    <col min="6" max="6" width="7.5546875" style="65" customWidth="1"/>
    <col min="7" max="7" width="8.88671875" style="65"/>
    <col min="8" max="8" width="4.44140625" style="65" customWidth="1"/>
    <col min="9" max="9" width="6.5546875" style="65" customWidth="1"/>
    <col min="10" max="256" width="8.88671875" style="65"/>
    <col min="257" max="257" width="13.21875" style="65" customWidth="1"/>
    <col min="258" max="258" width="7.5546875" style="65" customWidth="1"/>
    <col min="259" max="261" width="8.88671875" style="65"/>
    <col min="262" max="262" width="7.5546875" style="65" customWidth="1"/>
    <col min="263" max="263" width="8.88671875" style="65"/>
    <col min="264" max="264" width="4.44140625" style="65" customWidth="1"/>
    <col min="265" max="265" width="6.5546875" style="65" customWidth="1"/>
    <col min="266" max="512" width="8.88671875" style="65"/>
    <col min="513" max="513" width="13.21875" style="65" customWidth="1"/>
    <col min="514" max="514" width="7.5546875" style="65" customWidth="1"/>
    <col min="515" max="517" width="8.88671875" style="65"/>
    <col min="518" max="518" width="7.5546875" style="65" customWidth="1"/>
    <col min="519" max="519" width="8.88671875" style="65"/>
    <col min="520" max="520" width="4.44140625" style="65" customWidth="1"/>
    <col min="521" max="521" width="6.5546875" style="65" customWidth="1"/>
    <col min="522" max="768" width="8.88671875" style="65"/>
    <col min="769" max="769" width="13.21875" style="65" customWidth="1"/>
    <col min="770" max="770" width="7.5546875" style="65" customWidth="1"/>
    <col min="771" max="773" width="8.88671875" style="65"/>
    <col min="774" max="774" width="7.5546875" style="65" customWidth="1"/>
    <col min="775" max="775" width="8.88671875" style="65"/>
    <col min="776" max="776" width="4.44140625" style="65" customWidth="1"/>
    <col min="777" max="777" width="6.5546875" style="65" customWidth="1"/>
    <col min="778" max="1024" width="8.88671875" style="65"/>
    <col min="1025" max="1025" width="13.21875" style="65" customWidth="1"/>
    <col min="1026" max="1026" width="7.5546875" style="65" customWidth="1"/>
    <col min="1027" max="1029" width="8.88671875" style="65"/>
    <col min="1030" max="1030" width="7.5546875" style="65" customWidth="1"/>
    <col min="1031" max="1031" width="8.88671875" style="65"/>
    <col min="1032" max="1032" width="4.44140625" style="65" customWidth="1"/>
    <col min="1033" max="1033" width="6.5546875" style="65" customWidth="1"/>
    <col min="1034" max="1280" width="8.88671875" style="65"/>
    <col min="1281" max="1281" width="13.21875" style="65" customWidth="1"/>
    <col min="1282" max="1282" width="7.5546875" style="65" customWidth="1"/>
    <col min="1283" max="1285" width="8.88671875" style="65"/>
    <col min="1286" max="1286" width="7.5546875" style="65" customWidth="1"/>
    <col min="1287" max="1287" width="8.88671875" style="65"/>
    <col min="1288" max="1288" width="4.44140625" style="65" customWidth="1"/>
    <col min="1289" max="1289" width="6.5546875" style="65" customWidth="1"/>
    <col min="1290" max="1536" width="8.88671875" style="65"/>
    <col min="1537" max="1537" width="13.21875" style="65" customWidth="1"/>
    <col min="1538" max="1538" width="7.5546875" style="65" customWidth="1"/>
    <col min="1539" max="1541" width="8.88671875" style="65"/>
    <col min="1542" max="1542" width="7.5546875" style="65" customWidth="1"/>
    <col min="1543" max="1543" width="8.88671875" style="65"/>
    <col min="1544" max="1544" width="4.44140625" style="65" customWidth="1"/>
    <col min="1545" max="1545" width="6.5546875" style="65" customWidth="1"/>
    <col min="1546" max="1792" width="8.88671875" style="65"/>
    <col min="1793" max="1793" width="13.21875" style="65" customWidth="1"/>
    <col min="1794" max="1794" width="7.5546875" style="65" customWidth="1"/>
    <col min="1795" max="1797" width="8.88671875" style="65"/>
    <col min="1798" max="1798" width="7.5546875" style="65" customWidth="1"/>
    <col min="1799" max="1799" width="8.88671875" style="65"/>
    <col min="1800" max="1800" width="4.44140625" style="65" customWidth="1"/>
    <col min="1801" max="1801" width="6.5546875" style="65" customWidth="1"/>
    <col min="1802" max="2048" width="8.88671875" style="65"/>
    <col min="2049" max="2049" width="13.21875" style="65" customWidth="1"/>
    <col min="2050" max="2050" width="7.5546875" style="65" customWidth="1"/>
    <col min="2051" max="2053" width="8.88671875" style="65"/>
    <col min="2054" max="2054" width="7.5546875" style="65" customWidth="1"/>
    <col min="2055" max="2055" width="8.88671875" style="65"/>
    <col min="2056" max="2056" width="4.44140625" style="65" customWidth="1"/>
    <col min="2057" max="2057" width="6.5546875" style="65" customWidth="1"/>
    <col min="2058" max="2304" width="8.88671875" style="65"/>
    <col min="2305" max="2305" width="13.21875" style="65" customWidth="1"/>
    <col min="2306" max="2306" width="7.5546875" style="65" customWidth="1"/>
    <col min="2307" max="2309" width="8.88671875" style="65"/>
    <col min="2310" max="2310" width="7.5546875" style="65" customWidth="1"/>
    <col min="2311" max="2311" width="8.88671875" style="65"/>
    <col min="2312" max="2312" width="4.44140625" style="65" customWidth="1"/>
    <col min="2313" max="2313" width="6.5546875" style="65" customWidth="1"/>
    <col min="2314" max="2560" width="8.88671875" style="65"/>
    <col min="2561" max="2561" width="13.21875" style="65" customWidth="1"/>
    <col min="2562" max="2562" width="7.5546875" style="65" customWidth="1"/>
    <col min="2563" max="2565" width="8.88671875" style="65"/>
    <col min="2566" max="2566" width="7.5546875" style="65" customWidth="1"/>
    <col min="2567" max="2567" width="8.88671875" style="65"/>
    <col min="2568" max="2568" width="4.44140625" style="65" customWidth="1"/>
    <col min="2569" max="2569" width="6.5546875" style="65" customWidth="1"/>
    <col min="2570" max="2816" width="8.88671875" style="65"/>
    <col min="2817" max="2817" width="13.21875" style="65" customWidth="1"/>
    <col min="2818" max="2818" width="7.5546875" style="65" customWidth="1"/>
    <col min="2819" max="2821" width="8.88671875" style="65"/>
    <col min="2822" max="2822" width="7.5546875" style="65" customWidth="1"/>
    <col min="2823" max="2823" width="8.88671875" style="65"/>
    <col min="2824" max="2824" width="4.44140625" style="65" customWidth="1"/>
    <col min="2825" max="2825" width="6.5546875" style="65" customWidth="1"/>
    <col min="2826" max="3072" width="8.88671875" style="65"/>
    <col min="3073" max="3073" width="13.21875" style="65" customWidth="1"/>
    <col min="3074" max="3074" width="7.5546875" style="65" customWidth="1"/>
    <col min="3075" max="3077" width="8.88671875" style="65"/>
    <col min="3078" max="3078" width="7.5546875" style="65" customWidth="1"/>
    <col min="3079" max="3079" width="8.88671875" style="65"/>
    <col min="3080" max="3080" width="4.44140625" style="65" customWidth="1"/>
    <col min="3081" max="3081" width="6.5546875" style="65" customWidth="1"/>
    <col min="3082" max="3328" width="8.88671875" style="65"/>
    <col min="3329" max="3329" width="13.21875" style="65" customWidth="1"/>
    <col min="3330" max="3330" width="7.5546875" style="65" customWidth="1"/>
    <col min="3331" max="3333" width="8.88671875" style="65"/>
    <col min="3334" max="3334" width="7.5546875" style="65" customWidth="1"/>
    <col min="3335" max="3335" width="8.88671875" style="65"/>
    <col min="3336" max="3336" width="4.44140625" style="65" customWidth="1"/>
    <col min="3337" max="3337" width="6.5546875" style="65" customWidth="1"/>
    <col min="3338" max="3584" width="8.88671875" style="65"/>
    <col min="3585" max="3585" width="13.21875" style="65" customWidth="1"/>
    <col min="3586" max="3586" width="7.5546875" style="65" customWidth="1"/>
    <col min="3587" max="3589" width="8.88671875" style="65"/>
    <col min="3590" max="3590" width="7.5546875" style="65" customWidth="1"/>
    <col min="3591" max="3591" width="8.88671875" style="65"/>
    <col min="3592" max="3592" width="4.44140625" style="65" customWidth="1"/>
    <col min="3593" max="3593" width="6.5546875" style="65" customWidth="1"/>
    <col min="3594" max="3840" width="8.88671875" style="65"/>
    <col min="3841" max="3841" width="13.21875" style="65" customWidth="1"/>
    <col min="3842" max="3842" width="7.5546875" style="65" customWidth="1"/>
    <col min="3843" max="3845" width="8.88671875" style="65"/>
    <col min="3846" max="3846" width="7.5546875" style="65" customWidth="1"/>
    <col min="3847" max="3847" width="8.88671875" style="65"/>
    <col min="3848" max="3848" width="4.44140625" style="65" customWidth="1"/>
    <col min="3849" max="3849" width="6.5546875" style="65" customWidth="1"/>
    <col min="3850" max="4096" width="8.88671875" style="65"/>
    <col min="4097" max="4097" width="13.21875" style="65" customWidth="1"/>
    <col min="4098" max="4098" width="7.5546875" style="65" customWidth="1"/>
    <col min="4099" max="4101" width="8.88671875" style="65"/>
    <col min="4102" max="4102" width="7.5546875" style="65" customWidth="1"/>
    <col min="4103" max="4103" width="8.88671875" style="65"/>
    <col min="4104" max="4104" width="4.44140625" style="65" customWidth="1"/>
    <col min="4105" max="4105" width="6.5546875" style="65" customWidth="1"/>
    <col min="4106" max="4352" width="8.88671875" style="65"/>
    <col min="4353" max="4353" width="13.21875" style="65" customWidth="1"/>
    <col min="4354" max="4354" width="7.5546875" style="65" customWidth="1"/>
    <col min="4355" max="4357" width="8.88671875" style="65"/>
    <col min="4358" max="4358" width="7.5546875" style="65" customWidth="1"/>
    <col min="4359" max="4359" width="8.88671875" style="65"/>
    <col min="4360" max="4360" width="4.44140625" style="65" customWidth="1"/>
    <col min="4361" max="4361" width="6.5546875" style="65" customWidth="1"/>
    <col min="4362" max="4608" width="8.88671875" style="65"/>
    <col min="4609" max="4609" width="13.21875" style="65" customWidth="1"/>
    <col min="4610" max="4610" width="7.5546875" style="65" customWidth="1"/>
    <col min="4611" max="4613" width="8.88671875" style="65"/>
    <col min="4614" max="4614" width="7.5546875" style="65" customWidth="1"/>
    <col min="4615" max="4615" width="8.88671875" style="65"/>
    <col min="4616" max="4616" width="4.44140625" style="65" customWidth="1"/>
    <col min="4617" max="4617" width="6.5546875" style="65" customWidth="1"/>
    <col min="4618" max="4864" width="8.88671875" style="65"/>
    <col min="4865" max="4865" width="13.21875" style="65" customWidth="1"/>
    <col min="4866" max="4866" width="7.5546875" style="65" customWidth="1"/>
    <col min="4867" max="4869" width="8.88671875" style="65"/>
    <col min="4870" max="4870" width="7.5546875" style="65" customWidth="1"/>
    <col min="4871" max="4871" width="8.88671875" style="65"/>
    <col min="4872" max="4872" width="4.44140625" style="65" customWidth="1"/>
    <col min="4873" max="4873" width="6.5546875" style="65" customWidth="1"/>
    <col min="4874" max="5120" width="8.88671875" style="65"/>
    <col min="5121" max="5121" width="13.21875" style="65" customWidth="1"/>
    <col min="5122" max="5122" width="7.5546875" style="65" customWidth="1"/>
    <col min="5123" max="5125" width="8.88671875" style="65"/>
    <col min="5126" max="5126" width="7.5546875" style="65" customWidth="1"/>
    <col min="5127" max="5127" width="8.88671875" style="65"/>
    <col min="5128" max="5128" width="4.44140625" style="65" customWidth="1"/>
    <col min="5129" max="5129" width="6.5546875" style="65" customWidth="1"/>
    <col min="5130" max="5376" width="8.88671875" style="65"/>
    <col min="5377" max="5377" width="13.21875" style="65" customWidth="1"/>
    <col min="5378" max="5378" width="7.5546875" style="65" customWidth="1"/>
    <col min="5379" max="5381" width="8.88671875" style="65"/>
    <col min="5382" max="5382" width="7.5546875" style="65" customWidth="1"/>
    <col min="5383" max="5383" width="8.88671875" style="65"/>
    <col min="5384" max="5384" width="4.44140625" style="65" customWidth="1"/>
    <col min="5385" max="5385" width="6.5546875" style="65" customWidth="1"/>
    <col min="5386" max="5632" width="8.88671875" style="65"/>
    <col min="5633" max="5633" width="13.21875" style="65" customWidth="1"/>
    <col min="5634" max="5634" width="7.5546875" style="65" customWidth="1"/>
    <col min="5635" max="5637" width="8.88671875" style="65"/>
    <col min="5638" max="5638" width="7.5546875" style="65" customWidth="1"/>
    <col min="5639" max="5639" width="8.88671875" style="65"/>
    <col min="5640" max="5640" width="4.44140625" style="65" customWidth="1"/>
    <col min="5641" max="5641" width="6.5546875" style="65" customWidth="1"/>
    <col min="5642" max="5888" width="8.88671875" style="65"/>
    <col min="5889" max="5889" width="13.21875" style="65" customWidth="1"/>
    <col min="5890" max="5890" width="7.5546875" style="65" customWidth="1"/>
    <col min="5891" max="5893" width="8.88671875" style="65"/>
    <col min="5894" max="5894" width="7.5546875" style="65" customWidth="1"/>
    <col min="5895" max="5895" width="8.88671875" style="65"/>
    <col min="5896" max="5896" width="4.44140625" style="65" customWidth="1"/>
    <col min="5897" max="5897" width="6.5546875" style="65" customWidth="1"/>
    <col min="5898" max="6144" width="8.88671875" style="65"/>
    <col min="6145" max="6145" width="13.21875" style="65" customWidth="1"/>
    <col min="6146" max="6146" width="7.5546875" style="65" customWidth="1"/>
    <col min="6147" max="6149" width="8.88671875" style="65"/>
    <col min="6150" max="6150" width="7.5546875" style="65" customWidth="1"/>
    <col min="6151" max="6151" width="8.88671875" style="65"/>
    <col min="6152" max="6152" width="4.44140625" style="65" customWidth="1"/>
    <col min="6153" max="6153" width="6.5546875" style="65" customWidth="1"/>
    <col min="6154" max="6400" width="8.88671875" style="65"/>
    <col min="6401" max="6401" width="13.21875" style="65" customWidth="1"/>
    <col min="6402" max="6402" width="7.5546875" style="65" customWidth="1"/>
    <col min="6403" max="6405" width="8.88671875" style="65"/>
    <col min="6406" max="6406" width="7.5546875" style="65" customWidth="1"/>
    <col min="6407" max="6407" width="8.88671875" style="65"/>
    <col min="6408" max="6408" width="4.44140625" style="65" customWidth="1"/>
    <col min="6409" max="6409" width="6.5546875" style="65" customWidth="1"/>
    <col min="6410" max="6656" width="8.88671875" style="65"/>
    <col min="6657" max="6657" width="13.21875" style="65" customWidth="1"/>
    <col min="6658" max="6658" width="7.5546875" style="65" customWidth="1"/>
    <col min="6659" max="6661" width="8.88671875" style="65"/>
    <col min="6662" max="6662" width="7.5546875" style="65" customWidth="1"/>
    <col min="6663" max="6663" width="8.88671875" style="65"/>
    <col min="6664" max="6664" width="4.44140625" style="65" customWidth="1"/>
    <col min="6665" max="6665" width="6.5546875" style="65" customWidth="1"/>
    <col min="6666" max="6912" width="8.88671875" style="65"/>
    <col min="6913" max="6913" width="13.21875" style="65" customWidth="1"/>
    <col min="6914" max="6914" width="7.5546875" style="65" customWidth="1"/>
    <col min="6915" max="6917" width="8.88671875" style="65"/>
    <col min="6918" max="6918" width="7.5546875" style="65" customWidth="1"/>
    <col min="6919" max="6919" width="8.88671875" style="65"/>
    <col min="6920" max="6920" width="4.44140625" style="65" customWidth="1"/>
    <col min="6921" max="6921" width="6.5546875" style="65" customWidth="1"/>
    <col min="6922" max="7168" width="8.88671875" style="65"/>
    <col min="7169" max="7169" width="13.21875" style="65" customWidth="1"/>
    <col min="7170" max="7170" width="7.5546875" style="65" customWidth="1"/>
    <col min="7171" max="7173" width="8.88671875" style="65"/>
    <col min="7174" max="7174" width="7.5546875" style="65" customWidth="1"/>
    <col min="7175" max="7175" width="8.88671875" style="65"/>
    <col min="7176" max="7176" width="4.44140625" style="65" customWidth="1"/>
    <col min="7177" max="7177" width="6.5546875" style="65" customWidth="1"/>
    <col min="7178" max="7424" width="8.88671875" style="65"/>
    <col min="7425" max="7425" width="13.21875" style="65" customWidth="1"/>
    <col min="7426" max="7426" width="7.5546875" style="65" customWidth="1"/>
    <col min="7427" max="7429" width="8.88671875" style="65"/>
    <col min="7430" max="7430" width="7.5546875" style="65" customWidth="1"/>
    <col min="7431" max="7431" width="8.88671875" style="65"/>
    <col min="7432" max="7432" width="4.44140625" style="65" customWidth="1"/>
    <col min="7433" max="7433" width="6.5546875" style="65" customWidth="1"/>
    <col min="7434" max="7680" width="8.88671875" style="65"/>
    <col min="7681" max="7681" width="13.21875" style="65" customWidth="1"/>
    <col min="7682" max="7682" width="7.5546875" style="65" customWidth="1"/>
    <col min="7683" max="7685" width="8.88671875" style="65"/>
    <col min="7686" max="7686" width="7.5546875" style="65" customWidth="1"/>
    <col min="7687" max="7687" width="8.88671875" style="65"/>
    <col min="7688" max="7688" width="4.44140625" style="65" customWidth="1"/>
    <col min="7689" max="7689" width="6.5546875" style="65" customWidth="1"/>
    <col min="7690" max="7936" width="8.88671875" style="65"/>
    <col min="7937" max="7937" width="13.21875" style="65" customWidth="1"/>
    <col min="7938" max="7938" width="7.5546875" style="65" customWidth="1"/>
    <col min="7939" max="7941" width="8.88671875" style="65"/>
    <col min="7942" max="7942" width="7.5546875" style="65" customWidth="1"/>
    <col min="7943" max="7943" width="8.88671875" style="65"/>
    <col min="7944" max="7944" width="4.44140625" style="65" customWidth="1"/>
    <col min="7945" max="7945" width="6.5546875" style="65" customWidth="1"/>
    <col min="7946" max="8192" width="8.88671875" style="65"/>
    <col min="8193" max="8193" width="13.21875" style="65" customWidth="1"/>
    <col min="8194" max="8194" width="7.5546875" style="65" customWidth="1"/>
    <col min="8195" max="8197" width="8.88671875" style="65"/>
    <col min="8198" max="8198" width="7.5546875" style="65" customWidth="1"/>
    <col min="8199" max="8199" width="8.88671875" style="65"/>
    <col min="8200" max="8200" width="4.44140625" style="65" customWidth="1"/>
    <col min="8201" max="8201" width="6.5546875" style="65" customWidth="1"/>
    <col min="8202" max="8448" width="8.88671875" style="65"/>
    <col min="8449" max="8449" width="13.21875" style="65" customWidth="1"/>
    <col min="8450" max="8450" width="7.5546875" style="65" customWidth="1"/>
    <col min="8451" max="8453" width="8.88671875" style="65"/>
    <col min="8454" max="8454" width="7.5546875" style="65" customWidth="1"/>
    <col min="8455" max="8455" width="8.88671875" style="65"/>
    <col min="8456" max="8456" width="4.44140625" style="65" customWidth="1"/>
    <col min="8457" max="8457" width="6.5546875" style="65" customWidth="1"/>
    <col min="8458" max="8704" width="8.88671875" style="65"/>
    <col min="8705" max="8705" width="13.21875" style="65" customWidth="1"/>
    <col min="8706" max="8706" width="7.5546875" style="65" customWidth="1"/>
    <col min="8707" max="8709" width="8.88671875" style="65"/>
    <col min="8710" max="8710" width="7.5546875" style="65" customWidth="1"/>
    <col min="8711" max="8711" width="8.88671875" style="65"/>
    <col min="8712" max="8712" width="4.44140625" style="65" customWidth="1"/>
    <col min="8713" max="8713" width="6.5546875" style="65" customWidth="1"/>
    <col min="8714" max="8960" width="8.88671875" style="65"/>
    <col min="8961" max="8961" width="13.21875" style="65" customWidth="1"/>
    <col min="8962" max="8962" width="7.5546875" style="65" customWidth="1"/>
    <col min="8963" max="8965" width="8.88671875" style="65"/>
    <col min="8966" max="8966" width="7.5546875" style="65" customWidth="1"/>
    <col min="8967" max="8967" width="8.88671875" style="65"/>
    <col min="8968" max="8968" width="4.44140625" style="65" customWidth="1"/>
    <col min="8969" max="8969" width="6.5546875" style="65" customWidth="1"/>
    <col min="8970" max="9216" width="8.88671875" style="65"/>
    <col min="9217" max="9217" width="13.21875" style="65" customWidth="1"/>
    <col min="9218" max="9218" width="7.5546875" style="65" customWidth="1"/>
    <col min="9219" max="9221" width="8.88671875" style="65"/>
    <col min="9222" max="9222" width="7.5546875" style="65" customWidth="1"/>
    <col min="9223" max="9223" width="8.88671875" style="65"/>
    <col min="9224" max="9224" width="4.44140625" style="65" customWidth="1"/>
    <col min="9225" max="9225" width="6.5546875" style="65" customWidth="1"/>
    <col min="9226" max="9472" width="8.88671875" style="65"/>
    <col min="9473" max="9473" width="13.21875" style="65" customWidth="1"/>
    <col min="9474" max="9474" width="7.5546875" style="65" customWidth="1"/>
    <col min="9475" max="9477" width="8.88671875" style="65"/>
    <col min="9478" max="9478" width="7.5546875" style="65" customWidth="1"/>
    <col min="9479" max="9479" width="8.88671875" style="65"/>
    <col min="9480" max="9480" width="4.44140625" style="65" customWidth="1"/>
    <col min="9481" max="9481" width="6.5546875" style="65" customWidth="1"/>
    <col min="9482" max="9728" width="8.88671875" style="65"/>
    <col min="9729" max="9729" width="13.21875" style="65" customWidth="1"/>
    <col min="9730" max="9730" width="7.5546875" style="65" customWidth="1"/>
    <col min="9731" max="9733" width="8.88671875" style="65"/>
    <col min="9734" max="9734" width="7.5546875" style="65" customWidth="1"/>
    <col min="9735" max="9735" width="8.88671875" style="65"/>
    <col min="9736" max="9736" width="4.44140625" style="65" customWidth="1"/>
    <col min="9737" max="9737" width="6.5546875" style="65" customWidth="1"/>
    <col min="9738" max="9984" width="8.88671875" style="65"/>
    <col min="9985" max="9985" width="13.21875" style="65" customWidth="1"/>
    <col min="9986" max="9986" width="7.5546875" style="65" customWidth="1"/>
    <col min="9987" max="9989" width="8.88671875" style="65"/>
    <col min="9990" max="9990" width="7.5546875" style="65" customWidth="1"/>
    <col min="9991" max="9991" width="8.88671875" style="65"/>
    <col min="9992" max="9992" width="4.44140625" style="65" customWidth="1"/>
    <col min="9993" max="9993" width="6.5546875" style="65" customWidth="1"/>
    <col min="9994" max="10240" width="8.88671875" style="65"/>
    <col min="10241" max="10241" width="13.21875" style="65" customWidth="1"/>
    <col min="10242" max="10242" width="7.5546875" style="65" customWidth="1"/>
    <col min="10243" max="10245" width="8.88671875" style="65"/>
    <col min="10246" max="10246" width="7.5546875" style="65" customWidth="1"/>
    <col min="10247" max="10247" width="8.88671875" style="65"/>
    <col min="10248" max="10248" width="4.44140625" style="65" customWidth="1"/>
    <col min="10249" max="10249" width="6.5546875" style="65" customWidth="1"/>
    <col min="10250" max="10496" width="8.88671875" style="65"/>
    <col min="10497" max="10497" width="13.21875" style="65" customWidth="1"/>
    <col min="10498" max="10498" width="7.5546875" style="65" customWidth="1"/>
    <col min="10499" max="10501" width="8.88671875" style="65"/>
    <col min="10502" max="10502" width="7.5546875" style="65" customWidth="1"/>
    <col min="10503" max="10503" width="8.88671875" style="65"/>
    <col min="10504" max="10504" width="4.44140625" style="65" customWidth="1"/>
    <col min="10505" max="10505" width="6.5546875" style="65" customWidth="1"/>
    <col min="10506" max="10752" width="8.88671875" style="65"/>
    <col min="10753" max="10753" width="13.21875" style="65" customWidth="1"/>
    <col min="10754" max="10754" width="7.5546875" style="65" customWidth="1"/>
    <col min="10755" max="10757" width="8.88671875" style="65"/>
    <col min="10758" max="10758" width="7.5546875" style="65" customWidth="1"/>
    <col min="10759" max="10759" width="8.88671875" style="65"/>
    <col min="10760" max="10760" width="4.44140625" style="65" customWidth="1"/>
    <col min="10761" max="10761" width="6.5546875" style="65" customWidth="1"/>
    <col min="10762" max="11008" width="8.88671875" style="65"/>
    <col min="11009" max="11009" width="13.21875" style="65" customWidth="1"/>
    <col min="11010" max="11010" width="7.5546875" style="65" customWidth="1"/>
    <col min="11011" max="11013" width="8.88671875" style="65"/>
    <col min="11014" max="11014" width="7.5546875" style="65" customWidth="1"/>
    <col min="11015" max="11015" width="8.88671875" style="65"/>
    <col min="11016" max="11016" width="4.44140625" style="65" customWidth="1"/>
    <col min="11017" max="11017" width="6.5546875" style="65" customWidth="1"/>
    <col min="11018" max="11264" width="8.88671875" style="65"/>
    <col min="11265" max="11265" width="13.21875" style="65" customWidth="1"/>
    <col min="11266" max="11266" width="7.5546875" style="65" customWidth="1"/>
    <col min="11267" max="11269" width="8.88671875" style="65"/>
    <col min="11270" max="11270" width="7.5546875" style="65" customWidth="1"/>
    <col min="11271" max="11271" width="8.88671875" style="65"/>
    <col min="11272" max="11272" width="4.44140625" style="65" customWidth="1"/>
    <col min="11273" max="11273" width="6.5546875" style="65" customWidth="1"/>
    <col min="11274" max="11520" width="8.88671875" style="65"/>
    <col min="11521" max="11521" width="13.21875" style="65" customWidth="1"/>
    <col min="11522" max="11522" width="7.5546875" style="65" customWidth="1"/>
    <col min="11523" max="11525" width="8.88671875" style="65"/>
    <col min="11526" max="11526" width="7.5546875" style="65" customWidth="1"/>
    <col min="11527" max="11527" width="8.88671875" style="65"/>
    <col min="11528" max="11528" width="4.44140625" style="65" customWidth="1"/>
    <col min="11529" max="11529" width="6.5546875" style="65" customWidth="1"/>
    <col min="11530" max="11776" width="8.88671875" style="65"/>
    <col min="11777" max="11777" width="13.21875" style="65" customWidth="1"/>
    <col min="11778" max="11778" width="7.5546875" style="65" customWidth="1"/>
    <col min="11779" max="11781" width="8.88671875" style="65"/>
    <col min="11782" max="11782" width="7.5546875" style="65" customWidth="1"/>
    <col min="11783" max="11783" width="8.88671875" style="65"/>
    <col min="11784" max="11784" width="4.44140625" style="65" customWidth="1"/>
    <col min="11785" max="11785" width="6.5546875" style="65" customWidth="1"/>
    <col min="11786" max="12032" width="8.88671875" style="65"/>
    <col min="12033" max="12033" width="13.21875" style="65" customWidth="1"/>
    <col min="12034" max="12034" width="7.5546875" style="65" customWidth="1"/>
    <col min="12035" max="12037" width="8.88671875" style="65"/>
    <col min="12038" max="12038" width="7.5546875" style="65" customWidth="1"/>
    <col min="12039" max="12039" width="8.88671875" style="65"/>
    <col min="12040" max="12040" width="4.44140625" style="65" customWidth="1"/>
    <col min="12041" max="12041" width="6.5546875" style="65" customWidth="1"/>
    <col min="12042" max="12288" width="8.88671875" style="65"/>
    <col min="12289" max="12289" width="13.21875" style="65" customWidth="1"/>
    <col min="12290" max="12290" width="7.5546875" style="65" customWidth="1"/>
    <col min="12291" max="12293" width="8.88671875" style="65"/>
    <col min="12294" max="12294" width="7.5546875" style="65" customWidth="1"/>
    <col min="12295" max="12295" width="8.88671875" style="65"/>
    <col min="12296" max="12296" width="4.44140625" style="65" customWidth="1"/>
    <col min="12297" max="12297" width="6.5546875" style="65" customWidth="1"/>
    <col min="12298" max="12544" width="8.88671875" style="65"/>
    <col min="12545" max="12545" width="13.21875" style="65" customWidth="1"/>
    <col min="12546" max="12546" width="7.5546875" style="65" customWidth="1"/>
    <col min="12547" max="12549" width="8.88671875" style="65"/>
    <col min="12550" max="12550" width="7.5546875" style="65" customWidth="1"/>
    <col min="12551" max="12551" width="8.88671875" style="65"/>
    <col min="12552" max="12552" width="4.44140625" style="65" customWidth="1"/>
    <col min="12553" max="12553" width="6.5546875" style="65" customWidth="1"/>
    <col min="12554" max="12800" width="8.88671875" style="65"/>
    <col min="12801" max="12801" width="13.21875" style="65" customWidth="1"/>
    <col min="12802" max="12802" width="7.5546875" style="65" customWidth="1"/>
    <col min="12803" max="12805" width="8.88671875" style="65"/>
    <col min="12806" max="12806" width="7.5546875" style="65" customWidth="1"/>
    <col min="12807" max="12807" width="8.88671875" style="65"/>
    <col min="12808" max="12808" width="4.44140625" style="65" customWidth="1"/>
    <col min="12809" max="12809" width="6.5546875" style="65" customWidth="1"/>
    <col min="12810" max="13056" width="8.88671875" style="65"/>
    <col min="13057" max="13057" width="13.21875" style="65" customWidth="1"/>
    <col min="13058" max="13058" width="7.5546875" style="65" customWidth="1"/>
    <col min="13059" max="13061" width="8.88671875" style="65"/>
    <col min="13062" max="13062" width="7.5546875" style="65" customWidth="1"/>
    <col min="13063" max="13063" width="8.88671875" style="65"/>
    <col min="13064" max="13064" width="4.44140625" style="65" customWidth="1"/>
    <col min="13065" max="13065" width="6.5546875" style="65" customWidth="1"/>
    <col min="13066" max="13312" width="8.88671875" style="65"/>
    <col min="13313" max="13313" width="13.21875" style="65" customWidth="1"/>
    <col min="13314" max="13314" width="7.5546875" style="65" customWidth="1"/>
    <col min="13315" max="13317" width="8.88671875" style="65"/>
    <col min="13318" max="13318" width="7.5546875" style="65" customWidth="1"/>
    <col min="13319" max="13319" width="8.88671875" style="65"/>
    <col min="13320" max="13320" width="4.44140625" style="65" customWidth="1"/>
    <col min="13321" max="13321" width="6.5546875" style="65" customWidth="1"/>
    <col min="13322" max="13568" width="8.88671875" style="65"/>
    <col min="13569" max="13569" width="13.21875" style="65" customWidth="1"/>
    <col min="13570" max="13570" width="7.5546875" style="65" customWidth="1"/>
    <col min="13571" max="13573" width="8.88671875" style="65"/>
    <col min="13574" max="13574" width="7.5546875" style="65" customWidth="1"/>
    <col min="13575" max="13575" width="8.88671875" style="65"/>
    <col min="13576" max="13576" width="4.44140625" style="65" customWidth="1"/>
    <col min="13577" max="13577" width="6.5546875" style="65" customWidth="1"/>
    <col min="13578" max="13824" width="8.88671875" style="65"/>
    <col min="13825" max="13825" width="13.21875" style="65" customWidth="1"/>
    <col min="13826" max="13826" width="7.5546875" style="65" customWidth="1"/>
    <col min="13827" max="13829" width="8.88671875" style="65"/>
    <col min="13830" max="13830" width="7.5546875" style="65" customWidth="1"/>
    <col min="13831" max="13831" width="8.88671875" style="65"/>
    <col min="13832" max="13832" width="4.44140625" style="65" customWidth="1"/>
    <col min="13833" max="13833" width="6.5546875" style="65" customWidth="1"/>
    <col min="13834" max="14080" width="8.88671875" style="65"/>
    <col min="14081" max="14081" width="13.21875" style="65" customWidth="1"/>
    <col min="14082" max="14082" width="7.5546875" style="65" customWidth="1"/>
    <col min="14083" max="14085" width="8.88671875" style="65"/>
    <col min="14086" max="14086" width="7.5546875" style="65" customWidth="1"/>
    <col min="14087" max="14087" width="8.88671875" style="65"/>
    <col min="14088" max="14088" width="4.44140625" style="65" customWidth="1"/>
    <col min="14089" max="14089" width="6.5546875" style="65" customWidth="1"/>
    <col min="14090" max="14336" width="8.88671875" style="65"/>
    <col min="14337" max="14337" width="13.21875" style="65" customWidth="1"/>
    <col min="14338" max="14338" width="7.5546875" style="65" customWidth="1"/>
    <col min="14339" max="14341" width="8.88671875" style="65"/>
    <col min="14342" max="14342" width="7.5546875" style="65" customWidth="1"/>
    <col min="14343" max="14343" width="8.88671875" style="65"/>
    <col min="14344" max="14344" width="4.44140625" style="65" customWidth="1"/>
    <col min="14345" max="14345" width="6.5546875" style="65" customWidth="1"/>
    <col min="14346" max="14592" width="8.88671875" style="65"/>
    <col min="14593" max="14593" width="13.21875" style="65" customWidth="1"/>
    <col min="14594" max="14594" width="7.5546875" style="65" customWidth="1"/>
    <col min="14595" max="14597" width="8.88671875" style="65"/>
    <col min="14598" max="14598" width="7.5546875" style="65" customWidth="1"/>
    <col min="14599" max="14599" width="8.88671875" style="65"/>
    <col min="14600" max="14600" width="4.44140625" style="65" customWidth="1"/>
    <col min="14601" max="14601" width="6.5546875" style="65" customWidth="1"/>
    <col min="14602" max="14848" width="8.88671875" style="65"/>
    <col min="14849" max="14849" width="13.21875" style="65" customWidth="1"/>
    <col min="14850" max="14850" width="7.5546875" style="65" customWidth="1"/>
    <col min="14851" max="14853" width="8.88671875" style="65"/>
    <col min="14854" max="14854" width="7.5546875" style="65" customWidth="1"/>
    <col min="14855" max="14855" width="8.88671875" style="65"/>
    <col min="14856" max="14856" width="4.44140625" style="65" customWidth="1"/>
    <col min="14857" max="14857" width="6.5546875" style="65" customWidth="1"/>
    <col min="14858" max="15104" width="8.88671875" style="65"/>
    <col min="15105" max="15105" width="13.21875" style="65" customWidth="1"/>
    <col min="15106" max="15106" width="7.5546875" style="65" customWidth="1"/>
    <col min="15107" max="15109" width="8.88671875" style="65"/>
    <col min="15110" max="15110" width="7.5546875" style="65" customWidth="1"/>
    <col min="15111" max="15111" width="8.88671875" style="65"/>
    <col min="15112" max="15112" width="4.44140625" style="65" customWidth="1"/>
    <col min="15113" max="15113" width="6.5546875" style="65" customWidth="1"/>
    <col min="15114" max="15360" width="8.88671875" style="65"/>
    <col min="15361" max="15361" width="13.21875" style="65" customWidth="1"/>
    <col min="15362" max="15362" width="7.5546875" style="65" customWidth="1"/>
    <col min="15363" max="15365" width="8.88671875" style="65"/>
    <col min="15366" max="15366" width="7.5546875" style="65" customWidth="1"/>
    <col min="15367" max="15367" width="8.88671875" style="65"/>
    <col min="15368" max="15368" width="4.44140625" style="65" customWidth="1"/>
    <col min="15369" max="15369" width="6.5546875" style="65" customWidth="1"/>
    <col min="15370" max="15616" width="8.88671875" style="65"/>
    <col min="15617" max="15617" width="13.21875" style="65" customWidth="1"/>
    <col min="15618" max="15618" width="7.5546875" style="65" customWidth="1"/>
    <col min="15619" max="15621" width="8.88671875" style="65"/>
    <col min="15622" max="15622" width="7.5546875" style="65" customWidth="1"/>
    <col min="15623" max="15623" width="8.88671875" style="65"/>
    <col min="15624" max="15624" width="4.44140625" style="65" customWidth="1"/>
    <col min="15625" max="15625" width="6.5546875" style="65" customWidth="1"/>
    <col min="15626" max="15872" width="8.88671875" style="65"/>
    <col min="15873" max="15873" width="13.21875" style="65" customWidth="1"/>
    <col min="15874" max="15874" width="7.5546875" style="65" customWidth="1"/>
    <col min="15875" max="15877" width="8.88671875" style="65"/>
    <col min="15878" max="15878" width="7.5546875" style="65" customWidth="1"/>
    <col min="15879" max="15879" width="8.88671875" style="65"/>
    <col min="15880" max="15880" width="4.44140625" style="65" customWidth="1"/>
    <col min="15881" max="15881" width="6.5546875" style="65" customWidth="1"/>
    <col min="15882" max="16128" width="8.88671875" style="65"/>
    <col min="16129" max="16129" width="13.21875" style="65" customWidth="1"/>
    <col min="16130" max="16130" width="7.5546875" style="65" customWidth="1"/>
    <col min="16131" max="16133" width="8.88671875" style="65"/>
    <col min="16134" max="16134" width="7.5546875" style="65" customWidth="1"/>
    <col min="16135" max="16135" width="8.88671875" style="65"/>
    <col min="16136" max="16136" width="4.44140625" style="65" customWidth="1"/>
    <col min="16137" max="16137" width="6.5546875" style="65" customWidth="1"/>
    <col min="16138" max="16384" width="8.88671875" style="65"/>
  </cols>
  <sheetData>
    <row r="1" spans="1:8" x14ac:dyDescent="0.2">
      <c r="A1" s="202" t="s">
        <v>536</v>
      </c>
      <c r="B1" s="202"/>
      <c r="C1" s="202"/>
      <c r="D1" s="202"/>
      <c r="E1" s="202"/>
      <c r="F1" s="202"/>
      <c r="G1" s="202"/>
      <c r="H1" s="182"/>
    </row>
    <row r="2" spans="1:8" x14ac:dyDescent="0.2">
      <c r="A2" s="202" t="s">
        <v>537</v>
      </c>
      <c r="B2" s="202"/>
      <c r="C2" s="202"/>
      <c r="D2" s="202"/>
      <c r="E2" s="202"/>
      <c r="F2" s="202"/>
      <c r="G2" s="202"/>
      <c r="H2" s="182"/>
    </row>
    <row r="3" spans="1:8" x14ac:dyDescent="0.2">
      <c r="A3" s="202" t="s">
        <v>0</v>
      </c>
      <c r="B3" s="202"/>
      <c r="C3" s="202"/>
      <c r="D3" s="202"/>
      <c r="E3" s="202"/>
      <c r="F3" s="202"/>
      <c r="G3" s="202"/>
      <c r="H3" s="182"/>
    </row>
    <row r="4" spans="1:8" x14ac:dyDescent="0.2">
      <c r="A4" s="202" t="s">
        <v>2</v>
      </c>
      <c r="B4" s="202"/>
      <c r="C4" s="202"/>
      <c r="D4" s="202"/>
      <c r="E4" s="202"/>
      <c r="F4" s="202"/>
      <c r="G4" s="202"/>
      <c r="H4" s="182"/>
    </row>
    <row r="5" spans="1:8" x14ac:dyDescent="0.2">
      <c r="A5" s="182"/>
      <c r="B5" s="182"/>
      <c r="C5" s="181"/>
      <c r="D5" s="181"/>
      <c r="E5" s="181"/>
      <c r="F5" s="182"/>
      <c r="G5" s="182"/>
      <c r="H5" s="182"/>
    </row>
    <row r="6" spans="1:8" x14ac:dyDescent="0.2">
      <c r="A6" s="180" t="s">
        <v>545</v>
      </c>
      <c r="B6" s="179"/>
      <c r="C6" s="179"/>
      <c r="D6" s="182"/>
      <c r="E6" s="182"/>
      <c r="F6" s="182"/>
      <c r="G6" s="182"/>
      <c r="H6" s="182"/>
    </row>
    <row r="7" spans="1:8" x14ac:dyDescent="0.2">
      <c r="A7" s="178" t="s">
        <v>557</v>
      </c>
      <c r="B7" s="182"/>
      <c r="C7" s="182"/>
      <c r="D7" s="177"/>
      <c r="E7" s="182"/>
      <c r="F7" s="182"/>
      <c r="G7" s="182"/>
      <c r="H7" s="182"/>
    </row>
    <row r="8" spans="1:8" x14ac:dyDescent="0.2">
      <c r="A8" s="176" t="s">
        <v>6</v>
      </c>
      <c r="B8" s="182"/>
      <c r="C8" s="182"/>
      <c r="D8" s="182"/>
      <c r="E8" s="182"/>
      <c r="F8" s="182"/>
      <c r="G8" s="182"/>
      <c r="H8" s="182"/>
    </row>
    <row r="9" spans="1:8" x14ac:dyDescent="0.2">
      <c r="A9" s="175"/>
      <c r="B9" s="175"/>
      <c r="C9" s="174" t="s">
        <v>30</v>
      </c>
      <c r="D9" s="174" t="s">
        <v>31</v>
      </c>
      <c r="E9" s="174"/>
      <c r="F9" s="182"/>
      <c r="G9" s="182"/>
      <c r="H9" s="182"/>
    </row>
    <row r="10" spans="1:8" x14ac:dyDescent="0.2">
      <c r="A10" s="173" t="s">
        <v>92</v>
      </c>
      <c r="B10" s="172"/>
      <c r="C10" s="171" t="s">
        <v>26</v>
      </c>
      <c r="D10" s="171" t="s">
        <v>32</v>
      </c>
      <c r="E10" s="174"/>
      <c r="F10" s="182"/>
      <c r="G10" s="181"/>
      <c r="H10" s="181"/>
    </row>
    <row r="11" spans="1:8" x14ac:dyDescent="0.2">
      <c r="A11" s="177"/>
      <c r="B11" s="182"/>
      <c r="C11" s="170"/>
      <c r="D11" s="170"/>
      <c r="E11" s="169"/>
      <c r="F11" s="182"/>
      <c r="G11" s="182"/>
      <c r="H11" s="182"/>
    </row>
    <row r="12" spans="1:8" x14ac:dyDescent="0.2">
      <c r="A12" s="168" t="s">
        <v>562</v>
      </c>
      <c r="B12" s="182"/>
      <c r="C12" s="64">
        <f>+'[17]American 12-16'!$D$6+'[18]Murrey''s 12-16'!$D$6</f>
        <v>53734.8775510204</v>
      </c>
      <c r="D12" s="64">
        <f>'18th year actual'!L46</f>
        <v>86647.429400000023</v>
      </c>
      <c r="E12" s="166"/>
      <c r="F12" s="182"/>
      <c r="G12" s="181"/>
      <c r="H12" s="181"/>
    </row>
    <row r="13" spans="1:8" x14ac:dyDescent="0.2">
      <c r="A13" s="164" t="s">
        <v>563</v>
      </c>
      <c r="B13" s="182"/>
      <c r="C13" s="167">
        <f>+SUM('[19]Murrey''s G-9 Reg.'!R75:R77)+SUM('[19]American G-87 Reg.'!R75:R77)</f>
        <v>53426.133053221289</v>
      </c>
      <c r="D13" s="167">
        <f>'18th year actual'!L47</f>
        <v>101462.24515442237</v>
      </c>
      <c r="E13" s="166"/>
      <c r="F13" s="177"/>
      <c r="G13" s="165"/>
      <c r="H13" s="165"/>
    </row>
    <row r="14" spans="1:8" x14ac:dyDescent="0.2">
      <c r="A14" s="177" t="s">
        <v>37</v>
      </c>
      <c r="B14" s="182"/>
      <c r="C14" s="167">
        <f>+SUM('[19]Murrey''s G-9 Reg.'!S75:S77)+SUM('[19]American G-87 Reg.'!S75:S77)</f>
        <v>53340.175770308124</v>
      </c>
      <c r="D14" s="167">
        <f>'18th year actual'!L48</f>
        <v>85566.373890773175</v>
      </c>
      <c r="E14" s="166"/>
      <c r="F14" s="165"/>
      <c r="G14" s="165"/>
      <c r="H14" s="165"/>
    </row>
    <row r="15" spans="1:8" x14ac:dyDescent="0.2">
      <c r="A15" s="177" t="s">
        <v>38</v>
      </c>
      <c r="B15" s="182"/>
      <c r="C15" s="167">
        <f>+SUM('[19]Murrey''s G-9 Reg.'!T75:T77)+SUM('[19]American G-87 Reg.'!T75:T77)</f>
        <v>53656.128851540612</v>
      </c>
      <c r="D15" s="167">
        <f>'18th year actual'!L49</f>
        <v>126920.53999999996</v>
      </c>
      <c r="E15" s="166"/>
      <c r="F15" s="165"/>
      <c r="G15" s="165"/>
      <c r="H15" s="165"/>
    </row>
    <row r="16" spans="1:8" x14ac:dyDescent="0.2">
      <c r="A16" s="177" t="s">
        <v>95</v>
      </c>
      <c r="B16" s="182"/>
      <c r="C16" s="163">
        <f>+SUM('[19]Murrey''s G-9 Reg.'!U75:U77)+SUM('[19]American G-87 Reg.'!U75:U77)</f>
        <v>53770.144257703083</v>
      </c>
      <c r="D16" s="167">
        <f>'18th year actual'!L50</f>
        <v>54311.179446473383</v>
      </c>
      <c r="E16" s="166"/>
      <c r="F16" s="165"/>
      <c r="G16" s="165"/>
      <c r="H16" s="165"/>
    </row>
    <row r="17" spans="1:8" x14ac:dyDescent="0.2">
      <c r="A17" s="177" t="s">
        <v>40</v>
      </c>
      <c r="B17" s="182"/>
      <c r="C17" s="167">
        <f>+SUM('[19]Murrey''s G-9 Reg.'!V75:V77)+SUM('[19]American G-87 Reg.'!V75:V77)</f>
        <v>54137.938895334257</v>
      </c>
      <c r="D17" s="167">
        <f>'18th year actual'!L51</f>
        <v>71251.779398915838</v>
      </c>
      <c r="E17" s="166"/>
      <c r="F17" s="162"/>
      <c r="G17" s="165"/>
      <c r="H17" s="165"/>
    </row>
    <row r="18" spans="1:8" x14ac:dyDescent="0.2">
      <c r="A18" s="177" t="s">
        <v>41</v>
      </c>
      <c r="B18" s="182"/>
      <c r="C18" s="167">
        <f>+SUM('[19]Murrey''s G-9 Reg.'!W75:W77)+SUM('[19]American G-87 Reg.'!W75:W77)</f>
        <v>54545.56442577031</v>
      </c>
      <c r="D18" s="167">
        <f>'18th year actual'!L52</f>
        <v>99190.72933599622</v>
      </c>
      <c r="E18" s="166"/>
      <c r="F18" s="165"/>
      <c r="G18" s="165"/>
      <c r="H18" s="165"/>
    </row>
    <row r="19" spans="1:8" x14ac:dyDescent="0.2">
      <c r="A19" s="177" t="s">
        <v>42</v>
      </c>
      <c r="B19" s="182"/>
      <c r="C19" s="167">
        <f>+SUM('[19]Murrey''s G-9 Reg.'!X75:X77)+SUM('[19]American G-87 Reg.'!X75:X77)</f>
        <v>54685.296918767504</v>
      </c>
      <c r="D19" s="167">
        <f>'18th year actual'!L53</f>
        <v>106829.16333475024</v>
      </c>
      <c r="E19" s="166"/>
      <c r="F19" s="161"/>
      <c r="G19" s="165"/>
      <c r="H19" s="165"/>
    </row>
    <row r="20" spans="1:8" x14ac:dyDescent="0.2">
      <c r="A20" s="177" t="s">
        <v>43</v>
      </c>
      <c r="B20" s="182"/>
      <c r="C20" s="167">
        <f>+SUM('[19]Murrey''s G-9 Reg.'!Y75:Y77)+SUM('[19]American G-87 Reg.'!Y75:Y77)</f>
        <v>54881.377017224804</v>
      </c>
      <c r="D20" s="167">
        <f>'18th year actual'!L54</f>
        <v>102144.45729034858</v>
      </c>
      <c r="E20" s="166"/>
      <c r="F20" s="177"/>
      <c r="G20" s="177"/>
      <c r="H20" s="177"/>
    </row>
    <row r="21" spans="1:8" x14ac:dyDescent="0.2">
      <c r="A21" s="177" t="s">
        <v>44</v>
      </c>
      <c r="B21" s="182"/>
      <c r="C21" s="167">
        <f>+SUM('[19]Murrey''s G-9 Reg.'!Z75:Z77)+SUM('[19]American G-87 Reg.'!Z75:Z77)</f>
        <v>55029.537815126052</v>
      </c>
      <c r="D21" s="167">
        <f>'18th year actual'!L55</f>
        <v>70826.520099499525</v>
      </c>
      <c r="E21" s="166"/>
      <c r="F21" s="165"/>
      <c r="G21" s="165"/>
      <c r="H21" s="165"/>
    </row>
    <row r="22" spans="1:8" x14ac:dyDescent="0.2">
      <c r="A22" s="177" t="s">
        <v>72</v>
      </c>
      <c r="B22" s="182"/>
      <c r="C22" s="167">
        <f>+SUM('[19]Murrey''s G-9 Reg.'!AA75:AA77)+SUM('[19]American G-87 Reg.'!AA75:AA77)</f>
        <v>55191.996498599445</v>
      </c>
      <c r="D22" s="167">
        <f>'18th year actual'!L56</f>
        <v>27618.828166621948</v>
      </c>
      <c r="E22" s="166"/>
      <c r="F22" s="165"/>
      <c r="G22" s="160"/>
      <c r="H22" s="160"/>
    </row>
    <row r="23" spans="1:8" x14ac:dyDescent="0.2">
      <c r="A23" s="159" t="s">
        <v>34</v>
      </c>
      <c r="B23" s="158"/>
      <c r="C23" s="157">
        <f>+SUM('[19]Murrey''s G-9 Reg.'!AB75:AB77)+SUM('[19]American G-87 Reg.'!AB75:AB77)</f>
        <v>55237.325844516919</v>
      </c>
      <c r="D23" s="157">
        <f>'18th year actual'!L57</f>
        <v>40425.70438990042</v>
      </c>
      <c r="E23" s="166"/>
      <c r="F23" s="166"/>
      <c r="G23" s="165"/>
      <c r="H23" s="165"/>
    </row>
    <row r="24" spans="1:8" x14ac:dyDescent="0.2">
      <c r="A24" s="156" t="s">
        <v>96</v>
      </c>
      <c r="B24" s="175"/>
      <c r="C24" s="155">
        <f>SUM(C12:C23)</f>
        <v>651636.49689913285</v>
      </c>
      <c r="D24" s="155">
        <f>SUM(D11:D23)</f>
        <v>973194.9499077017</v>
      </c>
      <c r="E24" s="154"/>
      <c r="F24" s="161"/>
      <c r="G24" s="155"/>
      <c r="H24" s="155"/>
    </row>
    <row r="25" spans="1:8" x14ac:dyDescent="0.2">
      <c r="A25" s="156"/>
      <c r="B25" s="175"/>
      <c r="C25" s="155"/>
      <c r="D25" s="155"/>
      <c r="E25" s="154"/>
      <c r="F25" s="161"/>
      <c r="G25" s="155"/>
      <c r="H25" s="155"/>
    </row>
    <row r="26" spans="1:8" x14ac:dyDescent="0.2">
      <c r="A26" s="156"/>
      <c r="B26" s="175"/>
      <c r="C26" s="155"/>
      <c r="D26" s="155"/>
      <c r="E26" s="154"/>
      <c r="F26" s="161"/>
      <c r="G26" s="155"/>
      <c r="H26" s="155"/>
    </row>
    <row r="27" spans="1:8" x14ac:dyDescent="0.2">
      <c r="A27" s="63" t="s">
        <v>561</v>
      </c>
      <c r="B27" s="175"/>
      <c r="C27" s="155"/>
      <c r="D27" s="155"/>
      <c r="E27" s="154"/>
      <c r="F27" s="161"/>
      <c r="G27" s="155"/>
      <c r="H27" s="155"/>
    </row>
    <row r="28" spans="1:8" x14ac:dyDescent="0.2">
      <c r="A28" s="175"/>
      <c r="B28" s="175"/>
      <c r="C28" s="174" t="s">
        <v>30</v>
      </c>
      <c r="D28" s="174" t="s">
        <v>31</v>
      </c>
      <c r="E28" s="154"/>
      <c r="F28" s="161"/>
      <c r="G28" s="155"/>
      <c r="H28" s="155"/>
    </row>
    <row r="29" spans="1:8" x14ac:dyDescent="0.2">
      <c r="A29" s="173" t="s">
        <v>92</v>
      </c>
      <c r="B29" s="172"/>
      <c r="C29" s="171" t="s">
        <v>26</v>
      </c>
      <c r="D29" s="171" t="s">
        <v>32</v>
      </c>
      <c r="E29" s="182"/>
      <c r="F29" s="153"/>
      <c r="G29" s="169"/>
      <c r="H29" s="182"/>
    </row>
    <row r="30" spans="1:8" x14ac:dyDescent="0.2">
      <c r="A30" s="177" t="s">
        <v>42</v>
      </c>
      <c r="B30" s="175"/>
      <c r="C30" s="122">
        <f>+C19</f>
        <v>54685.296918767504</v>
      </c>
      <c r="D30" s="62">
        <f>+'18th year actual'!L81</f>
        <v>55739.176087141328</v>
      </c>
      <c r="E30" s="182"/>
      <c r="F30" s="153"/>
      <c r="G30" s="169"/>
      <c r="H30" s="182"/>
    </row>
    <row r="31" spans="1:8" x14ac:dyDescent="0.2">
      <c r="A31" s="177" t="s">
        <v>43</v>
      </c>
      <c r="B31" s="175"/>
      <c r="C31" s="122">
        <f>+C20</f>
        <v>54881.377017224804</v>
      </c>
      <c r="D31" s="62">
        <f>+'18th year actual'!L82</f>
        <v>45144.202106002289</v>
      </c>
      <c r="E31" s="182"/>
      <c r="F31" s="153"/>
      <c r="G31" s="169"/>
      <c r="H31" s="182"/>
    </row>
    <row r="32" spans="1:8" x14ac:dyDescent="0.2">
      <c r="A32" s="177" t="s">
        <v>44</v>
      </c>
      <c r="B32" s="175"/>
      <c r="C32" s="122">
        <f>+C21</f>
        <v>55029.537815126052</v>
      </c>
      <c r="D32" s="62">
        <f>+'18th year actual'!L83</f>
        <v>18851.806220671726</v>
      </c>
      <c r="E32" s="182"/>
      <c r="F32" s="153"/>
      <c r="G32" s="169"/>
      <c r="H32" s="182"/>
    </row>
    <row r="33" spans="1:8" x14ac:dyDescent="0.2">
      <c r="A33" s="177" t="s">
        <v>72</v>
      </c>
      <c r="B33" s="175"/>
      <c r="C33" s="122">
        <f>+C22</f>
        <v>55191.996498599445</v>
      </c>
      <c r="D33" s="62">
        <f>+'18th year actual'!L84</f>
        <v>-27892.684964736647</v>
      </c>
      <c r="E33" s="182"/>
      <c r="F33" s="153"/>
      <c r="G33" s="169"/>
      <c r="H33" s="182"/>
    </row>
    <row r="34" spans="1:8" x14ac:dyDescent="0.2">
      <c r="A34" s="177" t="s">
        <v>34</v>
      </c>
      <c r="B34" s="175"/>
      <c r="C34" s="122">
        <f>+C23</f>
        <v>55237.325844516919</v>
      </c>
      <c r="D34" s="62">
        <f>+'18th year actual'!L85</f>
        <v>-11273.977240972312</v>
      </c>
      <c r="E34" s="182"/>
      <c r="F34" s="153"/>
      <c r="G34" s="169"/>
      <c r="H34" s="182"/>
    </row>
    <row r="35" spans="1:8" x14ac:dyDescent="0.2">
      <c r="A35" s="177" t="s">
        <v>35</v>
      </c>
      <c r="B35" s="177"/>
      <c r="C35" s="167">
        <f>+SUM('[19]Murrey''s G-9 Reg.'!AC75:AC77)+SUM('[19]American G-87 Reg.'!AC75:AC77)</f>
        <v>55306.193977591036</v>
      </c>
      <c r="D35" s="62">
        <f>+'18th year actual'!L86</f>
        <v>-14513.90029999999</v>
      </c>
      <c r="E35" s="182"/>
      <c r="F35" s="153"/>
      <c r="G35" s="169"/>
      <c r="H35" s="182"/>
    </row>
    <row r="36" spans="1:8" x14ac:dyDescent="0.2">
      <c r="A36" s="61" t="s">
        <v>558</v>
      </c>
      <c r="B36" s="61"/>
      <c r="C36" s="60">
        <f>+SUM(C30:C35)</f>
        <v>330331.72807182575</v>
      </c>
      <c r="D36" s="59">
        <f>+SUM(D30:D35)</f>
        <v>66054.62190810639</v>
      </c>
      <c r="E36" s="182"/>
      <c r="F36" s="153"/>
      <c r="G36" s="169"/>
      <c r="H36" s="182"/>
    </row>
    <row r="37" spans="1:8" x14ac:dyDescent="0.2">
      <c r="A37" s="182"/>
      <c r="B37" s="182"/>
      <c r="C37" s="182"/>
      <c r="D37" s="182"/>
      <c r="E37" s="182"/>
      <c r="F37" s="182"/>
      <c r="G37" s="161"/>
      <c r="H37" s="161"/>
    </row>
    <row r="38" spans="1:8" x14ac:dyDescent="0.2">
      <c r="A38" s="152" t="s">
        <v>546</v>
      </c>
      <c r="B38" s="182"/>
      <c r="C38" s="182"/>
      <c r="D38" s="182"/>
      <c r="E38" s="151"/>
      <c r="F38" s="182"/>
      <c r="G38" s="150"/>
      <c r="H38" s="182"/>
    </row>
    <row r="39" spans="1:8" x14ac:dyDescent="0.2">
      <c r="A39" s="182"/>
      <c r="B39" s="182"/>
      <c r="C39" s="182"/>
      <c r="D39" s="182"/>
      <c r="E39" s="170"/>
      <c r="F39" s="182"/>
      <c r="G39" s="150"/>
      <c r="H39" s="182"/>
    </row>
    <row r="40" spans="1:8" x14ac:dyDescent="0.2">
      <c r="A40" s="149" t="s">
        <v>101</v>
      </c>
      <c r="B40" s="182"/>
      <c r="C40" s="182"/>
      <c r="D40" s="177" t="s">
        <v>555</v>
      </c>
      <c r="E40" s="148">
        <f>+'[20]17th year adj'!E30</f>
        <v>1.1205866204060571</v>
      </c>
      <c r="F40" s="182"/>
      <c r="G40" s="150"/>
      <c r="H40" s="150"/>
    </row>
    <row r="41" spans="1:8" x14ac:dyDescent="0.2">
      <c r="A41" s="149" t="s">
        <v>101</v>
      </c>
      <c r="B41" s="182"/>
      <c r="C41" s="182"/>
      <c r="D41" s="177" t="s">
        <v>556</v>
      </c>
      <c r="E41" s="148">
        <f>+'[20]17th year adj'!G48</f>
        <v>1.0483367535806549</v>
      </c>
      <c r="F41" s="182"/>
      <c r="G41" s="182"/>
      <c r="H41" s="150"/>
    </row>
    <row r="42" spans="1:8" x14ac:dyDescent="0.2">
      <c r="A42" s="149"/>
      <c r="B42" s="182"/>
      <c r="C42" s="182"/>
      <c r="D42" s="177"/>
      <c r="E42" s="148"/>
      <c r="F42" s="182"/>
      <c r="G42" s="150"/>
      <c r="H42" s="150"/>
    </row>
    <row r="43" spans="1:8" x14ac:dyDescent="0.2">
      <c r="A43" s="177" t="s">
        <v>569</v>
      </c>
      <c r="B43" s="182"/>
      <c r="C43" s="182"/>
      <c r="D43" s="182"/>
      <c r="E43" s="182"/>
      <c r="F43" s="147"/>
      <c r="G43" s="165">
        <f>(SUM(C12:C14)*E40+SUM(C15:C23)*E41)</f>
        <v>694730.67901478766</v>
      </c>
      <c r="H43" s="161"/>
    </row>
    <row r="44" spans="1:8" x14ac:dyDescent="0.2">
      <c r="A44" s="182"/>
      <c r="B44" s="182"/>
      <c r="C44" s="182"/>
      <c r="D44" s="182"/>
      <c r="E44" s="182"/>
      <c r="F44" s="170"/>
      <c r="G44" s="182"/>
      <c r="H44" s="182"/>
    </row>
    <row r="45" spans="1:8" x14ac:dyDescent="0.2">
      <c r="A45" s="177" t="s">
        <v>50</v>
      </c>
      <c r="B45" s="182"/>
      <c r="C45" s="182"/>
      <c r="D45" s="182"/>
      <c r="E45" s="182"/>
      <c r="F45" s="147">
        <f>D24</f>
        <v>973194.9499077017</v>
      </c>
      <c r="G45" s="182"/>
      <c r="H45" s="182"/>
    </row>
    <row r="46" spans="1:8" x14ac:dyDescent="0.2">
      <c r="A46" s="177"/>
      <c r="B46" s="182"/>
      <c r="C46" s="182"/>
      <c r="D46" s="182"/>
      <c r="E46" s="182"/>
      <c r="F46" s="147"/>
      <c r="G46" s="182"/>
      <c r="H46" s="182"/>
    </row>
    <row r="47" spans="1:8" x14ac:dyDescent="0.2">
      <c r="A47" s="177" t="s">
        <v>350</v>
      </c>
      <c r="B47" s="182"/>
      <c r="C47" s="182"/>
      <c r="D47" s="182"/>
      <c r="E47" s="182"/>
      <c r="F47" s="147"/>
      <c r="G47" s="147">
        <f>F45-F46</f>
        <v>973194.9499077017</v>
      </c>
      <c r="H47" s="150"/>
    </row>
    <row r="48" spans="1:8" x14ac:dyDescent="0.2">
      <c r="A48" s="182"/>
      <c r="B48" s="182"/>
      <c r="C48" s="182"/>
      <c r="D48" s="182"/>
      <c r="E48" s="182"/>
      <c r="F48" s="182"/>
      <c r="G48" s="182"/>
      <c r="H48" s="182"/>
    </row>
    <row r="49" spans="1:9" x14ac:dyDescent="0.2">
      <c r="A49" s="156" t="s">
        <v>351</v>
      </c>
      <c r="B49" s="175"/>
      <c r="C49" s="175"/>
      <c r="D49" s="175"/>
      <c r="E49" s="175"/>
      <c r="F49" s="146"/>
      <c r="G49" s="145">
        <f>G47-G43</f>
        <v>278464.27089291404</v>
      </c>
      <c r="H49" s="177"/>
    </row>
    <row r="50" spans="1:9" x14ac:dyDescent="0.2">
      <c r="A50" s="182"/>
      <c r="B50" s="182"/>
      <c r="C50" s="182"/>
      <c r="D50" s="182"/>
      <c r="E50" s="182"/>
      <c r="F50" s="182"/>
      <c r="G50" s="144"/>
      <c r="H50" s="182"/>
    </row>
    <row r="51" spans="1:9" x14ac:dyDescent="0.2">
      <c r="A51" s="177" t="s">
        <v>107</v>
      </c>
      <c r="B51" s="177"/>
      <c r="C51" s="177"/>
      <c r="D51" s="177"/>
      <c r="E51" s="182"/>
      <c r="F51" s="147">
        <f>G49</f>
        <v>278464.27089291404</v>
      </c>
      <c r="G51" s="144"/>
      <c r="H51" s="150"/>
    </row>
    <row r="52" spans="1:9" x14ac:dyDescent="0.2">
      <c r="A52" s="177" t="s">
        <v>415</v>
      </c>
      <c r="B52" s="177"/>
      <c r="C52" s="177"/>
      <c r="D52" s="177"/>
      <c r="E52" s="182"/>
      <c r="F52" s="167">
        <f>SUM(C12:C23)</f>
        <v>651636.49689913285</v>
      </c>
      <c r="G52" s="170"/>
      <c r="H52" s="170"/>
    </row>
    <row r="53" spans="1:9" x14ac:dyDescent="0.2">
      <c r="A53" s="177" t="s">
        <v>548</v>
      </c>
      <c r="B53" s="177"/>
      <c r="C53" s="177"/>
      <c r="D53" s="177"/>
      <c r="E53" s="182"/>
      <c r="F53" s="143">
        <f>F51/F52</f>
        <v>0.42733068546345965</v>
      </c>
      <c r="G53" s="143"/>
      <c r="H53" s="150"/>
    </row>
    <row r="54" spans="1:9" x14ac:dyDescent="0.2">
      <c r="A54" s="177"/>
      <c r="B54" s="177"/>
      <c r="C54" s="177"/>
      <c r="D54" s="177"/>
      <c r="E54" s="182"/>
      <c r="F54" s="182"/>
      <c r="G54" s="182"/>
      <c r="H54" s="182"/>
    </row>
    <row r="55" spans="1:9" x14ac:dyDescent="0.2">
      <c r="A55" s="177" t="s">
        <v>570</v>
      </c>
      <c r="B55" s="177"/>
      <c r="C55" s="177"/>
      <c r="D55" s="177"/>
      <c r="E55" s="142"/>
      <c r="F55" s="142"/>
      <c r="G55" s="141" t="s">
        <v>418</v>
      </c>
      <c r="H55" s="140"/>
    </row>
    <row r="56" spans="1:9" x14ac:dyDescent="0.2">
      <c r="A56" s="177" t="s">
        <v>559</v>
      </c>
      <c r="B56" s="177"/>
      <c r="C56" s="177"/>
      <c r="D56" s="177"/>
      <c r="E56" s="139"/>
      <c r="F56" s="138"/>
      <c r="G56" s="139">
        <f>+D36</f>
        <v>66054.62190810639</v>
      </c>
      <c r="H56" s="139"/>
    </row>
    <row r="57" spans="1:9" x14ac:dyDescent="0.2">
      <c r="A57" s="177" t="s">
        <v>560</v>
      </c>
      <c r="B57" s="177"/>
      <c r="C57" s="177"/>
      <c r="D57" s="177"/>
      <c r="E57" s="165"/>
      <c r="F57" s="165"/>
      <c r="G57" s="165">
        <f>+C36</f>
        <v>330331.72807182575</v>
      </c>
      <c r="H57" s="165"/>
    </row>
    <row r="58" spans="1:9" x14ac:dyDescent="0.2">
      <c r="A58" s="182"/>
      <c r="B58" s="182"/>
      <c r="C58" s="182"/>
      <c r="D58" s="182"/>
      <c r="E58" s="177"/>
      <c r="F58" s="177"/>
      <c r="G58" s="177"/>
      <c r="H58" s="137"/>
    </row>
    <row r="59" spans="1:9" x14ac:dyDescent="0.2">
      <c r="A59" s="182"/>
      <c r="B59" s="182"/>
      <c r="C59" s="182"/>
      <c r="E59" s="177"/>
      <c r="F59" s="136" t="s">
        <v>564</v>
      </c>
      <c r="G59" s="137">
        <f>G56/G57</f>
        <v>0.19996450929395371</v>
      </c>
      <c r="H59" s="137"/>
    </row>
    <row r="60" spans="1:9" x14ac:dyDescent="0.2">
      <c r="A60" s="182"/>
      <c r="B60" s="182"/>
      <c r="C60" s="182"/>
      <c r="E60" s="177"/>
      <c r="F60" s="136" t="s">
        <v>549</v>
      </c>
      <c r="G60" s="143">
        <f>F53</f>
        <v>0.42733068546345965</v>
      </c>
      <c r="H60" s="137"/>
    </row>
    <row r="61" spans="1:9" ht="16.5" thickBot="1" x14ac:dyDescent="0.3">
      <c r="A61" s="182"/>
      <c r="B61" s="182"/>
      <c r="C61" s="182"/>
      <c r="D61" s="182"/>
      <c r="E61" s="81"/>
      <c r="F61" s="135" t="s">
        <v>361</v>
      </c>
      <c r="G61" s="134">
        <f>G59+G60</f>
        <v>0.62729519475741335</v>
      </c>
      <c r="H61" s="133">
        <f>'[20]17th year adj'!G50-'18th year adj (1st half) Orig'!G61</f>
        <v>0.24835552784182158</v>
      </c>
      <c r="I61" s="31"/>
    </row>
    <row r="62" spans="1:9" x14ac:dyDescent="0.2">
      <c r="A62" s="182"/>
      <c r="B62" s="182"/>
      <c r="C62" s="182"/>
      <c r="D62" s="182"/>
      <c r="E62" s="177"/>
      <c r="F62" s="177"/>
      <c r="G62" s="177"/>
      <c r="H62" s="137"/>
    </row>
    <row r="63" spans="1:9" x14ac:dyDescent="0.2">
      <c r="A63" s="132"/>
      <c r="B63" s="132"/>
      <c r="C63" s="132"/>
      <c r="D63" s="132"/>
      <c r="E63" s="132"/>
      <c r="F63" s="132"/>
      <c r="G63" s="132"/>
      <c r="H63" s="132"/>
    </row>
    <row r="64" spans="1:9" x14ac:dyDescent="0.2">
      <c r="A64" s="182"/>
      <c r="B64" s="182"/>
      <c r="C64" s="182"/>
      <c r="D64" s="177"/>
      <c r="E64" s="174" t="s">
        <v>536</v>
      </c>
      <c r="F64" s="177"/>
      <c r="G64" s="182"/>
      <c r="H64" s="182"/>
    </row>
    <row r="65" spans="1:8" x14ac:dyDescent="0.2">
      <c r="A65" s="182"/>
      <c r="B65" s="182"/>
      <c r="C65" s="181"/>
      <c r="D65" s="177"/>
      <c r="E65" s="174" t="s">
        <v>537</v>
      </c>
      <c r="F65" s="177"/>
      <c r="G65" s="182"/>
      <c r="H65" s="182"/>
    </row>
    <row r="66" spans="1:8" x14ac:dyDescent="0.2">
      <c r="A66" s="182"/>
      <c r="B66" s="182"/>
      <c r="C66" s="181"/>
      <c r="D66" s="177"/>
      <c r="E66" s="174" t="s">
        <v>0</v>
      </c>
      <c r="F66" s="177"/>
      <c r="G66" s="182"/>
      <c r="H66" s="182"/>
    </row>
    <row r="67" spans="1:8" x14ac:dyDescent="0.2">
      <c r="A67" s="182"/>
      <c r="B67" s="182"/>
      <c r="C67" s="181"/>
      <c r="D67" s="181"/>
      <c r="E67" s="174" t="s">
        <v>342</v>
      </c>
      <c r="F67" s="177"/>
      <c r="G67" s="182"/>
      <c r="H67" s="182"/>
    </row>
    <row r="68" spans="1:8" x14ac:dyDescent="0.2">
      <c r="A68" s="182"/>
      <c r="B68" s="182"/>
      <c r="C68" s="182"/>
      <c r="D68" s="182"/>
      <c r="E68" s="182"/>
      <c r="F68" s="182"/>
      <c r="G68" s="182"/>
      <c r="H68" s="182"/>
    </row>
    <row r="69" spans="1:8" x14ac:dyDescent="0.2">
      <c r="A69" s="180" t="str">
        <f>A6</f>
        <v>After Seventeenth Year Commodity Adjustment</v>
      </c>
      <c r="B69" s="179"/>
      <c r="C69" s="179"/>
      <c r="D69" s="182"/>
      <c r="E69" s="182"/>
      <c r="F69" s="182"/>
      <c r="G69" s="182"/>
      <c r="H69" s="182"/>
    </row>
    <row r="70" spans="1:8" x14ac:dyDescent="0.2">
      <c r="A70" s="178" t="s">
        <v>557</v>
      </c>
      <c r="B70" s="182"/>
      <c r="C70" s="182"/>
      <c r="D70" s="182"/>
      <c r="E70" s="182"/>
      <c r="F70" s="182"/>
      <c r="G70" s="182"/>
      <c r="H70" s="182"/>
    </row>
    <row r="71" spans="1:8" x14ac:dyDescent="0.2">
      <c r="A71" s="176" t="s">
        <v>6</v>
      </c>
      <c r="B71" s="182"/>
      <c r="C71" s="182"/>
      <c r="D71" s="182"/>
      <c r="E71" s="182"/>
      <c r="F71" s="182"/>
      <c r="G71" s="182"/>
      <c r="H71" s="182"/>
    </row>
    <row r="72" spans="1:8" x14ac:dyDescent="0.2">
      <c r="A72" s="182"/>
      <c r="B72" s="182"/>
      <c r="C72" s="177"/>
      <c r="D72" s="177"/>
      <c r="E72" s="141"/>
      <c r="F72" s="182"/>
      <c r="G72" s="182"/>
      <c r="H72" s="182"/>
    </row>
    <row r="73" spans="1:8" x14ac:dyDescent="0.2">
      <c r="A73" s="174"/>
      <c r="B73" s="131"/>
      <c r="C73" s="174" t="s">
        <v>30</v>
      </c>
      <c r="D73" s="174" t="s">
        <v>31</v>
      </c>
      <c r="E73" s="141"/>
      <c r="F73" s="182"/>
      <c r="G73" s="182"/>
      <c r="H73" s="182"/>
    </row>
    <row r="74" spans="1:8" x14ac:dyDescent="0.2">
      <c r="A74" s="171" t="s">
        <v>92</v>
      </c>
      <c r="B74" s="130"/>
      <c r="C74" s="171" t="s">
        <v>145</v>
      </c>
      <c r="D74" s="171" t="s">
        <v>32</v>
      </c>
      <c r="E74" s="141"/>
      <c r="F74" s="182"/>
      <c r="G74" s="182"/>
      <c r="H74" s="181"/>
    </row>
    <row r="75" spans="1:8" ht="6" customHeight="1" x14ac:dyDescent="0.2">
      <c r="A75" s="177"/>
      <c r="B75" s="182"/>
      <c r="C75" s="170"/>
      <c r="D75" s="170"/>
      <c r="E75" s="169"/>
      <c r="F75" s="182"/>
      <c r="G75" s="177"/>
      <c r="H75" s="177"/>
    </row>
    <row r="76" spans="1:8" x14ac:dyDescent="0.2">
      <c r="A76" s="129" t="s">
        <v>539</v>
      </c>
      <c r="B76" s="182"/>
      <c r="C76" s="58">
        <f>+'[21]Murrey''s 12-16'!$G$112+'[21]Murrey''s 12-16'!$G$272+SUM('[17]American 12-16'!$G$88:$G$111)+'[17]American 12-16'!$G$274</f>
        <v>7769.9536242108079</v>
      </c>
      <c r="D76" s="64">
        <f>'18th year actual'!L138</f>
        <v>5216.6504054246361</v>
      </c>
      <c r="E76" s="166"/>
      <c r="F76" s="182"/>
      <c r="G76" s="165"/>
      <c r="H76" s="165"/>
    </row>
    <row r="77" spans="1:8" x14ac:dyDescent="0.2">
      <c r="A77" s="164" t="s">
        <v>540</v>
      </c>
      <c r="B77" s="182"/>
      <c r="C77" s="128">
        <f>+'[19]Murrey''s G-9 Reg.'!$AM$256+'[19]Murrey''s G-9 Reg.'!$AM$276+'[19]American G-87 Reg.'!$AL$252+'[19]American G-87 Reg.'!$AL$272</f>
        <v>7119.9623540789198</v>
      </c>
      <c r="D77" s="167">
        <f>'18th year actual'!L139</f>
        <v>5871.2808625681537</v>
      </c>
      <c r="E77" s="166"/>
      <c r="F77" s="182"/>
      <c r="G77" s="165"/>
      <c r="H77" s="165"/>
    </row>
    <row r="78" spans="1:8" x14ac:dyDescent="0.2">
      <c r="A78" s="177" t="s">
        <v>37</v>
      </c>
      <c r="B78" s="182"/>
      <c r="C78" s="128">
        <f>+'[19]Murrey''s G-9 Reg.'!$AN$256+'[19]Murrey''s G-9 Reg.'!$AN$276+'[19]American G-87 Reg.'!$AM$252+'[19]American G-87 Reg.'!$AM$272</f>
        <v>7110.4150905122005</v>
      </c>
      <c r="D78" s="167">
        <f>'18th year actual'!L140</f>
        <v>5904.1521347768303</v>
      </c>
      <c r="E78" s="166"/>
      <c r="F78" s="182"/>
      <c r="G78" s="165"/>
      <c r="H78" s="165"/>
    </row>
    <row r="79" spans="1:8" x14ac:dyDescent="0.2">
      <c r="A79" s="177" t="s">
        <v>38</v>
      </c>
      <c r="B79" s="182"/>
      <c r="C79" s="128">
        <f>+'[19]Murrey''s G-9 Reg.'!$AO$256+'[19]Murrey''s G-9 Reg.'!$AO$276+'[19]American G-87 Reg.'!$AN$252+'[19]American G-87 Reg.'!$AN$272</f>
        <v>7089.9453320794255</v>
      </c>
      <c r="D79" s="167">
        <f>'18th year actual'!L141</f>
        <v>8147.8493857224785</v>
      </c>
      <c r="E79" s="166"/>
      <c r="F79" s="182"/>
      <c r="G79" s="165"/>
      <c r="H79" s="165"/>
    </row>
    <row r="80" spans="1:8" x14ac:dyDescent="0.2">
      <c r="A80" s="177" t="s">
        <v>95</v>
      </c>
      <c r="B80" s="182"/>
      <c r="C80" s="127">
        <f>+'[19]Murrey''s G-9 Reg.'!$AP$256+'[19]Murrey''s G-9 Reg.'!$AP$276+'[19]American G-87 Reg.'!$AO$252+'[19]American G-87 Reg.'!$AO$272</f>
        <v>7158.2078478747453</v>
      </c>
      <c r="D80" s="167">
        <f>'18th year actual'!L142</f>
        <v>3873.3102525247987</v>
      </c>
      <c r="E80" s="166"/>
      <c r="F80" s="182"/>
      <c r="G80" s="165"/>
      <c r="H80" s="165"/>
    </row>
    <row r="81" spans="1:8" x14ac:dyDescent="0.2">
      <c r="A81" s="177" t="s">
        <v>40</v>
      </c>
      <c r="B81" s="182"/>
      <c r="C81" s="128">
        <f>+'[19]Murrey''s G-9 Reg.'!$AQ$256+'[19]Murrey''s G-9 Reg.'!$AQ$276+'[19]American G-87 Reg.'!$AP$252+'[19]American G-87 Reg.'!$AP$272</f>
        <v>7149.1651111722549</v>
      </c>
      <c r="D81" s="167">
        <f>'18th year actual'!L143</f>
        <v>4750.5350554414845</v>
      </c>
      <c r="E81" s="166"/>
      <c r="F81" s="182"/>
      <c r="G81" s="165"/>
      <c r="H81" s="165"/>
    </row>
    <row r="82" spans="1:8" x14ac:dyDescent="0.2">
      <c r="A82" s="177" t="s">
        <v>41</v>
      </c>
      <c r="B82" s="182"/>
      <c r="C82" s="128">
        <f>+'[19]Murrey''s G-9 Reg.'!$AR$256+'[19]Murrey''s G-9 Reg.'!$AR$276+'[19]American G-87 Reg.'!$AQ$252+'[19]American G-87 Reg.'!$AQ$272</f>
        <v>6535.5754092891057</v>
      </c>
      <c r="D82" s="167">
        <f>'18th year actual'!L144</f>
        <v>6167.4241303476028</v>
      </c>
      <c r="E82" s="166"/>
      <c r="F82" s="182"/>
      <c r="G82" s="165"/>
      <c r="H82" s="165"/>
    </row>
    <row r="83" spans="1:8" x14ac:dyDescent="0.2">
      <c r="A83" s="177" t="s">
        <v>42</v>
      </c>
      <c r="B83" s="182"/>
      <c r="C83" s="128">
        <f>+'[19]Murrey''s G-9 Reg.'!$AS$256+'[19]Murrey''s G-9 Reg.'!$AS$276+'[19]American G-87 Reg.'!$AR$252+'[19]American G-87 Reg.'!$AR$272</f>
        <v>7211.0765436752845</v>
      </c>
      <c r="D83" s="167">
        <f>'18th year actual'!L145</f>
        <v>6508.012465513284</v>
      </c>
      <c r="E83" s="166"/>
      <c r="F83" s="182"/>
      <c r="G83" s="165"/>
      <c r="H83" s="165"/>
    </row>
    <row r="84" spans="1:8" x14ac:dyDescent="0.2">
      <c r="A84" s="177" t="s">
        <v>43</v>
      </c>
      <c r="B84" s="182"/>
      <c r="C84" s="128">
        <f>+'[19]Murrey''s G-9 Reg.'!$AT$256+'[19]Murrey''s G-9 Reg.'!$AT$276+'[19]American G-87 Reg.'!$AS$252+'[19]American G-87 Reg.'!$AS$272</f>
        <v>7257.722658458506</v>
      </c>
      <c r="D84" s="167">
        <f>'18th year actual'!L146</f>
        <v>6108.5275016567102</v>
      </c>
      <c r="E84" s="166"/>
      <c r="F84" s="170"/>
      <c r="G84" s="165"/>
      <c r="H84" s="165"/>
    </row>
    <row r="85" spans="1:8" x14ac:dyDescent="0.2">
      <c r="A85" s="177" t="s">
        <v>44</v>
      </c>
      <c r="B85" s="182"/>
      <c r="C85" s="128">
        <f>+'[19]Murrey''s G-9 Reg.'!$AU$256+'[19]Murrey''s G-9 Reg.'!$AU$276+'[19]American G-87 Reg.'!$AT$252+'[19]American G-87 Reg.'!$AT$272</f>
        <v>7306.3693063940782</v>
      </c>
      <c r="D85" s="167">
        <f>'18th year actual'!L147</f>
        <v>4241.1135068337953</v>
      </c>
      <c r="E85" s="166"/>
      <c r="F85" s="170"/>
      <c r="G85" s="165"/>
      <c r="H85" s="165"/>
    </row>
    <row r="86" spans="1:8" x14ac:dyDescent="0.2">
      <c r="A86" s="177" t="s">
        <v>72</v>
      </c>
      <c r="B86" s="182"/>
      <c r="C86" s="128">
        <f>+'[19]Murrey''s G-9 Reg.'!$AV$256+'[19]Murrey''s G-9 Reg.'!$AV$276+'[19]American G-87 Reg.'!$AU$252+'[19]American G-87 Reg.'!$AU$272</f>
        <v>7350.1765181590017</v>
      </c>
      <c r="D86" s="167">
        <f>'18th year actual'!L148</f>
        <v>1621.8411021610286</v>
      </c>
      <c r="E86" s="166"/>
      <c r="F86" s="170"/>
      <c r="G86" s="165"/>
      <c r="H86" s="165"/>
    </row>
    <row r="87" spans="1:8" x14ac:dyDescent="0.2">
      <c r="A87" s="159" t="s">
        <v>34</v>
      </c>
      <c r="B87" s="158"/>
      <c r="C87" s="126">
        <f>+'[19]Murrey''s G-9 Reg.'!$AW$256+'[19]Murrey''s G-9 Reg.'!$AW$276+'[19]American G-87 Reg.'!$AV$252+'[19]American G-87 Reg.'!$AV$272</f>
        <v>7438.4184941506992</v>
      </c>
      <c r="D87" s="157">
        <f>'18th year actual'!L149</f>
        <v>2549.2366026746663</v>
      </c>
      <c r="E87" s="166"/>
      <c r="F87" s="170"/>
      <c r="G87" s="165"/>
      <c r="H87" s="165"/>
    </row>
    <row r="88" spans="1:8" x14ac:dyDescent="0.2">
      <c r="A88" s="156" t="s">
        <v>96</v>
      </c>
      <c r="B88" s="182"/>
      <c r="C88" s="125">
        <f>SUM(C75:C87)</f>
        <v>86496.988290055029</v>
      </c>
      <c r="D88" s="125">
        <f>SUM(D75:D87)</f>
        <v>60959.933405645468</v>
      </c>
      <c r="E88" s="182"/>
      <c r="F88" s="170"/>
      <c r="G88" s="165"/>
      <c r="H88" s="165"/>
    </row>
    <row r="89" spans="1:8" x14ac:dyDescent="0.2">
      <c r="A89" s="156"/>
      <c r="B89" s="182"/>
      <c r="C89" s="125"/>
      <c r="D89" s="125"/>
      <c r="E89" s="182"/>
      <c r="F89" s="170"/>
      <c r="G89" s="165"/>
      <c r="H89" s="165"/>
    </row>
    <row r="90" spans="1:8" x14ac:dyDescent="0.2">
      <c r="A90" s="63" t="s">
        <v>561</v>
      </c>
      <c r="B90" s="175"/>
      <c r="C90" s="155"/>
      <c r="D90" s="155"/>
      <c r="E90" s="182"/>
      <c r="F90" s="170"/>
      <c r="G90" s="165"/>
      <c r="H90" s="165"/>
    </row>
    <row r="91" spans="1:8" x14ac:dyDescent="0.2">
      <c r="A91" s="175"/>
      <c r="B91" s="175"/>
      <c r="C91" s="174" t="s">
        <v>30</v>
      </c>
      <c r="D91" s="174" t="s">
        <v>31</v>
      </c>
      <c r="E91" s="182"/>
      <c r="F91" s="170"/>
      <c r="G91" s="165"/>
      <c r="H91" s="165"/>
    </row>
    <row r="92" spans="1:8" x14ac:dyDescent="0.2">
      <c r="A92" s="173" t="s">
        <v>92</v>
      </c>
      <c r="B92" s="172"/>
      <c r="C92" s="171" t="s">
        <v>145</v>
      </c>
      <c r="D92" s="171" t="s">
        <v>32</v>
      </c>
      <c r="E92" s="182"/>
      <c r="F92" s="170"/>
      <c r="G92" s="165"/>
      <c r="H92" s="165"/>
    </row>
    <row r="93" spans="1:8" x14ac:dyDescent="0.2">
      <c r="A93" s="177" t="s">
        <v>42</v>
      </c>
      <c r="B93" s="175"/>
      <c r="C93" s="122">
        <f>+C83</f>
        <v>7211.0765436752845</v>
      </c>
      <c r="D93" s="62">
        <f>+'18th year actual'!L174</f>
        <v>3395.4075505794453</v>
      </c>
      <c r="E93" s="182"/>
      <c r="F93" s="170"/>
      <c r="G93" s="165"/>
      <c r="H93" s="165"/>
    </row>
    <row r="94" spans="1:8" x14ac:dyDescent="0.2">
      <c r="A94" s="177" t="s">
        <v>43</v>
      </c>
      <c r="B94" s="175"/>
      <c r="C94" s="122">
        <f>+C84</f>
        <v>7257.722658458506</v>
      </c>
      <c r="D94" s="62">
        <f>+'18th year actual'!L175</f>
        <v>2699.4840233958403</v>
      </c>
      <c r="E94" s="182"/>
      <c r="F94" s="170"/>
      <c r="G94" s="165"/>
      <c r="H94" s="165"/>
    </row>
    <row r="95" spans="1:8" x14ac:dyDescent="0.2">
      <c r="A95" s="177" t="s">
        <v>44</v>
      </c>
      <c r="B95" s="175"/>
      <c r="C95" s="122">
        <f>+C85</f>
        <v>7306.3693063940782</v>
      </c>
      <c r="D95" s="62">
        <f>+'18th year actual'!L176</f>
        <v>1128.5085918999566</v>
      </c>
      <c r="E95" s="182"/>
      <c r="F95" s="170"/>
      <c r="G95" s="165"/>
      <c r="H95" s="165"/>
    </row>
    <row r="96" spans="1:8" x14ac:dyDescent="0.2">
      <c r="A96" s="177" t="s">
        <v>72</v>
      </c>
      <c r="B96" s="175"/>
      <c r="C96" s="122">
        <f>+C86</f>
        <v>7350.1765181590017</v>
      </c>
      <c r="D96" s="62">
        <f>+'18th year actual'!L177</f>
        <v>-1638.9830944363255</v>
      </c>
      <c r="E96" s="182"/>
      <c r="F96" s="170"/>
      <c r="G96" s="165"/>
      <c r="H96" s="165"/>
    </row>
    <row r="97" spans="1:8" x14ac:dyDescent="0.2">
      <c r="A97" s="177" t="s">
        <v>34</v>
      </c>
      <c r="B97" s="175"/>
      <c r="C97" s="122">
        <f>+C87</f>
        <v>7438.4184941506992</v>
      </c>
      <c r="D97" s="62">
        <f>+'18th year actual'!L178</f>
        <v>-711.58759392268803</v>
      </c>
      <c r="E97" s="182"/>
      <c r="F97" s="170"/>
      <c r="G97" s="165"/>
      <c r="H97" s="165"/>
    </row>
    <row r="98" spans="1:8" x14ac:dyDescent="0.2">
      <c r="A98" s="177" t="s">
        <v>35</v>
      </c>
      <c r="B98" s="177"/>
      <c r="C98" s="167">
        <f>+'[19]Murrey''s G-9 Reg.'!$AX$256+'[19]Murrey''s G-9 Reg.'!$AX$276+'[19]American G-87 Reg.'!$AW$252+'[19]American G-87 Reg.'!$AW$272</f>
        <v>7465.5026001646174</v>
      </c>
      <c r="D98" s="62">
        <f>+'18th year actual'!L179</f>
        <v>-835.02159368124035</v>
      </c>
      <c r="E98" s="182"/>
      <c r="F98" s="170"/>
      <c r="G98" s="165"/>
      <c r="H98" s="165"/>
    </row>
    <row r="99" spans="1:8" x14ac:dyDescent="0.2">
      <c r="A99" s="61" t="s">
        <v>558</v>
      </c>
      <c r="B99" s="61"/>
      <c r="C99" s="60">
        <f>+SUM(C93:C98)</f>
        <v>44029.266121002191</v>
      </c>
      <c r="D99" s="59">
        <f>+SUM(D93:D98)</f>
        <v>4037.8078838349884</v>
      </c>
      <c r="E99" s="182"/>
      <c r="F99" s="170"/>
      <c r="G99" s="165"/>
      <c r="H99" s="165"/>
    </row>
    <row r="100" spans="1:8" x14ac:dyDescent="0.2">
      <c r="A100" s="156"/>
      <c r="B100" s="182"/>
      <c r="C100" s="125"/>
      <c r="D100" s="125"/>
      <c r="E100" s="182"/>
      <c r="F100" s="170"/>
      <c r="G100" s="165"/>
      <c r="H100" s="165"/>
    </row>
    <row r="101" spans="1:8" x14ac:dyDescent="0.2">
      <c r="A101" s="182"/>
      <c r="B101" s="182"/>
      <c r="C101" s="170"/>
      <c r="D101" s="182"/>
      <c r="E101" s="182"/>
      <c r="F101" s="150"/>
      <c r="G101" s="150"/>
      <c r="H101" s="182"/>
    </row>
    <row r="102" spans="1:8" x14ac:dyDescent="0.2">
      <c r="A102" s="152" t="s">
        <v>546</v>
      </c>
      <c r="B102" s="182"/>
      <c r="C102" s="182"/>
      <c r="D102" s="182"/>
      <c r="E102" s="182"/>
      <c r="F102" s="182"/>
      <c r="G102" s="182"/>
      <c r="H102" s="182"/>
    </row>
    <row r="103" spans="1:8" x14ac:dyDescent="0.2">
      <c r="A103" s="182"/>
      <c r="B103" s="182"/>
      <c r="C103" s="182"/>
      <c r="D103" s="182"/>
      <c r="E103" s="170"/>
      <c r="F103" s="182"/>
      <c r="G103" s="150"/>
      <c r="H103" s="182"/>
    </row>
    <row r="104" spans="1:8" x14ac:dyDescent="0.2">
      <c r="A104" s="149" t="s">
        <v>343</v>
      </c>
      <c r="B104" s="182"/>
      <c r="C104" s="182"/>
      <c r="D104" s="177" t="s">
        <v>555</v>
      </c>
      <c r="E104" s="148">
        <f>+'[20]17th year adj'!E82</f>
        <v>0.51</v>
      </c>
      <c r="F104" s="182"/>
      <c r="G104" s="150"/>
      <c r="H104" s="161"/>
    </row>
    <row r="105" spans="1:8" x14ac:dyDescent="0.2">
      <c r="A105" s="149" t="s">
        <v>343</v>
      </c>
      <c r="B105" s="182"/>
      <c r="C105" s="182"/>
      <c r="D105" s="177" t="s">
        <v>556</v>
      </c>
      <c r="E105" s="57">
        <f>+'[20]17th year adj'!G101</f>
        <v>0.47589081897491819</v>
      </c>
      <c r="F105" s="182"/>
      <c r="G105" s="182"/>
      <c r="H105" s="161"/>
    </row>
    <row r="106" spans="1:8" x14ac:dyDescent="0.2">
      <c r="A106" s="149"/>
      <c r="B106" s="182"/>
      <c r="C106" s="182"/>
      <c r="D106" s="177"/>
      <c r="E106" s="148"/>
      <c r="F106" s="182"/>
      <c r="G106" s="150"/>
      <c r="H106" s="161"/>
    </row>
    <row r="107" spans="1:8" x14ac:dyDescent="0.2">
      <c r="A107" s="182"/>
      <c r="B107" s="182"/>
      <c r="C107" s="182"/>
      <c r="D107" s="182"/>
      <c r="E107" s="124"/>
      <c r="F107" s="170"/>
      <c r="G107" s="182"/>
      <c r="H107" s="161"/>
    </row>
    <row r="108" spans="1:8" x14ac:dyDescent="0.2">
      <c r="A108" s="177" t="s">
        <v>568</v>
      </c>
      <c r="B108" s="182"/>
      <c r="C108" s="182"/>
      <c r="D108" s="182"/>
      <c r="E108" s="182"/>
      <c r="F108" s="147"/>
      <c r="G108" s="165">
        <f>(SUM(C76:C78)*E104+SUM(C79:C87)*E105)</f>
        <v>41913.535871255692</v>
      </c>
      <c r="H108" s="161"/>
    </row>
    <row r="109" spans="1:8" x14ac:dyDescent="0.2">
      <c r="A109" s="182"/>
      <c r="B109" s="182"/>
      <c r="C109" s="182"/>
      <c r="D109" s="182"/>
      <c r="E109" s="182"/>
      <c r="F109" s="170"/>
      <c r="G109" s="182"/>
      <c r="H109" s="150" t="s">
        <v>6</v>
      </c>
    </row>
    <row r="110" spans="1:8" x14ac:dyDescent="0.2">
      <c r="A110" s="177" t="s">
        <v>50</v>
      </c>
      <c r="B110" s="182"/>
      <c r="C110" s="182"/>
      <c r="D110" s="182"/>
      <c r="E110" s="182"/>
      <c r="F110" s="147">
        <f>D88</f>
        <v>60959.933405645468</v>
      </c>
      <c r="G110" s="182"/>
      <c r="H110" s="144" t="s">
        <v>6</v>
      </c>
    </row>
    <row r="111" spans="1:8" x14ac:dyDescent="0.2">
      <c r="A111" s="177"/>
      <c r="B111" s="182"/>
      <c r="C111" s="182"/>
      <c r="D111" s="182"/>
      <c r="E111" s="182"/>
      <c r="F111" s="147"/>
      <c r="G111" s="182"/>
      <c r="H111" s="144"/>
    </row>
    <row r="112" spans="1:8" x14ac:dyDescent="0.2">
      <c r="A112" s="177" t="s">
        <v>364</v>
      </c>
      <c r="B112" s="182"/>
      <c r="C112" s="182"/>
      <c r="D112" s="182"/>
      <c r="E112" s="182"/>
      <c r="F112" s="147"/>
      <c r="G112" s="147">
        <f>F110-F111</f>
        <v>60959.933405645468</v>
      </c>
      <c r="H112" s="144"/>
    </row>
    <row r="113" spans="1:9" x14ac:dyDescent="0.2">
      <c r="A113" s="182"/>
      <c r="B113" s="182"/>
      <c r="C113" s="182"/>
      <c r="D113" s="182"/>
      <c r="E113" s="182"/>
      <c r="F113" s="182"/>
      <c r="G113" s="182"/>
      <c r="H113" s="182"/>
    </row>
    <row r="114" spans="1:9" x14ac:dyDescent="0.2">
      <c r="A114" s="156" t="s">
        <v>351</v>
      </c>
      <c r="B114" s="182"/>
      <c r="C114" s="182"/>
      <c r="D114" s="182"/>
      <c r="E114" s="182"/>
      <c r="F114" s="182"/>
      <c r="G114" s="145">
        <f>G112-G108</f>
        <v>19046.397534389776</v>
      </c>
      <c r="H114" s="177"/>
    </row>
    <row r="115" spans="1:9" x14ac:dyDescent="0.2">
      <c r="A115" s="177"/>
      <c r="B115" s="182"/>
      <c r="C115" s="182"/>
      <c r="D115" s="182"/>
      <c r="E115" s="182"/>
      <c r="F115" s="182"/>
      <c r="G115" s="147"/>
      <c r="H115" s="182"/>
    </row>
    <row r="116" spans="1:9" x14ac:dyDescent="0.2">
      <c r="A116" s="177" t="s">
        <v>107</v>
      </c>
      <c r="B116" s="177"/>
      <c r="C116" s="177"/>
      <c r="D116" s="177"/>
      <c r="E116" s="182"/>
      <c r="F116" s="123">
        <f>G114</f>
        <v>19046.397534389776</v>
      </c>
      <c r="G116" s="144"/>
      <c r="H116" s="150"/>
    </row>
    <row r="117" spans="1:9" x14ac:dyDescent="0.2">
      <c r="A117" s="177" t="s">
        <v>419</v>
      </c>
      <c r="B117" s="177"/>
      <c r="C117" s="177"/>
      <c r="D117" s="177"/>
      <c r="E117" s="182"/>
      <c r="F117" s="122">
        <f>SUM(C76:C87)</f>
        <v>86496.988290055029</v>
      </c>
      <c r="G117" s="182"/>
      <c r="H117" s="170"/>
    </row>
    <row r="118" spans="1:9" x14ac:dyDescent="0.2">
      <c r="A118" s="177" t="s">
        <v>349</v>
      </c>
      <c r="B118" s="177"/>
      <c r="C118" s="177"/>
      <c r="D118" s="177"/>
      <c r="E118" s="182"/>
      <c r="F118" s="121">
        <f>ROUND(F116/F117,2)</f>
        <v>0.22</v>
      </c>
      <c r="G118" s="150"/>
      <c r="H118" s="150"/>
    </row>
    <row r="119" spans="1:9" x14ac:dyDescent="0.2">
      <c r="A119" s="177"/>
      <c r="B119" s="177"/>
      <c r="C119" s="177"/>
      <c r="D119" s="177"/>
      <c r="E119" s="182"/>
      <c r="F119" s="182"/>
      <c r="G119" s="150"/>
      <c r="H119" s="150"/>
    </row>
    <row r="120" spans="1:9" x14ac:dyDescent="0.2">
      <c r="A120" s="177" t="s">
        <v>570</v>
      </c>
      <c r="B120" s="177"/>
      <c r="C120" s="177"/>
      <c r="D120" s="177"/>
      <c r="E120" s="142"/>
      <c r="F120" s="142"/>
      <c r="G120" s="141" t="s">
        <v>418</v>
      </c>
      <c r="H120" s="140"/>
    </row>
    <row r="121" spans="1:9" x14ac:dyDescent="0.2">
      <c r="A121" s="177" t="s">
        <v>559</v>
      </c>
      <c r="B121" s="177"/>
      <c r="C121" s="177"/>
      <c r="D121" s="177"/>
      <c r="E121" s="139"/>
      <c r="F121" s="138"/>
      <c r="G121" s="139">
        <f>+D99</f>
        <v>4037.8078838349884</v>
      </c>
      <c r="H121" s="139"/>
    </row>
    <row r="122" spans="1:9" x14ac:dyDescent="0.2">
      <c r="A122" s="177" t="s">
        <v>560</v>
      </c>
      <c r="B122" s="177"/>
      <c r="C122" s="177"/>
      <c r="D122" s="177"/>
      <c r="E122" s="165"/>
      <c r="F122" s="165"/>
      <c r="G122" s="165">
        <f>+C99</f>
        <v>44029.266121002191</v>
      </c>
      <c r="H122" s="165"/>
    </row>
    <row r="123" spans="1:9" x14ac:dyDescent="0.2">
      <c r="A123" s="182"/>
      <c r="B123" s="182"/>
      <c r="C123" s="182"/>
      <c r="D123" s="182"/>
      <c r="E123" s="177"/>
      <c r="F123" s="177"/>
      <c r="G123" s="177"/>
      <c r="H123" s="137"/>
    </row>
    <row r="124" spans="1:9" x14ac:dyDescent="0.2">
      <c r="A124" s="175"/>
      <c r="B124" s="182"/>
      <c r="C124" s="182"/>
      <c r="F124" s="136" t="s">
        <v>551</v>
      </c>
      <c r="G124" s="120">
        <f>G121/G122</f>
        <v>9.1707362842210371E-2</v>
      </c>
      <c r="H124" s="120"/>
    </row>
    <row r="125" spans="1:9" x14ac:dyDescent="0.2">
      <c r="A125" s="180"/>
      <c r="B125" s="182"/>
      <c r="C125" s="182"/>
      <c r="F125" s="136" t="s">
        <v>552</v>
      </c>
      <c r="G125" s="121">
        <f>F118</f>
        <v>0.22</v>
      </c>
      <c r="H125" s="121"/>
    </row>
    <row r="126" spans="1:9" ht="15.75" thickBot="1" x14ac:dyDescent="0.25">
      <c r="A126" s="119"/>
      <c r="B126" s="182"/>
      <c r="C126" s="182"/>
      <c r="D126" s="182"/>
      <c r="E126" s="56"/>
      <c r="F126" s="135" t="s">
        <v>361</v>
      </c>
      <c r="G126" s="134">
        <f>SUM(G124:G125)</f>
        <v>0.31170736284221034</v>
      </c>
      <c r="H126" s="120"/>
      <c r="I126" s="31"/>
    </row>
    <row r="127" spans="1:9" x14ac:dyDescent="0.2">
      <c r="A127" s="119"/>
      <c r="B127" s="182"/>
      <c r="C127" s="182"/>
      <c r="D127" s="182"/>
      <c r="E127" s="182"/>
      <c r="F127" s="182"/>
      <c r="G127" s="182"/>
      <c r="H127" s="182"/>
    </row>
    <row r="128" spans="1:9" x14ac:dyDescent="0.2">
      <c r="A128" s="132"/>
      <c r="B128" s="132"/>
      <c r="C128" s="132"/>
      <c r="D128" s="132"/>
      <c r="E128" s="132"/>
      <c r="F128" s="132"/>
      <c r="G128" s="132"/>
      <c r="H128" s="132"/>
    </row>
  </sheetData>
  <mergeCells count="4">
    <mergeCell ref="A1:G1"/>
    <mergeCell ref="A2:G2"/>
    <mergeCell ref="A3:G3"/>
    <mergeCell ref="A4:G4"/>
  </mergeCells>
  <pageMargins left="0.7" right="0.7" top="0.75" bottom="0.75" header="0.3" footer="0.3"/>
  <pageSetup scale="78" orientation="portrait" r:id="rId1"/>
  <rowBreaks count="1" manualBreakCount="1">
    <brk id="62" max="16383"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76"/>
  <sheetViews>
    <sheetView showOutlineSymbols="0" topLeftCell="B1" zoomScale="87" workbookViewId="0">
      <selection activeCell="F78" sqref="F78"/>
    </sheetView>
  </sheetViews>
  <sheetFormatPr defaultColWidth="11.44140625" defaultRowHeight="15" x14ac:dyDescent="0.2"/>
  <cols>
    <col min="1" max="1" width="11.44140625" customWidth="1"/>
    <col min="2" max="2" width="12.6640625" customWidth="1"/>
    <col min="3" max="5" width="11.6640625" customWidth="1"/>
    <col min="6" max="6" width="11.44140625" customWidth="1"/>
    <col min="7" max="7" width="11.6640625" customWidth="1"/>
  </cols>
  <sheetData>
    <row r="1" spans="2:6" x14ac:dyDescent="0.2">
      <c r="F1" t="s">
        <v>0</v>
      </c>
    </row>
    <row r="2" spans="2:6" x14ac:dyDescent="0.2">
      <c r="F2" t="s">
        <v>1</v>
      </c>
    </row>
    <row r="3" spans="2:6" x14ac:dyDescent="0.2">
      <c r="F3" t="s">
        <v>2</v>
      </c>
    </row>
    <row r="6" spans="2:6" x14ac:dyDescent="0.2">
      <c r="B6" t="s">
        <v>90</v>
      </c>
    </row>
    <row r="8" spans="2:6" x14ac:dyDescent="0.2">
      <c r="B8" t="s">
        <v>4</v>
      </c>
    </row>
    <row r="9" spans="2:6" x14ac:dyDescent="0.2">
      <c r="B9" t="s">
        <v>91</v>
      </c>
    </row>
    <row r="10" spans="2:6" x14ac:dyDescent="0.2">
      <c r="B10" t="s">
        <v>6</v>
      </c>
    </row>
    <row r="13" spans="2:6" x14ac:dyDescent="0.2">
      <c r="F13" t="s">
        <v>7</v>
      </c>
    </row>
    <row r="14" spans="2:6" x14ac:dyDescent="0.2">
      <c r="D14" t="s">
        <v>30</v>
      </c>
      <c r="E14" t="s">
        <v>31</v>
      </c>
      <c r="F14" t="s">
        <v>8</v>
      </c>
    </row>
    <row r="15" spans="2:6" x14ac:dyDescent="0.2">
      <c r="B15" t="s">
        <v>92</v>
      </c>
      <c r="D15" t="s">
        <v>26</v>
      </c>
      <c r="E15" t="s">
        <v>32</v>
      </c>
      <c r="F15" t="s">
        <v>13</v>
      </c>
    </row>
    <row r="17" spans="2:8" x14ac:dyDescent="0.2">
      <c r="B17" t="s">
        <v>93</v>
      </c>
      <c r="D17" t="s">
        <v>6</v>
      </c>
      <c r="E17" t="s">
        <v>6</v>
      </c>
      <c r="F17" t="s">
        <v>6</v>
      </c>
    </row>
    <row r="18" spans="2:8" x14ac:dyDescent="0.2">
      <c r="B18" t="s">
        <v>34</v>
      </c>
      <c r="D18" t="s">
        <v>6</v>
      </c>
      <c r="E18" t="s">
        <v>6</v>
      </c>
      <c r="F18" t="s">
        <v>6</v>
      </c>
    </row>
    <row r="19" spans="2:8" x14ac:dyDescent="0.2">
      <c r="B19" t="s">
        <v>35</v>
      </c>
      <c r="D19">
        <v>36109</v>
      </c>
      <c r="E19">
        <f>'2nd year actual'!$J$49</f>
        <v>15665.945</v>
      </c>
      <c r="F19">
        <f t="shared" ref="F19:F30" si="0">SUM(E17:E19)/SUM(D17:D19)</f>
        <v>0.43385153285884404</v>
      </c>
    </row>
    <row r="20" spans="2:8" x14ac:dyDescent="0.2">
      <c r="B20" t="s">
        <v>94</v>
      </c>
      <c r="D20">
        <v>36094</v>
      </c>
      <c r="E20">
        <f>'2nd year actual'!$J$50</f>
        <v>16661.755000000001</v>
      </c>
      <c r="F20">
        <f t="shared" si="0"/>
        <v>0.44773347367837901</v>
      </c>
    </row>
    <row r="21" spans="2:8" x14ac:dyDescent="0.2">
      <c r="B21" t="s">
        <v>37</v>
      </c>
      <c r="D21">
        <v>36111</v>
      </c>
      <c r="E21">
        <f>'2nd year actual'!$J$51</f>
        <v>15882.810000000001</v>
      </c>
      <c r="F21">
        <f t="shared" si="0"/>
        <v>0.44509952545377329</v>
      </c>
    </row>
    <row r="22" spans="2:8" x14ac:dyDescent="0.2">
      <c r="B22" t="s">
        <v>38</v>
      </c>
      <c r="D22">
        <v>36646</v>
      </c>
      <c r="E22">
        <f>'2nd year actual'!$J$52</f>
        <v>23367.43</v>
      </c>
      <c r="F22">
        <f t="shared" si="0"/>
        <v>0.51365623650678449</v>
      </c>
    </row>
    <row r="23" spans="2:8" x14ac:dyDescent="0.2">
      <c r="B23" t="s">
        <v>95</v>
      </c>
      <c r="D23">
        <v>36758</v>
      </c>
      <c r="E23">
        <f>'2nd year actual'!$J$53</f>
        <v>19595</v>
      </c>
      <c r="F23">
        <f t="shared" si="0"/>
        <v>0.53732584577455145</v>
      </c>
    </row>
    <row r="24" spans="2:8" x14ac:dyDescent="0.2">
      <c r="B24" t="s">
        <v>40</v>
      </c>
      <c r="D24">
        <v>38171</v>
      </c>
      <c r="E24">
        <f>'2nd year actual'!$J$54</f>
        <v>24169.39</v>
      </c>
      <c r="F24">
        <f t="shared" si="0"/>
        <v>0.60167438942415419</v>
      </c>
    </row>
    <row r="25" spans="2:8" x14ac:dyDescent="0.2">
      <c r="B25" t="s">
        <v>41</v>
      </c>
      <c r="D25">
        <v>37551</v>
      </c>
      <c r="E25">
        <f>'2nd year actual'!$J$55</f>
        <v>21205.88</v>
      </c>
      <c r="F25">
        <f t="shared" si="0"/>
        <v>0.57761619843527745</v>
      </c>
    </row>
    <row r="26" spans="2:8" x14ac:dyDescent="0.2">
      <c r="B26" t="s">
        <v>42</v>
      </c>
      <c r="D26">
        <v>37873</v>
      </c>
      <c r="E26">
        <f>'2nd year actual'!$J$56</f>
        <v>17151.920000000002</v>
      </c>
      <c r="F26">
        <f t="shared" si="0"/>
        <v>0.5504396320260575</v>
      </c>
    </row>
    <row r="27" spans="2:8" x14ac:dyDescent="0.2">
      <c r="B27" t="s">
        <v>43</v>
      </c>
      <c r="D27">
        <v>38293</v>
      </c>
      <c r="E27">
        <f>'2nd year actual'!$J$57</f>
        <v>17628.29</v>
      </c>
      <c r="F27">
        <f t="shared" si="0"/>
        <v>0.49232823588381686</v>
      </c>
    </row>
    <row r="28" spans="2:8" x14ac:dyDescent="0.2">
      <c r="B28" t="s">
        <v>44</v>
      </c>
      <c r="D28">
        <v>38755</v>
      </c>
      <c r="E28">
        <f>'2nd year actual'!$J$58</f>
        <v>15510.590000000002</v>
      </c>
      <c r="F28">
        <f t="shared" si="0"/>
        <v>0.43761192471349891</v>
      </c>
    </row>
    <row r="29" spans="2:8" x14ac:dyDescent="0.2">
      <c r="B29" t="s">
        <v>72</v>
      </c>
      <c r="D29">
        <v>38688</v>
      </c>
      <c r="E29">
        <f>'2nd year actual'!$J$59</f>
        <v>16975.739999999998</v>
      </c>
      <c r="F29">
        <f t="shared" si="0"/>
        <v>0.43300805280984311</v>
      </c>
    </row>
    <row r="30" spans="2:8" x14ac:dyDescent="0.2">
      <c r="B30" t="s">
        <v>34</v>
      </c>
      <c r="D30">
        <v>38909</v>
      </c>
      <c r="E30">
        <f>'2nd year actual'!$J$60</f>
        <v>18538.219999999998</v>
      </c>
      <c r="F30">
        <f t="shared" si="0"/>
        <v>0.4385360801705171</v>
      </c>
    </row>
    <row r="32" spans="2:8" x14ac:dyDescent="0.2">
      <c r="B32" t="s">
        <v>96</v>
      </c>
      <c r="D32">
        <f>SUM(D17:D31)</f>
        <v>449958</v>
      </c>
      <c r="E32">
        <f>SUM(E17:E31)</f>
        <v>222352.97</v>
      </c>
      <c r="H32" t="s">
        <v>6</v>
      </c>
    </row>
    <row r="34" spans="2:7" x14ac:dyDescent="0.2">
      <c r="B34" t="s">
        <v>97</v>
      </c>
    </row>
    <row r="36" spans="2:7" x14ac:dyDescent="0.2">
      <c r="B36" t="s">
        <v>98</v>
      </c>
      <c r="F36">
        <v>0</v>
      </c>
    </row>
    <row r="37" spans="2:7" x14ac:dyDescent="0.2">
      <c r="B37" t="s">
        <v>99</v>
      </c>
      <c r="F37">
        <v>0</v>
      </c>
    </row>
    <row r="38" spans="2:7" x14ac:dyDescent="0.2">
      <c r="B38" t="s">
        <v>100</v>
      </c>
      <c r="F38">
        <f>D19</f>
        <v>36109</v>
      </c>
    </row>
    <row r="39" spans="2:7" x14ac:dyDescent="0.2">
      <c r="B39" t="s">
        <v>6</v>
      </c>
      <c r="F39" t="s">
        <v>6</v>
      </c>
    </row>
    <row r="40" spans="2:7" x14ac:dyDescent="0.2">
      <c r="B40" t="s">
        <v>6</v>
      </c>
      <c r="F40">
        <f>(+F36+F37+F38)</f>
        <v>36109</v>
      </c>
    </row>
    <row r="41" spans="2:7" x14ac:dyDescent="0.2">
      <c r="B41" t="s">
        <v>101</v>
      </c>
      <c r="F41">
        <f>'Initial credit'!$G$54</f>
        <v>0.46080774720154749</v>
      </c>
    </row>
    <row r="43" spans="2:7" x14ac:dyDescent="0.2">
      <c r="B43" t="s">
        <v>102</v>
      </c>
      <c r="G43">
        <f>F40*F41</f>
        <v>16639.306943700678</v>
      </c>
    </row>
    <row r="45" spans="2:7" x14ac:dyDescent="0.2">
      <c r="B45" t="s">
        <v>103</v>
      </c>
      <c r="F45">
        <f>SUM(D20:D30)</f>
        <v>413849</v>
      </c>
    </row>
    <row r="46" spans="2:7" x14ac:dyDescent="0.2">
      <c r="B46" t="s">
        <v>101</v>
      </c>
      <c r="F46">
        <f>'First year adj'!$J$59</f>
        <v>0.34632026456854081</v>
      </c>
    </row>
    <row r="48" spans="2:7" x14ac:dyDescent="0.2">
      <c r="B48" t="s">
        <v>102</v>
      </c>
      <c r="G48">
        <f>F45*F46</f>
        <v>143324.29517142606</v>
      </c>
    </row>
    <row r="50" spans="2:7" x14ac:dyDescent="0.2">
      <c r="B50" t="s">
        <v>104</v>
      </c>
      <c r="G50">
        <f>G43+G48</f>
        <v>159963.60211512673</v>
      </c>
    </row>
    <row r="52" spans="2:7" x14ac:dyDescent="0.2">
      <c r="B52" t="s">
        <v>50</v>
      </c>
      <c r="G52">
        <f>E32</f>
        <v>222352.97</v>
      </c>
    </row>
    <row r="54" spans="2:7" x14ac:dyDescent="0.2">
      <c r="B54" t="s">
        <v>105</v>
      </c>
      <c r="G54">
        <f>G52-G50</f>
        <v>62389.367884873267</v>
      </c>
    </row>
    <row r="57" spans="2:7" x14ac:dyDescent="0.2">
      <c r="B57" t="s">
        <v>106</v>
      </c>
    </row>
    <row r="59" spans="2:7" x14ac:dyDescent="0.2">
      <c r="B59" t="s">
        <v>107</v>
      </c>
      <c r="G59">
        <f>G54</f>
        <v>62389.367884873267</v>
      </c>
    </row>
    <row r="60" spans="2:7" x14ac:dyDescent="0.2">
      <c r="B60" t="s">
        <v>54</v>
      </c>
      <c r="G60">
        <f>SUM(D28:D30)/3</f>
        <v>38784</v>
      </c>
    </row>
    <row r="61" spans="2:7" x14ac:dyDescent="0.2">
      <c r="B61" t="s">
        <v>108</v>
      </c>
      <c r="G61">
        <f>G59/G60</f>
        <v>1.6086367544573346</v>
      </c>
    </row>
    <row r="62" spans="2:7" x14ac:dyDescent="0.2">
      <c r="B62" t="s">
        <v>56</v>
      </c>
    </row>
    <row r="63" spans="2:7" x14ac:dyDescent="0.2">
      <c r="B63" t="s">
        <v>57</v>
      </c>
      <c r="G63">
        <f>G61/12</f>
        <v>0.13405306287144456</v>
      </c>
    </row>
    <row r="65" spans="2:11" x14ac:dyDescent="0.2">
      <c r="G65" t="s">
        <v>109</v>
      </c>
      <c r="H65" t="s">
        <v>109</v>
      </c>
      <c r="I65" t="s">
        <v>109</v>
      </c>
      <c r="J65" t="s">
        <v>8</v>
      </c>
    </row>
    <row r="66" spans="2:11" x14ac:dyDescent="0.2">
      <c r="B66" t="s">
        <v>58</v>
      </c>
      <c r="G66" t="s">
        <v>44</v>
      </c>
      <c r="H66" t="s">
        <v>72</v>
      </c>
      <c r="I66" t="s">
        <v>34</v>
      </c>
      <c r="J66" t="s">
        <v>13</v>
      </c>
    </row>
    <row r="68" spans="2:11" x14ac:dyDescent="0.2">
      <c r="B68" t="s">
        <v>60</v>
      </c>
      <c r="G68">
        <f>E28</f>
        <v>15510.590000000002</v>
      </c>
      <c r="H68">
        <f>E29</f>
        <v>16975.739999999998</v>
      </c>
      <c r="I68">
        <f>E30</f>
        <v>18538.219999999998</v>
      </c>
      <c r="J68">
        <f>AVERAGE(G68:I68)</f>
        <v>17008.183333333334</v>
      </c>
      <c r="K68" t="s">
        <v>61</v>
      </c>
    </row>
    <row r="69" spans="2:11" x14ac:dyDescent="0.2">
      <c r="B69" t="s">
        <v>62</v>
      </c>
      <c r="G69">
        <f>D28</f>
        <v>38755</v>
      </c>
      <c r="H69">
        <f>D29</f>
        <v>38688</v>
      </c>
      <c r="I69">
        <f>D30</f>
        <v>38909</v>
      </c>
      <c r="J69">
        <f>AVERAGE(G69:I69)</f>
        <v>38784</v>
      </c>
      <c r="K69" t="s">
        <v>63</v>
      </c>
    </row>
    <row r="71" spans="2:11" x14ac:dyDescent="0.2">
      <c r="B71" t="s">
        <v>110</v>
      </c>
      <c r="F71" t="s">
        <v>65</v>
      </c>
      <c r="J71">
        <f>J68/J69</f>
        <v>0.4385360801705171</v>
      </c>
    </row>
    <row r="72" spans="2:11" x14ac:dyDescent="0.2">
      <c r="B72" t="s">
        <v>111</v>
      </c>
      <c r="J72">
        <f>G63</f>
        <v>0.13405306287144456</v>
      </c>
    </row>
    <row r="74" spans="2:11" x14ac:dyDescent="0.2">
      <c r="B74" t="s">
        <v>67</v>
      </c>
      <c r="E74" t="s">
        <v>68</v>
      </c>
      <c r="J74">
        <f>SUM(J71:J73)</f>
        <v>0.57258914304196162</v>
      </c>
    </row>
    <row r="76" spans="2:11" x14ac:dyDescent="0.2">
      <c r="J76" t="s">
        <v>6</v>
      </c>
    </row>
  </sheetData>
  <phoneticPr fontId="0" type="noConversion"/>
  <pageMargins left="0.35" right="0.35" top="0.75" bottom="0.75" header="0.5" footer="0.5"/>
  <pageSetup orientation="portrait" horizontalDpi="4294967293" verticalDpi="0" r:id="rId1"/>
  <headerFooter alignWithMargins="0"/>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59999389629810485"/>
  </sheetPr>
  <dimension ref="A1:J128"/>
  <sheetViews>
    <sheetView showGridLines="0" topLeftCell="A96" zoomScaleNormal="100" workbookViewId="0">
      <selection activeCell="J130" sqref="J130"/>
    </sheetView>
  </sheetViews>
  <sheetFormatPr defaultRowHeight="15" x14ac:dyDescent="0.2"/>
  <cols>
    <col min="1" max="1" width="13.21875" style="65" customWidth="1"/>
    <col min="2" max="2" width="7.5546875" style="65" customWidth="1"/>
    <col min="3" max="5" width="8.88671875" style="65"/>
    <col min="6" max="6" width="7.5546875" style="65" customWidth="1"/>
    <col min="7" max="7" width="8.88671875" style="65"/>
    <col min="8" max="8" width="4.44140625" style="65" customWidth="1"/>
    <col min="9" max="9" width="6.5546875" style="65" customWidth="1"/>
    <col min="10" max="256" width="8.88671875" style="65"/>
    <col min="257" max="257" width="13.21875" style="65" customWidth="1"/>
    <col min="258" max="258" width="7.5546875" style="65" customWidth="1"/>
    <col min="259" max="261" width="8.88671875" style="65"/>
    <col min="262" max="262" width="7.5546875" style="65" customWidth="1"/>
    <col min="263" max="263" width="8.88671875" style="65"/>
    <col min="264" max="264" width="4.44140625" style="65" customWidth="1"/>
    <col min="265" max="265" width="6.5546875" style="65" customWidth="1"/>
    <col min="266" max="512" width="8.88671875" style="65"/>
    <col min="513" max="513" width="13.21875" style="65" customWidth="1"/>
    <col min="514" max="514" width="7.5546875" style="65" customWidth="1"/>
    <col min="515" max="517" width="8.88671875" style="65"/>
    <col min="518" max="518" width="7.5546875" style="65" customWidth="1"/>
    <col min="519" max="519" width="8.88671875" style="65"/>
    <col min="520" max="520" width="4.44140625" style="65" customWidth="1"/>
    <col min="521" max="521" width="6.5546875" style="65" customWidth="1"/>
    <col min="522" max="768" width="8.88671875" style="65"/>
    <col min="769" max="769" width="13.21875" style="65" customWidth="1"/>
    <col min="770" max="770" width="7.5546875" style="65" customWidth="1"/>
    <col min="771" max="773" width="8.88671875" style="65"/>
    <col min="774" max="774" width="7.5546875" style="65" customWidth="1"/>
    <col min="775" max="775" width="8.88671875" style="65"/>
    <col min="776" max="776" width="4.44140625" style="65" customWidth="1"/>
    <col min="777" max="777" width="6.5546875" style="65" customWidth="1"/>
    <col min="778" max="1024" width="8.88671875" style="65"/>
    <col min="1025" max="1025" width="13.21875" style="65" customWidth="1"/>
    <col min="1026" max="1026" width="7.5546875" style="65" customWidth="1"/>
    <col min="1027" max="1029" width="8.88671875" style="65"/>
    <col min="1030" max="1030" width="7.5546875" style="65" customWidth="1"/>
    <col min="1031" max="1031" width="8.88671875" style="65"/>
    <col min="1032" max="1032" width="4.44140625" style="65" customWidth="1"/>
    <col min="1033" max="1033" width="6.5546875" style="65" customWidth="1"/>
    <col min="1034" max="1280" width="8.88671875" style="65"/>
    <col min="1281" max="1281" width="13.21875" style="65" customWidth="1"/>
    <col min="1282" max="1282" width="7.5546875" style="65" customWidth="1"/>
    <col min="1283" max="1285" width="8.88671875" style="65"/>
    <col min="1286" max="1286" width="7.5546875" style="65" customWidth="1"/>
    <col min="1287" max="1287" width="8.88671875" style="65"/>
    <col min="1288" max="1288" width="4.44140625" style="65" customWidth="1"/>
    <col min="1289" max="1289" width="6.5546875" style="65" customWidth="1"/>
    <col min="1290" max="1536" width="8.88671875" style="65"/>
    <col min="1537" max="1537" width="13.21875" style="65" customWidth="1"/>
    <col min="1538" max="1538" width="7.5546875" style="65" customWidth="1"/>
    <col min="1539" max="1541" width="8.88671875" style="65"/>
    <col min="1542" max="1542" width="7.5546875" style="65" customWidth="1"/>
    <col min="1543" max="1543" width="8.88671875" style="65"/>
    <col min="1544" max="1544" width="4.44140625" style="65" customWidth="1"/>
    <col min="1545" max="1545" width="6.5546875" style="65" customWidth="1"/>
    <col min="1546" max="1792" width="8.88671875" style="65"/>
    <col min="1793" max="1793" width="13.21875" style="65" customWidth="1"/>
    <col min="1794" max="1794" width="7.5546875" style="65" customWidth="1"/>
    <col min="1795" max="1797" width="8.88671875" style="65"/>
    <col min="1798" max="1798" width="7.5546875" style="65" customWidth="1"/>
    <col min="1799" max="1799" width="8.88671875" style="65"/>
    <col min="1800" max="1800" width="4.44140625" style="65" customWidth="1"/>
    <col min="1801" max="1801" width="6.5546875" style="65" customWidth="1"/>
    <col min="1802" max="2048" width="8.88671875" style="65"/>
    <col min="2049" max="2049" width="13.21875" style="65" customWidth="1"/>
    <col min="2050" max="2050" width="7.5546875" style="65" customWidth="1"/>
    <col min="2051" max="2053" width="8.88671875" style="65"/>
    <col min="2054" max="2054" width="7.5546875" style="65" customWidth="1"/>
    <col min="2055" max="2055" width="8.88671875" style="65"/>
    <col min="2056" max="2056" width="4.44140625" style="65" customWidth="1"/>
    <col min="2057" max="2057" width="6.5546875" style="65" customWidth="1"/>
    <col min="2058" max="2304" width="8.88671875" style="65"/>
    <col min="2305" max="2305" width="13.21875" style="65" customWidth="1"/>
    <col min="2306" max="2306" width="7.5546875" style="65" customWidth="1"/>
    <col min="2307" max="2309" width="8.88671875" style="65"/>
    <col min="2310" max="2310" width="7.5546875" style="65" customWidth="1"/>
    <col min="2311" max="2311" width="8.88671875" style="65"/>
    <col min="2312" max="2312" width="4.44140625" style="65" customWidth="1"/>
    <col min="2313" max="2313" width="6.5546875" style="65" customWidth="1"/>
    <col min="2314" max="2560" width="8.88671875" style="65"/>
    <col min="2561" max="2561" width="13.21875" style="65" customWidth="1"/>
    <col min="2562" max="2562" width="7.5546875" style="65" customWidth="1"/>
    <col min="2563" max="2565" width="8.88671875" style="65"/>
    <col min="2566" max="2566" width="7.5546875" style="65" customWidth="1"/>
    <col min="2567" max="2567" width="8.88671875" style="65"/>
    <col min="2568" max="2568" width="4.44140625" style="65" customWidth="1"/>
    <col min="2569" max="2569" width="6.5546875" style="65" customWidth="1"/>
    <col min="2570" max="2816" width="8.88671875" style="65"/>
    <col min="2817" max="2817" width="13.21875" style="65" customWidth="1"/>
    <col min="2818" max="2818" width="7.5546875" style="65" customWidth="1"/>
    <col min="2819" max="2821" width="8.88671875" style="65"/>
    <col min="2822" max="2822" width="7.5546875" style="65" customWidth="1"/>
    <col min="2823" max="2823" width="8.88671875" style="65"/>
    <col min="2824" max="2824" width="4.44140625" style="65" customWidth="1"/>
    <col min="2825" max="2825" width="6.5546875" style="65" customWidth="1"/>
    <col min="2826" max="3072" width="8.88671875" style="65"/>
    <col min="3073" max="3073" width="13.21875" style="65" customWidth="1"/>
    <col min="3074" max="3074" width="7.5546875" style="65" customWidth="1"/>
    <col min="3075" max="3077" width="8.88671875" style="65"/>
    <col min="3078" max="3078" width="7.5546875" style="65" customWidth="1"/>
    <col min="3079" max="3079" width="8.88671875" style="65"/>
    <col min="3080" max="3080" width="4.44140625" style="65" customWidth="1"/>
    <col min="3081" max="3081" width="6.5546875" style="65" customWidth="1"/>
    <col min="3082" max="3328" width="8.88671875" style="65"/>
    <col min="3329" max="3329" width="13.21875" style="65" customWidth="1"/>
    <col min="3330" max="3330" width="7.5546875" style="65" customWidth="1"/>
    <col min="3331" max="3333" width="8.88671875" style="65"/>
    <col min="3334" max="3334" width="7.5546875" style="65" customWidth="1"/>
    <col min="3335" max="3335" width="8.88671875" style="65"/>
    <col min="3336" max="3336" width="4.44140625" style="65" customWidth="1"/>
    <col min="3337" max="3337" width="6.5546875" style="65" customWidth="1"/>
    <col min="3338" max="3584" width="8.88671875" style="65"/>
    <col min="3585" max="3585" width="13.21875" style="65" customWidth="1"/>
    <col min="3586" max="3586" width="7.5546875" style="65" customWidth="1"/>
    <col min="3587" max="3589" width="8.88671875" style="65"/>
    <col min="3590" max="3590" width="7.5546875" style="65" customWidth="1"/>
    <col min="3591" max="3591" width="8.88671875" style="65"/>
    <col min="3592" max="3592" width="4.44140625" style="65" customWidth="1"/>
    <col min="3593" max="3593" width="6.5546875" style="65" customWidth="1"/>
    <col min="3594" max="3840" width="8.88671875" style="65"/>
    <col min="3841" max="3841" width="13.21875" style="65" customWidth="1"/>
    <col min="3842" max="3842" width="7.5546875" style="65" customWidth="1"/>
    <col min="3843" max="3845" width="8.88671875" style="65"/>
    <col min="3846" max="3846" width="7.5546875" style="65" customWidth="1"/>
    <col min="3847" max="3847" width="8.88671875" style="65"/>
    <col min="3848" max="3848" width="4.44140625" style="65" customWidth="1"/>
    <col min="3849" max="3849" width="6.5546875" style="65" customWidth="1"/>
    <col min="3850" max="4096" width="8.88671875" style="65"/>
    <col min="4097" max="4097" width="13.21875" style="65" customWidth="1"/>
    <col min="4098" max="4098" width="7.5546875" style="65" customWidth="1"/>
    <col min="4099" max="4101" width="8.88671875" style="65"/>
    <col min="4102" max="4102" width="7.5546875" style="65" customWidth="1"/>
    <col min="4103" max="4103" width="8.88671875" style="65"/>
    <col min="4104" max="4104" width="4.44140625" style="65" customWidth="1"/>
    <col min="4105" max="4105" width="6.5546875" style="65" customWidth="1"/>
    <col min="4106" max="4352" width="8.88671875" style="65"/>
    <col min="4353" max="4353" width="13.21875" style="65" customWidth="1"/>
    <col min="4354" max="4354" width="7.5546875" style="65" customWidth="1"/>
    <col min="4355" max="4357" width="8.88671875" style="65"/>
    <col min="4358" max="4358" width="7.5546875" style="65" customWidth="1"/>
    <col min="4359" max="4359" width="8.88671875" style="65"/>
    <col min="4360" max="4360" width="4.44140625" style="65" customWidth="1"/>
    <col min="4361" max="4361" width="6.5546875" style="65" customWidth="1"/>
    <col min="4362" max="4608" width="8.88671875" style="65"/>
    <col min="4609" max="4609" width="13.21875" style="65" customWidth="1"/>
    <col min="4610" max="4610" width="7.5546875" style="65" customWidth="1"/>
    <col min="4611" max="4613" width="8.88671875" style="65"/>
    <col min="4614" max="4614" width="7.5546875" style="65" customWidth="1"/>
    <col min="4615" max="4615" width="8.88671875" style="65"/>
    <col min="4616" max="4616" width="4.44140625" style="65" customWidth="1"/>
    <col min="4617" max="4617" width="6.5546875" style="65" customWidth="1"/>
    <col min="4618" max="4864" width="8.88671875" style="65"/>
    <col min="4865" max="4865" width="13.21875" style="65" customWidth="1"/>
    <col min="4866" max="4866" width="7.5546875" style="65" customWidth="1"/>
    <col min="4867" max="4869" width="8.88671875" style="65"/>
    <col min="4870" max="4870" width="7.5546875" style="65" customWidth="1"/>
    <col min="4871" max="4871" width="8.88671875" style="65"/>
    <col min="4872" max="4872" width="4.44140625" style="65" customWidth="1"/>
    <col min="4873" max="4873" width="6.5546875" style="65" customWidth="1"/>
    <col min="4874" max="5120" width="8.88671875" style="65"/>
    <col min="5121" max="5121" width="13.21875" style="65" customWidth="1"/>
    <col min="5122" max="5122" width="7.5546875" style="65" customWidth="1"/>
    <col min="5123" max="5125" width="8.88671875" style="65"/>
    <col min="5126" max="5126" width="7.5546875" style="65" customWidth="1"/>
    <col min="5127" max="5127" width="8.88671875" style="65"/>
    <col min="5128" max="5128" width="4.44140625" style="65" customWidth="1"/>
    <col min="5129" max="5129" width="6.5546875" style="65" customWidth="1"/>
    <col min="5130" max="5376" width="8.88671875" style="65"/>
    <col min="5377" max="5377" width="13.21875" style="65" customWidth="1"/>
    <col min="5378" max="5378" width="7.5546875" style="65" customWidth="1"/>
    <col min="5379" max="5381" width="8.88671875" style="65"/>
    <col min="5382" max="5382" width="7.5546875" style="65" customWidth="1"/>
    <col min="5383" max="5383" width="8.88671875" style="65"/>
    <col min="5384" max="5384" width="4.44140625" style="65" customWidth="1"/>
    <col min="5385" max="5385" width="6.5546875" style="65" customWidth="1"/>
    <col min="5386" max="5632" width="8.88671875" style="65"/>
    <col min="5633" max="5633" width="13.21875" style="65" customWidth="1"/>
    <col min="5634" max="5634" width="7.5546875" style="65" customWidth="1"/>
    <col min="5635" max="5637" width="8.88671875" style="65"/>
    <col min="5638" max="5638" width="7.5546875" style="65" customWidth="1"/>
    <col min="5639" max="5639" width="8.88671875" style="65"/>
    <col min="5640" max="5640" width="4.44140625" style="65" customWidth="1"/>
    <col min="5641" max="5641" width="6.5546875" style="65" customWidth="1"/>
    <col min="5642" max="5888" width="8.88671875" style="65"/>
    <col min="5889" max="5889" width="13.21875" style="65" customWidth="1"/>
    <col min="5890" max="5890" width="7.5546875" style="65" customWidth="1"/>
    <col min="5891" max="5893" width="8.88671875" style="65"/>
    <col min="5894" max="5894" width="7.5546875" style="65" customWidth="1"/>
    <col min="5895" max="5895" width="8.88671875" style="65"/>
    <col min="5896" max="5896" width="4.44140625" style="65" customWidth="1"/>
    <col min="5897" max="5897" width="6.5546875" style="65" customWidth="1"/>
    <col min="5898" max="6144" width="8.88671875" style="65"/>
    <col min="6145" max="6145" width="13.21875" style="65" customWidth="1"/>
    <col min="6146" max="6146" width="7.5546875" style="65" customWidth="1"/>
    <col min="6147" max="6149" width="8.88671875" style="65"/>
    <col min="6150" max="6150" width="7.5546875" style="65" customWidth="1"/>
    <col min="6151" max="6151" width="8.88671875" style="65"/>
    <col min="6152" max="6152" width="4.44140625" style="65" customWidth="1"/>
    <col min="6153" max="6153" width="6.5546875" style="65" customWidth="1"/>
    <col min="6154" max="6400" width="8.88671875" style="65"/>
    <col min="6401" max="6401" width="13.21875" style="65" customWidth="1"/>
    <col min="6402" max="6402" width="7.5546875" style="65" customWidth="1"/>
    <col min="6403" max="6405" width="8.88671875" style="65"/>
    <col min="6406" max="6406" width="7.5546875" style="65" customWidth="1"/>
    <col min="6407" max="6407" width="8.88671875" style="65"/>
    <col min="6408" max="6408" width="4.44140625" style="65" customWidth="1"/>
    <col min="6409" max="6409" width="6.5546875" style="65" customWidth="1"/>
    <col min="6410" max="6656" width="8.88671875" style="65"/>
    <col min="6657" max="6657" width="13.21875" style="65" customWidth="1"/>
    <col min="6658" max="6658" width="7.5546875" style="65" customWidth="1"/>
    <col min="6659" max="6661" width="8.88671875" style="65"/>
    <col min="6662" max="6662" width="7.5546875" style="65" customWidth="1"/>
    <col min="6663" max="6663" width="8.88671875" style="65"/>
    <col min="6664" max="6664" width="4.44140625" style="65" customWidth="1"/>
    <col min="6665" max="6665" width="6.5546875" style="65" customWidth="1"/>
    <col min="6666" max="6912" width="8.88671875" style="65"/>
    <col min="6913" max="6913" width="13.21875" style="65" customWidth="1"/>
    <col min="6914" max="6914" width="7.5546875" style="65" customWidth="1"/>
    <col min="6915" max="6917" width="8.88671875" style="65"/>
    <col min="6918" max="6918" width="7.5546875" style="65" customWidth="1"/>
    <col min="6919" max="6919" width="8.88671875" style="65"/>
    <col min="6920" max="6920" width="4.44140625" style="65" customWidth="1"/>
    <col min="6921" max="6921" width="6.5546875" style="65" customWidth="1"/>
    <col min="6922" max="7168" width="8.88671875" style="65"/>
    <col min="7169" max="7169" width="13.21875" style="65" customWidth="1"/>
    <col min="7170" max="7170" width="7.5546875" style="65" customWidth="1"/>
    <col min="7171" max="7173" width="8.88671875" style="65"/>
    <col min="7174" max="7174" width="7.5546875" style="65" customWidth="1"/>
    <col min="7175" max="7175" width="8.88671875" style="65"/>
    <col min="7176" max="7176" width="4.44140625" style="65" customWidth="1"/>
    <col min="7177" max="7177" width="6.5546875" style="65" customWidth="1"/>
    <col min="7178" max="7424" width="8.88671875" style="65"/>
    <col min="7425" max="7425" width="13.21875" style="65" customWidth="1"/>
    <col min="7426" max="7426" width="7.5546875" style="65" customWidth="1"/>
    <col min="7427" max="7429" width="8.88671875" style="65"/>
    <col min="7430" max="7430" width="7.5546875" style="65" customWidth="1"/>
    <col min="7431" max="7431" width="8.88671875" style="65"/>
    <col min="7432" max="7432" width="4.44140625" style="65" customWidth="1"/>
    <col min="7433" max="7433" width="6.5546875" style="65" customWidth="1"/>
    <col min="7434" max="7680" width="8.88671875" style="65"/>
    <col min="7681" max="7681" width="13.21875" style="65" customWidth="1"/>
    <col min="7682" max="7682" width="7.5546875" style="65" customWidth="1"/>
    <col min="7683" max="7685" width="8.88671875" style="65"/>
    <col min="7686" max="7686" width="7.5546875" style="65" customWidth="1"/>
    <col min="7687" max="7687" width="8.88671875" style="65"/>
    <col min="7688" max="7688" width="4.44140625" style="65" customWidth="1"/>
    <col min="7689" max="7689" width="6.5546875" style="65" customWidth="1"/>
    <col min="7690" max="7936" width="8.88671875" style="65"/>
    <col min="7937" max="7937" width="13.21875" style="65" customWidth="1"/>
    <col min="7938" max="7938" width="7.5546875" style="65" customWidth="1"/>
    <col min="7939" max="7941" width="8.88671875" style="65"/>
    <col min="7942" max="7942" width="7.5546875" style="65" customWidth="1"/>
    <col min="7943" max="7943" width="8.88671875" style="65"/>
    <col min="7944" max="7944" width="4.44140625" style="65" customWidth="1"/>
    <col min="7945" max="7945" width="6.5546875" style="65" customWidth="1"/>
    <col min="7946" max="8192" width="8.88671875" style="65"/>
    <col min="8193" max="8193" width="13.21875" style="65" customWidth="1"/>
    <col min="8194" max="8194" width="7.5546875" style="65" customWidth="1"/>
    <col min="8195" max="8197" width="8.88671875" style="65"/>
    <col min="8198" max="8198" width="7.5546875" style="65" customWidth="1"/>
    <col min="8199" max="8199" width="8.88671875" style="65"/>
    <col min="8200" max="8200" width="4.44140625" style="65" customWidth="1"/>
    <col min="8201" max="8201" width="6.5546875" style="65" customWidth="1"/>
    <col min="8202" max="8448" width="8.88671875" style="65"/>
    <col min="8449" max="8449" width="13.21875" style="65" customWidth="1"/>
    <col min="8450" max="8450" width="7.5546875" style="65" customWidth="1"/>
    <col min="8451" max="8453" width="8.88671875" style="65"/>
    <col min="8454" max="8454" width="7.5546875" style="65" customWidth="1"/>
    <col min="8455" max="8455" width="8.88671875" style="65"/>
    <col min="8456" max="8456" width="4.44140625" style="65" customWidth="1"/>
    <col min="8457" max="8457" width="6.5546875" style="65" customWidth="1"/>
    <col min="8458" max="8704" width="8.88671875" style="65"/>
    <col min="8705" max="8705" width="13.21875" style="65" customWidth="1"/>
    <col min="8706" max="8706" width="7.5546875" style="65" customWidth="1"/>
    <col min="8707" max="8709" width="8.88671875" style="65"/>
    <col min="8710" max="8710" width="7.5546875" style="65" customWidth="1"/>
    <col min="8711" max="8711" width="8.88671875" style="65"/>
    <col min="8712" max="8712" width="4.44140625" style="65" customWidth="1"/>
    <col min="8713" max="8713" width="6.5546875" style="65" customWidth="1"/>
    <col min="8714" max="8960" width="8.88671875" style="65"/>
    <col min="8961" max="8961" width="13.21875" style="65" customWidth="1"/>
    <col min="8962" max="8962" width="7.5546875" style="65" customWidth="1"/>
    <col min="8963" max="8965" width="8.88671875" style="65"/>
    <col min="8966" max="8966" width="7.5546875" style="65" customWidth="1"/>
    <col min="8967" max="8967" width="8.88671875" style="65"/>
    <col min="8968" max="8968" width="4.44140625" style="65" customWidth="1"/>
    <col min="8969" max="8969" width="6.5546875" style="65" customWidth="1"/>
    <col min="8970" max="9216" width="8.88671875" style="65"/>
    <col min="9217" max="9217" width="13.21875" style="65" customWidth="1"/>
    <col min="9218" max="9218" width="7.5546875" style="65" customWidth="1"/>
    <col min="9219" max="9221" width="8.88671875" style="65"/>
    <col min="9222" max="9222" width="7.5546875" style="65" customWidth="1"/>
    <col min="9223" max="9223" width="8.88671875" style="65"/>
    <col min="9224" max="9224" width="4.44140625" style="65" customWidth="1"/>
    <col min="9225" max="9225" width="6.5546875" style="65" customWidth="1"/>
    <col min="9226" max="9472" width="8.88671875" style="65"/>
    <col min="9473" max="9473" width="13.21875" style="65" customWidth="1"/>
    <col min="9474" max="9474" width="7.5546875" style="65" customWidth="1"/>
    <col min="9475" max="9477" width="8.88671875" style="65"/>
    <col min="9478" max="9478" width="7.5546875" style="65" customWidth="1"/>
    <col min="9479" max="9479" width="8.88671875" style="65"/>
    <col min="9480" max="9480" width="4.44140625" style="65" customWidth="1"/>
    <col min="9481" max="9481" width="6.5546875" style="65" customWidth="1"/>
    <col min="9482" max="9728" width="8.88671875" style="65"/>
    <col min="9729" max="9729" width="13.21875" style="65" customWidth="1"/>
    <col min="9730" max="9730" width="7.5546875" style="65" customWidth="1"/>
    <col min="9731" max="9733" width="8.88671875" style="65"/>
    <col min="9734" max="9734" width="7.5546875" style="65" customWidth="1"/>
    <col min="9735" max="9735" width="8.88671875" style="65"/>
    <col min="9736" max="9736" width="4.44140625" style="65" customWidth="1"/>
    <col min="9737" max="9737" width="6.5546875" style="65" customWidth="1"/>
    <col min="9738" max="9984" width="8.88671875" style="65"/>
    <col min="9985" max="9985" width="13.21875" style="65" customWidth="1"/>
    <col min="9986" max="9986" width="7.5546875" style="65" customWidth="1"/>
    <col min="9987" max="9989" width="8.88671875" style="65"/>
    <col min="9990" max="9990" width="7.5546875" style="65" customWidth="1"/>
    <col min="9991" max="9991" width="8.88671875" style="65"/>
    <col min="9992" max="9992" width="4.44140625" style="65" customWidth="1"/>
    <col min="9993" max="9993" width="6.5546875" style="65" customWidth="1"/>
    <col min="9994" max="10240" width="8.88671875" style="65"/>
    <col min="10241" max="10241" width="13.21875" style="65" customWidth="1"/>
    <col min="10242" max="10242" width="7.5546875" style="65" customWidth="1"/>
    <col min="10243" max="10245" width="8.88671875" style="65"/>
    <col min="10246" max="10246" width="7.5546875" style="65" customWidth="1"/>
    <col min="10247" max="10247" width="8.88671875" style="65"/>
    <col min="10248" max="10248" width="4.44140625" style="65" customWidth="1"/>
    <col min="10249" max="10249" width="6.5546875" style="65" customWidth="1"/>
    <col min="10250" max="10496" width="8.88671875" style="65"/>
    <col min="10497" max="10497" width="13.21875" style="65" customWidth="1"/>
    <col min="10498" max="10498" width="7.5546875" style="65" customWidth="1"/>
    <col min="10499" max="10501" width="8.88671875" style="65"/>
    <col min="10502" max="10502" width="7.5546875" style="65" customWidth="1"/>
    <col min="10503" max="10503" width="8.88671875" style="65"/>
    <col min="10504" max="10504" width="4.44140625" style="65" customWidth="1"/>
    <col min="10505" max="10505" width="6.5546875" style="65" customWidth="1"/>
    <col min="10506" max="10752" width="8.88671875" style="65"/>
    <col min="10753" max="10753" width="13.21875" style="65" customWidth="1"/>
    <col min="10754" max="10754" width="7.5546875" style="65" customWidth="1"/>
    <col min="10755" max="10757" width="8.88671875" style="65"/>
    <col min="10758" max="10758" width="7.5546875" style="65" customWidth="1"/>
    <col min="10759" max="10759" width="8.88671875" style="65"/>
    <col min="10760" max="10760" width="4.44140625" style="65" customWidth="1"/>
    <col min="10761" max="10761" width="6.5546875" style="65" customWidth="1"/>
    <col min="10762" max="11008" width="8.88671875" style="65"/>
    <col min="11009" max="11009" width="13.21875" style="65" customWidth="1"/>
    <col min="11010" max="11010" width="7.5546875" style="65" customWidth="1"/>
    <col min="11011" max="11013" width="8.88671875" style="65"/>
    <col min="11014" max="11014" width="7.5546875" style="65" customWidth="1"/>
    <col min="11015" max="11015" width="8.88671875" style="65"/>
    <col min="11016" max="11016" width="4.44140625" style="65" customWidth="1"/>
    <col min="11017" max="11017" width="6.5546875" style="65" customWidth="1"/>
    <col min="11018" max="11264" width="8.88671875" style="65"/>
    <col min="11265" max="11265" width="13.21875" style="65" customWidth="1"/>
    <col min="11266" max="11266" width="7.5546875" style="65" customWidth="1"/>
    <col min="11267" max="11269" width="8.88671875" style="65"/>
    <col min="11270" max="11270" width="7.5546875" style="65" customWidth="1"/>
    <col min="11271" max="11271" width="8.88671875" style="65"/>
    <col min="11272" max="11272" width="4.44140625" style="65" customWidth="1"/>
    <col min="11273" max="11273" width="6.5546875" style="65" customWidth="1"/>
    <col min="11274" max="11520" width="8.88671875" style="65"/>
    <col min="11521" max="11521" width="13.21875" style="65" customWidth="1"/>
    <col min="11522" max="11522" width="7.5546875" style="65" customWidth="1"/>
    <col min="11523" max="11525" width="8.88671875" style="65"/>
    <col min="11526" max="11526" width="7.5546875" style="65" customWidth="1"/>
    <col min="11527" max="11527" width="8.88671875" style="65"/>
    <col min="11528" max="11528" width="4.44140625" style="65" customWidth="1"/>
    <col min="11529" max="11529" width="6.5546875" style="65" customWidth="1"/>
    <col min="11530" max="11776" width="8.88671875" style="65"/>
    <col min="11777" max="11777" width="13.21875" style="65" customWidth="1"/>
    <col min="11778" max="11778" width="7.5546875" style="65" customWidth="1"/>
    <col min="11779" max="11781" width="8.88671875" style="65"/>
    <col min="11782" max="11782" width="7.5546875" style="65" customWidth="1"/>
    <col min="11783" max="11783" width="8.88671875" style="65"/>
    <col min="11784" max="11784" width="4.44140625" style="65" customWidth="1"/>
    <col min="11785" max="11785" width="6.5546875" style="65" customWidth="1"/>
    <col min="11786" max="12032" width="8.88671875" style="65"/>
    <col min="12033" max="12033" width="13.21875" style="65" customWidth="1"/>
    <col min="12034" max="12034" width="7.5546875" style="65" customWidth="1"/>
    <col min="12035" max="12037" width="8.88671875" style="65"/>
    <col min="12038" max="12038" width="7.5546875" style="65" customWidth="1"/>
    <col min="12039" max="12039" width="8.88671875" style="65"/>
    <col min="12040" max="12040" width="4.44140625" style="65" customWidth="1"/>
    <col min="12041" max="12041" width="6.5546875" style="65" customWidth="1"/>
    <col min="12042" max="12288" width="8.88671875" style="65"/>
    <col min="12289" max="12289" width="13.21875" style="65" customWidth="1"/>
    <col min="12290" max="12290" width="7.5546875" style="65" customWidth="1"/>
    <col min="12291" max="12293" width="8.88671875" style="65"/>
    <col min="12294" max="12294" width="7.5546875" style="65" customWidth="1"/>
    <col min="12295" max="12295" width="8.88671875" style="65"/>
    <col min="12296" max="12296" width="4.44140625" style="65" customWidth="1"/>
    <col min="12297" max="12297" width="6.5546875" style="65" customWidth="1"/>
    <col min="12298" max="12544" width="8.88671875" style="65"/>
    <col min="12545" max="12545" width="13.21875" style="65" customWidth="1"/>
    <col min="12546" max="12546" width="7.5546875" style="65" customWidth="1"/>
    <col min="12547" max="12549" width="8.88671875" style="65"/>
    <col min="12550" max="12550" width="7.5546875" style="65" customWidth="1"/>
    <col min="12551" max="12551" width="8.88671875" style="65"/>
    <col min="12552" max="12552" width="4.44140625" style="65" customWidth="1"/>
    <col min="12553" max="12553" width="6.5546875" style="65" customWidth="1"/>
    <col min="12554" max="12800" width="8.88671875" style="65"/>
    <col min="12801" max="12801" width="13.21875" style="65" customWidth="1"/>
    <col min="12802" max="12802" width="7.5546875" style="65" customWidth="1"/>
    <col min="12803" max="12805" width="8.88671875" style="65"/>
    <col min="12806" max="12806" width="7.5546875" style="65" customWidth="1"/>
    <col min="12807" max="12807" width="8.88671875" style="65"/>
    <col min="12808" max="12808" width="4.44140625" style="65" customWidth="1"/>
    <col min="12809" max="12809" width="6.5546875" style="65" customWidth="1"/>
    <col min="12810" max="13056" width="8.88671875" style="65"/>
    <col min="13057" max="13057" width="13.21875" style="65" customWidth="1"/>
    <col min="13058" max="13058" width="7.5546875" style="65" customWidth="1"/>
    <col min="13059" max="13061" width="8.88671875" style="65"/>
    <col min="13062" max="13062" width="7.5546875" style="65" customWidth="1"/>
    <col min="13063" max="13063" width="8.88671875" style="65"/>
    <col min="13064" max="13064" width="4.44140625" style="65" customWidth="1"/>
    <col min="13065" max="13065" width="6.5546875" style="65" customWidth="1"/>
    <col min="13066" max="13312" width="8.88671875" style="65"/>
    <col min="13313" max="13313" width="13.21875" style="65" customWidth="1"/>
    <col min="13314" max="13314" width="7.5546875" style="65" customWidth="1"/>
    <col min="13315" max="13317" width="8.88671875" style="65"/>
    <col min="13318" max="13318" width="7.5546875" style="65" customWidth="1"/>
    <col min="13319" max="13319" width="8.88671875" style="65"/>
    <col min="13320" max="13320" width="4.44140625" style="65" customWidth="1"/>
    <col min="13321" max="13321" width="6.5546875" style="65" customWidth="1"/>
    <col min="13322" max="13568" width="8.88671875" style="65"/>
    <col min="13569" max="13569" width="13.21875" style="65" customWidth="1"/>
    <col min="13570" max="13570" width="7.5546875" style="65" customWidth="1"/>
    <col min="13571" max="13573" width="8.88671875" style="65"/>
    <col min="13574" max="13574" width="7.5546875" style="65" customWidth="1"/>
    <col min="13575" max="13575" width="8.88671875" style="65"/>
    <col min="13576" max="13576" width="4.44140625" style="65" customWidth="1"/>
    <col min="13577" max="13577" width="6.5546875" style="65" customWidth="1"/>
    <col min="13578" max="13824" width="8.88671875" style="65"/>
    <col min="13825" max="13825" width="13.21875" style="65" customWidth="1"/>
    <col min="13826" max="13826" width="7.5546875" style="65" customWidth="1"/>
    <col min="13827" max="13829" width="8.88671875" style="65"/>
    <col min="13830" max="13830" width="7.5546875" style="65" customWidth="1"/>
    <col min="13831" max="13831" width="8.88671875" style="65"/>
    <col min="13832" max="13832" width="4.44140625" style="65" customWidth="1"/>
    <col min="13833" max="13833" width="6.5546875" style="65" customWidth="1"/>
    <col min="13834" max="14080" width="8.88671875" style="65"/>
    <col min="14081" max="14081" width="13.21875" style="65" customWidth="1"/>
    <col min="14082" max="14082" width="7.5546875" style="65" customWidth="1"/>
    <col min="14083" max="14085" width="8.88671875" style="65"/>
    <col min="14086" max="14086" width="7.5546875" style="65" customWidth="1"/>
    <col min="14087" max="14087" width="8.88671875" style="65"/>
    <col min="14088" max="14088" width="4.44140625" style="65" customWidth="1"/>
    <col min="14089" max="14089" width="6.5546875" style="65" customWidth="1"/>
    <col min="14090" max="14336" width="8.88671875" style="65"/>
    <col min="14337" max="14337" width="13.21875" style="65" customWidth="1"/>
    <col min="14338" max="14338" width="7.5546875" style="65" customWidth="1"/>
    <col min="14339" max="14341" width="8.88671875" style="65"/>
    <col min="14342" max="14342" width="7.5546875" style="65" customWidth="1"/>
    <col min="14343" max="14343" width="8.88671875" style="65"/>
    <col min="14344" max="14344" width="4.44140625" style="65" customWidth="1"/>
    <col min="14345" max="14345" width="6.5546875" style="65" customWidth="1"/>
    <col min="14346" max="14592" width="8.88671875" style="65"/>
    <col min="14593" max="14593" width="13.21875" style="65" customWidth="1"/>
    <col min="14594" max="14594" width="7.5546875" style="65" customWidth="1"/>
    <col min="14595" max="14597" width="8.88671875" style="65"/>
    <col min="14598" max="14598" width="7.5546875" style="65" customWidth="1"/>
    <col min="14599" max="14599" width="8.88671875" style="65"/>
    <col min="14600" max="14600" width="4.44140625" style="65" customWidth="1"/>
    <col min="14601" max="14601" width="6.5546875" style="65" customWidth="1"/>
    <col min="14602" max="14848" width="8.88671875" style="65"/>
    <col min="14849" max="14849" width="13.21875" style="65" customWidth="1"/>
    <col min="14850" max="14850" width="7.5546875" style="65" customWidth="1"/>
    <col min="14851" max="14853" width="8.88671875" style="65"/>
    <col min="14854" max="14854" width="7.5546875" style="65" customWidth="1"/>
    <col min="14855" max="14855" width="8.88671875" style="65"/>
    <col min="14856" max="14856" width="4.44140625" style="65" customWidth="1"/>
    <col min="14857" max="14857" width="6.5546875" style="65" customWidth="1"/>
    <col min="14858" max="15104" width="8.88671875" style="65"/>
    <col min="15105" max="15105" width="13.21875" style="65" customWidth="1"/>
    <col min="15106" max="15106" width="7.5546875" style="65" customWidth="1"/>
    <col min="15107" max="15109" width="8.88671875" style="65"/>
    <col min="15110" max="15110" width="7.5546875" style="65" customWidth="1"/>
    <col min="15111" max="15111" width="8.88671875" style="65"/>
    <col min="15112" max="15112" width="4.44140625" style="65" customWidth="1"/>
    <col min="15113" max="15113" width="6.5546875" style="65" customWidth="1"/>
    <col min="15114" max="15360" width="8.88671875" style="65"/>
    <col min="15361" max="15361" width="13.21875" style="65" customWidth="1"/>
    <col min="15362" max="15362" width="7.5546875" style="65" customWidth="1"/>
    <col min="15363" max="15365" width="8.88671875" style="65"/>
    <col min="15366" max="15366" width="7.5546875" style="65" customWidth="1"/>
    <col min="15367" max="15367" width="8.88671875" style="65"/>
    <col min="15368" max="15368" width="4.44140625" style="65" customWidth="1"/>
    <col min="15369" max="15369" width="6.5546875" style="65" customWidth="1"/>
    <col min="15370" max="15616" width="8.88671875" style="65"/>
    <col min="15617" max="15617" width="13.21875" style="65" customWidth="1"/>
    <col min="15618" max="15618" width="7.5546875" style="65" customWidth="1"/>
    <col min="15619" max="15621" width="8.88671875" style="65"/>
    <col min="15622" max="15622" width="7.5546875" style="65" customWidth="1"/>
    <col min="15623" max="15623" width="8.88671875" style="65"/>
    <col min="15624" max="15624" width="4.44140625" style="65" customWidth="1"/>
    <col min="15625" max="15625" width="6.5546875" style="65" customWidth="1"/>
    <col min="15626" max="15872" width="8.88671875" style="65"/>
    <col min="15873" max="15873" width="13.21875" style="65" customWidth="1"/>
    <col min="15874" max="15874" width="7.5546875" style="65" customWidth="1"/>
    <col min="15875" max="15877" width="8.88671875" style="65"/>
    <col min="15878" max="15878" width="7.5546875" style="65" customWidth="1"/>
    <col min="15879" max="15879" width="8.88671875" style="65"/>
    <col min="15880" max="15880" width="4.44140625" style="65" customWidth="1"/>
    <col min="15881" max="15881" width="6.5546875" style="65" customWidth="1"/>
    <col min="15882" max="16128" width="8.88671875" style="65"/>
    <col min="16129" max="16129" width="13.21875" style="65" customWidth="1"/>
    <col min="16130" max="16130" width="7.5546875" style="65" customWidth="1"/>
    <col min="16131" max="16133" width="8.88671875" style="65"/>
    <col min="16134" max="16134" width="7.5546875" style="65" customWidth="1"/>
    <col min="16135" max="16135" width="8.88671875" style="65"/>
    <col min="16136" max="16136" width="4.44140625" style="65" customWidth="1"/>
    <col min="16137" max="16137" width="6.5546875" style="65" customWidth="1"/>
    <col min="16138" max="16384" width="8.88671875" style="65"/>
  </cols>
  <sheetData>
    <row r="1" spans="1:8" x14ac:dyDescent="0.2">
      <c r="A1" s="202" t="s">
        <v>536</v>
      </c>
      <c r="B1" s="202"/>
      <c r="C1" s="202"/>
      <c r="D1" s="202"/>
      <c r="E1" s="202"/>
      <c r="F1" s="202"/>
      <c r="G1" s="202"/>
      <c r="H1" s="182"/>
    </row>
    <row r="2" spans="1:8" x14ac:dyDescent="0.2">
      <c r="A2" s="202" t="s">
        <v>537</v>
      </c>
      <c r="B2" s="202"/>
      <c r="C2" s="202"/>
      <c r="D2" s="202"/>
      <c r="E2" s="202"/>
      <c r="F2" s="202"/>
      <c r="G2" s="202"/>
      <c r="H2" s="182"/>
    </row>
    <row r="3" spans="1:8" x14ac:dyDescent="0.2">
      <c r="A3" s="202" t="s">
        <v>0</v>
      </c>
      <c r="B3" s="202"/>
      <c r="C3" s="202"/>
      <c r="D3" s="202"/>
      <c r="E3" s="202"/>
      <c r="F3" s="202"/>
      <c r="G3" s="202"/>
      <c r="H3" s="182"/>
    </row>
    <row r="4" spans="1:8" x14ac:dyDescent="0.2">
      <c r="A4" s="202" t="s">
        <v>2</v>
      </c>
      <c r="B4" s="202"/>
      <c r="C4" s="202"/>
      <c r="D4" s="202"/>
      <c r="E4" s="202"/>
      <c r="F4" s="202"/>
      <c r="G4" s="202"/>
      <c r="H4" s="182"/>
    </row>
    <row r="5" spans="1:8" x14ac:dyDescent="0.2">
      <c r="A5" s="182"/>
      <c r="B5" s="182"/>
      <c r="C5" s="181"/>
      <c r="D5" s="181"/>
      <c r="E5" s="181"/>
      <c r="F5" s="182"/>
      <c r="G5" s="182"/>
      <c r="H5" s="182"/>
    </row>
    <row r="6" spans="1:8" x14ac:dyDescent="0.2">
      <c r="A6" s="180" t="s">
        <v>545</v>
      </c>
      <c r="B6" s="179"/>
      <c r="C6" s="179"/>
      <c r="D6" s="182"/>
      <c r="E6" s="182"/>
      <c r="F6" s="182"/>
      <c r="G6" s="182"/>
      <c r="H6" s="182"/>
    </row>
    <row r="7" spans="1:8" x14ac:dyDescent="0.2">
      <c r="A7" s="178" t="s">
        <v>557</v>
      </c>
      <c r="B7" s="182"/>
      <c r="C7" s="182"/>
      <c r="D7" s="177"/>
      <c r="E7" s="182"/>
      <c r="F7" s="182"/>
      <c r="G7" s="182"/>
      <c r="H7" s="182"/>
    </row>
    <row r="8" spans="1:8" x14ac:dyDescent="0.2">
      <c r="A8" s="176" t="s">
        <v>6</v>
      </c>
      <c r="B8" s="182"/>
      <c r="C8" s="182"/>
      <c r="D8" s="182"/>
      <c r="E8" s="182"/>
      <c r="F8" s="182"/>
      <c r="G8" s="182"/>
      <c r="H8" s="182"/>
    </row>
    <row r="9" spans="1:8" x14ac:dyDescent="0.2">
      <c r="A9" s="175"/>
      <c r="B9" s="175"/>
      <c r="C9" s="174" t="s">
        <v>30</v>
      </c>
      <c r="D9" s="174" t="s">
        <v>31</v>
      </c>
      <c r="E9" s="174"/>
      <c r="F9" s="182"/>
      <c r="G9" s="182"/>
      <c r="H9" s="182"/>
    </row>
    <row r="10" spans="1:8" x14ac:dyDescent="0.2">
      <c r="A10" s="173" t="s">
        <v>92</v>
      </c>
      <c r="B10" s="172"/>
      <c r="C10" s="171" t="s">
        <v>26</v>
      </c>
      <c r="D10" s="171" t="s">
        <v>32</v>
      </c>
      <c r="E10" s="174"/>
      <c r="F10" s="182"/>
      <c r="G10" s="181"/>
      <c r="H10" s="181"/>
    </row>
    <row r="11" spans="1:8" x14ac:dyDescent="0.2">
      <c r="A11" s="177"/>
      <c r="B11" s="182"/>
      <c r="C11" s="170"/>
      <c r="D11" s="170"/>
      <c r="E11" s="169"/>
      <c r="F11" s="182"/>
      <c r="G11" s="182"/>
      <c r="H11" s="182"/>
    </row>
    <row r="12" spans="1:8" x14ac:dyDescent="0.2">
      <c r="A12" s="168" t="s">
        <v>562</v>
      </c>
      <c r="B12" s="182"/>
      <c r="C12" s="72">
        <f>'[22]American 12-16'!$D$6+'[22]American 12-16'!$D$54+'[22]American 12-16'!$D$262+'[23]Murrey''s 12-16'!$D$6+'[23]Murrey''s 12-16'!$D$54+'[23]Murrey''s 12-16'!$D$260</f>
        <v>55510.897959183669</v>
      </c>
      <c r="D12" s="64">
        <f>'18th year actual'!L46</f>
        <v>86647.429400000023</v>
      </c>
      <c r="E12" s="166"/>
      <c r="F12" s="182"/>
      <c r="G12" s="181"/>
      <c r="H12" s="181"/>
    </row>
    <row r="13" spans="1:8" x14ac:dyDescent="0.2">
      <c r="A13" s="164" t="s">
        <v>563</v>
      </c>
      <c r="B13" s="182"/>
      <c r="C13" s="72">
        <f>'[24]Murrey''s G-9 Reg.'!$R$436</f>
        <v>54818.326530612263</v>
      </c>
      <c r="D13" s="167">
        <f>'18th year actual'!L47</f>
        <v>101462.24515442237</v>
      </c>
      <c r="E13" s="166"/>
      <c r="F13" s="177"/>
      <c r="G13" s="165"/>
      <c r="H13" s="165"/>
    </row>
    <row r="14" spans="1:8" x14ac:dyDescent="0.2">
      <c r="A14" s="177" t="s">
        <v>37</v>
      </c>
      <c r="B14" s="182"/>
      <c r="C14" s="72">
        <f>'[24]Murrey''s G-9 Reg.'!$S$436</f>
        <v>65361.387755102049</v>
      </c>
      <c r="D14" s="167">
        <f>'18th year actual'!L48</f>
        <v>85566.373890773175</v>
      </c>
      <c r="E14" s="166"/>
      <c r="F14" s="165"/>
      <c r="G14" s="165"/>
      <c r="H14" s="165"/>
    </row>
    <row r="15" spans="1:8" x14ac:dyDescent="0.2">
      <c r="A15" s="177" t="s">
        <v>38</v>
      </c>
      <c r="B15" s="182"/>
      <c r="C15" s="72">
        <f>'[24]Murrey''s G-9 Reg.'!$T$436</f>
        <v>48998.30113636364</v>
      </c>
      <c r="D15" s="167">
        <f>'18th year actual'!L49</f>
        <v>126920.53999999996</v>
      </c>
      <c r="E15" s="166"/>
      <c r="F15" s="165"/>
      <c r="G15" s="165"/>
      <c r="H15" s="165"/>
    </row>
    <row r="16" spans="1:8" x14ac:dyDescent="0.2">
      <c r="A16" s="177" t="s">
        <v>95</v>
      </c>
      <c r="B16" s="182"/>
      <c r="C16" s="72">
        <f>'[24]Murrey''s G-9 Reg.'!$U$436</f>
        <v>55174.619318181823</v>
      </c>
      <c r="D16" s="167">
        <f>'18th year actual'!L50</f>
        <v>54311.179446473383</v>
      </c>
      <c r="E16" s="166"/>
      <c r="F16" s="165"/>
      <c r="G16" s="165"/>
      <c r="H16" s="165"/>
    </row>
    <row r="17" spans="1:8" x14ac:dyDescent="0.2">
      <c r="A17" s="177" t="s">
        <v>40</v>
      </c>
      <c r="B17" s="182"/>
      <c r="C17" s="72">
        <f>'[24]Murrey''s G-9 Reg.'!$V$436</f>
        <v>55530.102272727265</v>
      </c>
      <c r="D17" s="167">
        <f>'18th year actual'!L51</f>
        <v>71251.779398915838</v>
      </c>
      <c r="E17" s="166"/>
      <c r="F17" s="162"/>
      <c r="G17" s="165"/>
      <c r="H17" s="165"/>
    </row>
    <row r="18" spans="1:8" x14ac:dyDescent="0.2">
      <c r="A18" s="177" t="s">
        <v>41</v>
      </c>
      <c r="B18" s="182"/>
      <c r="C18" s="72">
        <f>'[24]Murrey''s G-9 Reg.'!$W$436</f>
        <v>55931.727272727279</v>
      </c>
      <c r="D18" s="167">
        <f>'18th year actual'!L52</f>
        <v>99190.72933599622</v>
      </c>
      <c r="E18" s="166"/>
      <c r="F18" s="165"/>
      <c r="G18" s="165"/>
      <c r="H18" s="165"/>
    </row>
    <row r="19" spans="1:8" x14ac:dyDescent="0.2">
      <c r="A19" s="177" t="s">
        <v>42</v>
      </c>
      <c r="B19" s="182"/>
      <c r="C19" s="72">
        <f>'[24]Murrey''s G-9 Reg.'!$X$436</f>
        <v>56304.267045454551</v>
      </c>
      <c r="D19" s="167">
        <f>'18th year actual'!L53</f>
        <v>106829.16333475024</v>
      </c>
      <c r="E19" s="166"/>
      <c r="F19" s="161"/>
      <c r="G19" s="165"/>
      <c r="H19" s="165"/>
    </row>
    <row r="20" spans="1:8" x14ac:dyDescent="0.2">
      <c r="A20" s="177" t="s">
        <v>43</v>
      </c>
      <c r="B20" s="182"/>
      <c r="C20" s="72">
        <f>'[24]Murrey''s G-9 Reg.'!$Y$436</f>
        <v>56799.045454545441</v>
      </c>
      <c r="D20" s="167">
        <f>'18th year actual'!L54</f>
        <v>102144.45729034858</v>
      </c>
      <c r="E20" s="166"/>
      <c r="F20" s="177"/>
      <c r="G20" s="177"/>
      <c r="H20" s="177"/>
    </row>
    <row r="21" spans="1:8" x14ac:dyDescent="0.2">
      <c r="A21" s="177" t="s">
        <v>44</v>
      </c>
      <c r="B21" s="182"/>
      <c r="C21" s="72">
        <f>'[24]Murrey''s G-9 Reg.'!$Z$436</f>
        <v>56875.426136363632</v>
      </c>
      <c r="D21" s="167">
        <f>'18th year actual'!L55</f>
        <v>70826.520099499525</v>
      </c>
      <c r="E21" s="166"/>
      <c r="F21" s="165"/>
      <c r="G21" s="165"/>
      <c r="H21" s="165"/>
    </row>
    <row r="22" spans="1:8" x14ac:dyDescent="0.2">
      <c r="A22" s="177" t="s">
        <v>72</v>
      </c>
      <c r="B22" s="182"/>
      <c r="C22" s="72">
        <f>'[24]Murrey''s G-9 Reg.'!$AA$436</f>
        <v>57035.363636363632</v>
      </c>
      <c r="D22" s="167">
        <f>'18th year actual'!L56</f>
        <v>27618.828166621948</v>
      </c>
      <c r="E22" s="166"/>
      <c r="F22" s="165"/>
      <c r="G22" s="160"/>
      <c r="H22" s="160"/>
    </row>
    <row r="23" spans="1:8" x14ac:dyDescent="0.2">
      <c r="A23" s="159" t="s">
        <v>34</v>
      </c>
      <c r="B23" s="158"/>
      <c r="C23" s="35">
        <f>'[24]Murrey''s G-9 Reg.'!$AB$436</f>
        <v>57096.642045454544</v>
      </c>
      <c r="D23" s="157">
        <f>'18th year actual'!L57</f>
        <v>40425.70438990042</v>
      </c>
      <c r="E23" s="166"/>
      <c r="F23" s="166"/>
      <c r="G23" s="165"/>
      <c r="H23" s="165"/>
    </row>
    <row r="24" spans="1:8" x14ac:dyDescent="0.2">
      <c r="A24" s="156" t="s">
        <v>96</v>
      </c>
      <c r="B24" s="175"/>
      <c r="C24" s="155">
        <f>SUM(C12:C23)</f>
        <v>675436.10656307987</v>
      </c>
      <c r="D24" s="155">
        <f>SUM(D11:D23)</f>
        <v>973194.9499077017</v>
      </c>
      <c r="E24" s="154"/>
      <c r="F24" s="161"/>
      <c r="G24" s="155"/>
      <c r="H24" s="155"/>
    </row>
    <row r="25" spans="1:8" x14ac:dyDescent="0.2">
      <c r="A25" s="156"/>
      <c r="B25" s="175"/>
      <c r="C25" s="155"/>
      <c r="D25" s="155"/>
      <c r="E25" s="154"/>
      <c r="F25" s="161"/>
      <c r="G25" s="155"/>
      <c r="H25" s="155"/>
    </row>
    <row r="26" spans="1:8" x14ac:dyDescent="0.2">
      <c r="A26" s="156"/>
      <c r="B26" s="175"/>
      <c r="C26" s="155"/>
      <c r="D26" s="155"/>
      <c r="E26" s="154"/>
      <c r="F26" s="161"/>
      <c r="G26" s="155"/>
      <c r="H26" s="155"/>
    </row>
    <row r="27" spans="1:8" x14ac:dyDescent="0.2">
      <c r="A27" s="63" t="s">
        <v>561</v>
      </c>
      <c r="B27" s="175"/>
      <c r="C27" s="155"/>
      <c r="D27" s="155"/>
      <c r="E27" s="154"/>
      <c r="F27" s="161"/>
      <c r="G27" s="155"/>
      <c r="H27" s="155"/>
    </row>
    <row r="28" spans="1:8" x14ac:dyDescent="0.2">
      <c r="A28" s="175"/>
      <c r="B28" s="175"/>
      <c r="C28" s="174" t="s">
        <v>30</v>
      </c>
      <c r="D28" s="174" t="s">
        <v>31</v>
      </c>
      <c r="E28" s="154"/>
      <c r="F28" s="161"/>
      <c r="G28" s="155"/>
      <c r="H28" s="155"/>
    </row>
    <row r="29" spans="1:8" x14ac:dyDescent="0.2">
      <c r="A29" s="173" t="s">
        <v>92</v>
      </c>
      <c r="B29" s="172"/>
      <c r="C29" s="171" t="s">
        <v>26</v>
      </c>
      <c r="D29" s="171" t="s">
        <v>32</v>
      </c>
      <c r="E29" s="182"/>
      <c r="F29" s="153"/>
      <c r="G29" s="169"/>
      <c r="H29" s="182"/>
    </row>
    <row r="30" spans="1:8" x14ac:dyDescent="0.2">
      <c r="A30" s="177" t="s">
        <v>42</v>
      </c>
      <c r="B30" s="175"/>
      <c r="C30" s="122">
        <f>+C19</f>
        <v>56304.267045454551</v>
      </c>
      <c r="D30" s="62">
        <f>+'18th year actual'!L81</f>
        <v>55739.176087141328</v>
      </c>
      <c r="E30" s="182"/>
      <c r="F30" s="153"/>
      <c r="G30" s="169"/>
      <c r="H30" s="182"/>
    </row>
    <row r="31" spans="1:8" x14ac:dyDescent="0.2">
      <c r="A31" s="177" t="s">
        <v>43</v>
      </c>
      <c r="B31" s="175"/>
      <c r="C31" s="122">
        <f>+C20</f>
        <v>56799.045454545441</v>
      </c>
      <c r="D31" s="62">
        <f>+'18th year actual'!L82</f>
        <v>45144.202106002289</v>
      </c>
      <c r="E31" s="182"/>
      <c r="F31" s="153"/>
      <c r="G31" s="169"/>
      <c r="H31" s="182"/>
    </row>
    <row r="32" spans="1:8" x14ac:dyDescent="0.2">
      <c r="A32" s="177" t="s">
        <v>44</v>
      </c>
      <c r="B32" s="175"/>
      <c r="C32" s="122">
        <f>+C21</f>
        <v>56875.426136363632</v>
      </c>
      <c r="D32" s="62">
        <f>+'18th year actual'!L83</f>
        <v>18851.806220671726</v>
      </c>
      <c r="E32" s="182"/>
      <c r="F32" s="153"/>
      <c r="G32" s="169"/>
      <c r="H32" s="182"/>
    </row>
    <row r="33" spans="1:8" x14ac:dyDescent="0.2">
      <c r="A33" s="177" t="s">
        <v>72</v>
      </c>
      <c r="B33" s="175"/>
      <c r="C33" s="122">
        <f>+C22</f>
        <v>57035.363636363632</v>
      </c>
      <c r="D33" s="62">
        <f>+'18th year actual'!L84</f>
        <v>-27892.684964736647</v>
      </c>
      <c r="E33" s="182"/>
      <c r="F33" s="153"/>
      <c r="G33" s="169"/>
      <c r="H33" s="182"/>
    </row>
    <row r="34" spans="1:8" x14ac:dyDescent="0.2">
      <c r="A34" s="177" t="s">
        <v>34</v>
      </c>
      <c r="B34" s="175"/>
      <c r="C34" s="122">
        <f>+C23</f>
        <v>57096.642045454544</v>
      </c>
      <c r="D34" s="62">
        <f>+'18th year actual'!L85</f>
        <v>-11273.977240972312</v>
      </c>
      <c r="E34" s="182"/>
      <c r="F34" s="153"/>
      <c r="G34" s="169"/>
      <c r="H34" s="182"/>
    </row>
    <row r="35" spans="1:8" x14ac:dyDescent="0.2">
      <c r="A35" s="177" t="s">
        <v>35</v>
      </c>
      <c r="B35" s="177"/>
      <c r="C35" s="167">
        <f>'[24]Murrey''s G-9 Reg.'!$AC$436</f>
        <v>57178.210227272721</v>
      </c>
      <c r="D35" s="62">
        <f>+'18th year actual'!L86</f>
        <v>-14513.90029999999</v>
      </c>
      <c r="E35" s="182"/>
      <c r="F35" s="153"/>
      <c r="G35" s="169"/>
      <c r="H35" s="182"/>
    </row>
    <row r="36" spans="1:8" x14ac:dyDescent="0.2">
      <c r="A36" s="61" t="s">
        <v>558</v>
      </c>
      <c r="B36" s="61"/>
      <c r="C36" s="60">
        <f>+SUM(C30:C35)</f>
        <v>341288.95454545453</v>
      </c>
      <c r="D36" s="59">
        <f>+SUM(D30:D35)</f>
        <v>66054.62190810639</v>
      </c>
      <c r="E36" s="182"/>
      <c r="F36" s="153"/>
      <c r="G36" s="169"/>
      <c r="H36" s="182"/>
    </row>
    <row r="37" spans="1:8" x14ac:dyDescent="0.2">
      <c r="A37" s="182"/>
      <c r="B37" s="182"/>
      <c r="C37" s="182"/>
      <c r="D37" s="182"/>
      <c r="E37" s="182"/>
      <c r="F37" s="182"/>
      <c r="G37" s="161"/>
      <c r="H37" s="161"/>
    </row>
    <row r="38" spans="1:8" x14ac:dyDescent="0.2">
      <c r="A38" s="152" t="s">
        <v>546</v>
      </c>
      <c r="B38" s="182"/>
      <c r="C38" s="182"/>
      <c r="D38" s="182"/>
      <c r="E38" s="151"/>
      <c r="F38" s="182"/>
      <c r="G38" s="150"/>
      <c r="H38" s="182"/>
    </row>
    <row r="39" spans="1:8" x14ac:dyDescent="0.2">
      <c r="A39" s="182"/>
      <c r="B39" s="182"/>
      <c r="C39" s="182"/>
      <c r="D39" s="182"/>
      <c r="E39" s="170"/>
      <c r="F39" s="182"/>
      <c r="G39" s="150"/>
      <c r="H39" s="182"/>
    </row>
    <row r="40" spans="1:8" x14ac:dyDescent="0.2">
      <c r="A40" s="149" t="s">
        <v>101</v>
      </c>
      <c r="B40" s="182"/>
      <c r="C40" s="182"/>
      <c r="D40" s="177" t="s">
        <v>555</v>
      </c>
      <c r="E40" s="148">
        <f>+'[20]17th year adj'!E30</f>
        <v>1.1205866204060571</v>
      </c>
      <c r="F40" s="182"/>
      <c r="G40" s="150"/>
      <c r="H40" s="150"/>
    </row>
    <row r="41" spans="1:8" x14ac:dyDescent="0.2">
      <c r="A41" s="149" t="s">
        <v>101</v>
      </c>
      <c r="B41" s="182"/>
      <c r="C41" s="182"/>
      <c r="D41" s="177" t="s">
        <v>556</v>
      </c>
      <c r="E41" s="148">
        <f>+'[20]17th year adj'!G48</f>
        <v>1.0483367535806549</v>
      </c>
      <c r="F41" s="182"/>
      <c r="G41" s="182"/>
      <c r="H41" s="150"/>
    </row>
    <row r="42" spans="1:8" x14ac:dyDescent="0.2">
      <c r="A42" s="149"/>
      <c r="B42" s="182"/>
      <c r="C42" s="182"/>
      <c r="D42" s="177"/>
      <c r="E42" s="148"/>
      <c r="F42" s="182"/>
      <c r="G42" s="150"/>
      <c r="H42" s="150"/>
    </row>
    <row r="43" spans="1:8" x14ac:dyDescent="0.2">
      <c r="A43" s="177" t="s">
        <v>569</v>
      </c>
      <c r="B43" s="182"/>
      <c r="C43" s="182"/>
      <c r="D43" s="182"/>
      <c r="E43" s="182"/>
      <c r="F43" s="147"/>
      <c r="G43" s="165">
        <f>(SUM(C12:C14)*E40+SUM(C15:C23)*E41)</f>
        <v>720778.11854266364</v>
      </c>
      <c r="H43" s="161"/>
    </row>
    <row r="44" spans="1:8" x14ac:dyDescent="0.2">
      <c r="A44" s="182"/>
      <c r="B44" s="182"/>
      <c r="C44" s="182"/>
      <c r="D44" s="182"/>
      <c r="E44" s="182"/>
      <c r="F44" s="170"/>
      <c r="G44" s="182"/>
      <c r="H44" s="182"/>
    </row>
    <row r="45" spans="1:8" x14ac:dyDescent="0.2">
      <c r="A45" s="177" t="s">
        <v>50</v>
      </c>
      <c r="B45" s="182"/>
      <c r="C45" s="182"/>
      <c r="D45" s="182"/>
      <c r="E45" s="182"/>
      <c r="F45" s="147">
        <f>D24</f>
        <v>973194.9499077017</v>
      </c>
      <c r="G45" s="182"/>
      <c r="H45" s="182"/>
    </row>
    <row r="46" spans="1:8" x14ac:dyDescent="0.2">
      <c r="A46" s="177"/>
      <c r="B46" s="182"/>
      <c r="C46" s="182"/>
      <c r="D46" s="182"/>
      <c r="E46" s="182"/>
      <c r="F46" s="147"/>
      <c r="G46" s="182"/>
      <c r="H46" s="182"/>
    </row>
    <row r="47" spans="1:8" x14ac:dyDescent="0.2">
      <c r="A47" s="177" t="s">
        <v>350</v>
      </c>
      <c r="B47" s="182"/>
      <c r="C47" s="182"/>
      <c r="D47" s="182"/>
      <c r="E47" s="182"/>
      <c r="F47" s="147"/>
      <c r="G47" s="147">
        <f>F45</f>
        <v>973194.9499077017</v>
      </c>
      <c r="H47" s="150"/>
    </row>
    <row r="48" spans="1:8" x14ac:dyDescent="0.2">
      <c r="A48" s="182"/>
      <c r="B48" s="182"/>
      <c r="C48" s="182"/>
      <c r="D48" s="182"/>
      <c r="E48" s="182"/>
      <c r="F48" s="182"/>
      <c r="G48" s="182"/>
      <c r="H48" s="182"/>
    </row>
    <row r="49" spans="1:10" x14ac:dyDescent="0.2">
      <c r="A49" s="156" t="s">
        <v>351</v>
      </c>
      <c r="B49" s="175"/>
      <c r="C49" s="175"/>
      <c r="D49" s="175"/>
      <c r="E49" s="175"/>
      <c r="F49" s="146"/>
      <c r="G49" s="145">
        <f>G47-G43</f>
        <v>252416.83136503806</v>
      </c>
      <c r="H49" s="177"/>
    </row>
    <row r="50" spans="1:10" x14ac:dyDescent="0.2">
      <c r="A50" s="182"/>
      <c r="B50" s="182"/>
      <c r="C50" s="182"/>
      <c r="D50" s="182"/>
      <c r="E50" s="182"/>
      <c r="F50" s="182"/>
      <c r="G50" s="193" t="s">
        <v>603</v>
      </c>
      <c r="H50" s="182"/>
    </row>
    <row r="51" spans="1:10" x14ac:dyDescent="0.2">
      <c r="A51" s="177" t="s">
        <v>107</v>
      </c>
      <c r="B51" s="177"/>
      <c r="C51" s="177"/>
      <c r="D51" s="177"/>
      <c r="E51" s="182"/>
      <c r="F51" s="147">
        <f>G49</f>
        <v>252416.83136503806</v>
      </c>
      <c r="G51" s="191">
        <f>F51/12*6</f>
        <v>126208.41568251903</v>
      </c>
      <c r="H51" s="150"/>
    </row>
    <row r="52" spans="1:10" x14ac:dyDescent="0.2">
      <c r="A52" s="177" t="s">
        <v>415</v>
      </c>
      <c r="B52" s="177"/>
      <c r="C52" s="177"/>
      <c r="D52" s="177"/>
      <c r="E52" s="182"/>
      <c r="F52" s="167">
        <f>SUM(C12:C23)</f>
        <v>675436.10656307987</v>
      </c>
      <c r="G52" s="192">
        <f>F52/12*5</f>
        <v>281431.71106794995</v>
      </c>
      <c r="H52" s="170"/>
    </row>
    <row r="53" spans="1:10" x14ac:dyDescent="0.2">
      <c r="A53" s="177" t="s">
        <v>548</v>
      </c>
      <c r="B53" s="177"/>
      <c r="C53" s="177"/>
      <c r="D53" s="177"/>
      <c r="E53" s="182"/>
      <c r="F53" s="143">
        <f>F51/F52</f>
        <v>0.37370941368451188</v>
      </c>
      <c r="G53" s="191">
        <f>G51/G52</f>
        <v>0.44845129642141424</v>
      </c>
      <c r="H53" s="150"/>
    </row>
    <row r="54" spans="1:10" x14ac:dyDescent="0.2">
      <c r="A54" s="177"/>
      <c r="B54" s="177"/>
      <c r="C54" s="177"/>
      <c r="D54" s="177"/>
      <c r="E54" s="182"/>
      <c r="F54" s="182"/>
      <c r="G54" s="182"/>
      <c r="H54" s="182"/>
    </row>
    <row r="55" spans="1:10" x14ac:dyDescent="0.2">
      <c r="A55" s="177" t="s">
        <v>570</v>
      </c>
      <c r="B55" s="177"/>
      <c r="C55" s="177"/>
      <c r="D55" s="177"/>
      <c r="E55" s="142"/>
      <c r="F55" s="142"/>
      <c r="G55" s="141" t="s">
        <v>418</v>
      </c>
      <c r="H55" s="140"/>
    </row>
    <row r="56" spans="1:10" x14ac:dyDescent="0.2">
      <c r="A56" s="177" t="s">
        <v>559</v>
      </c>
      <c r="B56" s="177"/>
      <c r="C56" s="177"/>
      <c r="D56" s="177"/>
      <c r="E56" s="139"/>
      <c r="F56" s="138"/>
      <c r="G56" s="139">
        <f>+D36</f>
        <v>66054.62190810639</v>
      </c>
      <c r="H56" s="139"/>
    </row>
    <row r="57" spans="1:10" x14ac:dyDescent="0.2">
      <c r="A57" s="177" t="s">
        <v>560</v>
      </c>
      <c r="B57" s="177"/>
      <c r="C57" s="177"/>
      <c r="D57" s="177"/>
      <c r="E57" s="165"/>
      <c r="F57" s="165"/>
      <c r="G57" s="165">
        <f>+C36</f>
        <v>341288.95454545453</v>
      </c>
      <c r="H57" s="165"/>
    </row>
    <row r="58" spans="1:10" x14ac:dyDescent="0.2">
      <c r="A58" s="182"/>
      <c r="B58" s="182"/>
      <c r="C58" s="182"/>
      <c r="D58" s="182"/>
      <c r="E58" s="177"/>
      <c r="F58" s="177"/>
      <c r="G58" s="177"/>
      <c r="H58" s="137"/>
    </row>
    <row r="59" spans="1:10" x14ac:dyDescent="0.2">
      <c r="A59" s="182"/>
      <c r="B59" s="182"/>
      <c r="C59" s="182"/>
      <c r="E59" s="177"/>
      <c r="F59" s="136" t="s">
        <v>564</v>
      </c>
      <c r="G59" s="137">
        <f>G56/G57</f>
        <v>0.19354456400759057</v>
      </c>
      <c r="H59" s="137"/>
      <c r="J59" s="194"/>
    </row>
    <row r="60" spans="1:10" x14ac:dyDescent="0.2">
      <c r="A60" s="182"/>
      <c r="B60" s="182"/>
      <c r="C60" s="182"/>
      <c r="E60" s="177"/>
      <c r="F60" s="136" t="s">
        <v>549</v>
      </c>
      <c r="G60" s="143">
        <f>G53</f>
        <v>0.44845129642141424</v>
      </c>
      <c r="H60" s="137"/>
    </row>
    <row r="61" spans="1:10" ht="16.5" thickBot="1" x14ac:dyDescent="0.3">
      <c r="A61" s="182"/>
      <c r="B61" s="182"/>
      <c r="C61" s="182"/>
      <c r="D61" s="182"/>
      <c r="E61" s="81"/>
      <c r="F61" s="135" t="s">
        <v>361</v>
      </c>
      <c r="G61" s="134">
        <f>G59+G60</f>
        <v>0.64199586042900481</v>
      </c>
      <c r="H61" s="133">
        <f>'[20]17th year adj'!G50-'18th year adj (1st half) Rev'!G61</f>
        <v>0.23365486217023013</v>
      </c>
      <c r="I61" s="31"/>
    </row>
    <row r="62" spans="1:10" x14ac:dyDescent="0.2">
      <c r="A62" s="182"/>
      <c r="B62" s="182"/>
      <c r="C62" s="182"/>
      <c r="D62" s="182"/>
      <c r="E62" s="177"/>
      <c r="F62" s="177"/>
      <c r="G62" s="177"/>
      <c r="H62" s="137"/>
    </row>
    <row r="63" spans="1:10" x14ac:dyDescent="0.2">
      <c r="A63" s="132"/>
      <c r="B63" s="132"/>
      <c r="C63" s="132"/>
      <c r="D63" s="132"/>
      <c r="E63" s="132"/>
      <c r="F63" s="132"/>
      <c r="G63" s="132"/>
      <c r="H63" s="132"/>
    </row>
    <row r="64" spans="1:10" x14ac:dyDescent="0.2">
      <c r="A64" s="182"/>
      <c r="B64" s="182"/>
      <c r="C64" s="182"/>
      <c r="D64" s="177"/>
      <c r="E64" s="174" t="s">
        <v>536</v>
      </c>
      <c r="F64" s="177"/>
      <c r="G64" s="182"/>
      <c r="H64" s="182"/>
    </row>
    <row r="65" spans="1:8" x14ac:dyDescent="0.2">
      <c r="A65" s="182"/>
      <c r="B65" s="182"/>
      <c r="C65" s="181"/>
      <c r="D65" s="177"/>
      <c r="E65" s="174" t="s">
        <v>537</v>
      </c>
      <c r="F65" s="177"/>
      <c r="G65" s="182"/>
      <c r="H65" s="182"/>
    </row>
    <row r="66" spans="1:8" x14ac:dyDescent="0.2">
      <c r="A66" s="182"/>
      <c r="B66" s="182"/>
      <c r="C66" s="181"/>
      <c r="D66" s="177"/>
      <c r="E66" s="174" t="s">
        <v>0</v>
      </c>
      <c r="F66" s="177"/>
      <c r="G66" s="182"/>
      <c r="H66" s="182"/>
    </row>
    <row r="67" spans="1:8" x14ac:dyDescent="0.2">
      <c r="A67" s="182"/>
      <c r="B67" s="182"/>
      <c r="C67" s="181"/>
      <c r="D67" s="181"/>
      <c r="E67" s="174" t="s">
        <v>342</v>
      </c>
      <c r="F67" s="177"/>
      <c r="G67" s="182"/>
      <c r="H67" s="182"/>
    </row>
    <row r="68" spans="1:8" x14ac:dyDescent="0.2">
      <c r="A68" s="182"/>
      <c r="B68" s="182"/>
      <c r="C68" s="182"/>
      <c r="D68" s="182"/>
      <c r="E68" s="182"/>
      <c r="F68" s="182"/>
      <c r="G68" s="182"/>
      <c r="H68" s="182"/>
    </row>
    <row r="69" spans="1:8" x14ac:dyDescent="0.2">
      <c r="A69" s="180" t="str">
        <f>A6</f>
        <v>After Seventeenth Year Commodity Adjustment</v>
      </c>
      <c r="B69" s="179"/>
      <c r="C69" s="179"/>
      <c r="D69" s="182"/>
      <c r="E69" s="182"/>
      <c r="F69" s="182"/>
      <c r="G69" s="182"/>
      <c r="H69" s="182"/>
    </row>
    <row r="70" spans="1:8" x14ac:dyDescent="0.2">
      <c r="A70" s="178" t="s">
        <v>557</v>
      </c>
      <c r="B70" s="182"/>
      <c r="C70" s="182"/>
      <c r="D70" s="182"/>
      <c r="E70" s="182"/>
      <c r="F70" s="182"/>
      <c r="G70" s="182"/>
      <c r="H70" s="182"/>
    </row>
    <row r="71" spans="1:8" x14ac:dyDescent="0.2">
      <c r="A71" s="176" t="s">
        <v>6</v>
      </c>
      <c r="B71" s="182"/>
      <c r="C71" s="182"/>
      <c r="D71" s="182"/>
      <c r="E71" s="182"/>
      <c r="F71" s="182"/>
      <c r="G71" s="182"/>
      <c r="H71" s="182"/>
    </row>
    <row r="72" spans="1:8" x14ac:dyDescent="0.2">
      <c r="A72" s="182"/>
      <c r="B72" s="182"/>
      <c r="C72" s="177"/>
      <c r="D72" s="177"/>
      <c r="E72" s="141"/>
      <c r="F72" s="182"/>
      <c r="G72" s="182"/>
      <c r="H72" s="182"/>
    </row>
    <row r="73" spans="1:8" x14ac:dyDescent="0.2">
      <c r="A73" s="174"/>
      <c r="B73" s="131"/>
      <c r="C73" s="174" t="s">
        <v>30</v>
      </c>
      <c r="D73" s="174" t="s">
        <v>31</v>
      </c>
      <c r="E73" s="141"/>
      <c r="F73" s="182"/>
      <c r="G73" s="182"/>
      <c r="H73" s="182"/>
    </row>
    <row r="74" spans="1:8" x14ac:dyDescent="0.2">
      <c r="A74" s="171" t="s">
        <v>92</v>
      </c>
      <c r="B74" s="130"/>
      <c r="C74" s="171" t="s">
        <v>145</v>
      </c>
      <c r="D74" s="171" t="s">
        <v>32</v>
      </c>
      <c r="E74" s="141"/>
      <c r="F74" s="182"/>
      <c r="G74" s="182"/>
      <c r="H74" s="181"/>
    </row>
    <row r="75" spans="1:8" ht="6" customHeight="1" x14ac:dyDescent="0.2">
      <c r="A75" s="177"/>
      <c r="B75" s="182"/>
      <c r="C75" s="170"/>
      <c r="D75" s="170"/>
      <c r="E75" s="169"/>
      <c r="F75" s="182"/>
      <c r="G75" s="177"/>
      <c r="H75" s="177"/>
    </row>
    <row r="76" spans="1:8" x14ac:dyDescent="0.2">
      <c r="A76" s="129" t="s">
        <v>539</v>
      </c>
      <c r="B76" s="182"/>
      <c r="C76" s="58">
        <f>+'[21]Murrey''s 12-16'!$G$112+'[21]Murrey''s 12-16'!$G$272+SUM('[17]American 12-16'!$G$88:$G$111)+'[17]American 12-16'!$G$274</f>
        <v>7769.9536242108079</v>
      </c>
      <c r="D76" s="64">
        <f>'18th year actual'!L138</f>
        <v>5216.6504054246361</v>
      </c>
      <c r="E76" s="166"/>
      <c r="F76" s="182"/>
      <c r="G76" s="165"/>
      <c r="H76" s="165"/>
    </row>
    <row r="77" spans="1:8" x14ac:dyDescent="0.2">
      <c r="A77" s="164" t="s">
        <v>540</v>
      </c>
      <c r="B77" s="182"/>
      <c r="C77" s="128">
        <f>+'[19]Murrey''s G-9 Reg.'!$AM$256+'[19]Murrey''s G-9 Reg.'!$AM$276+'[19]American G-87 Reg.'!$AL$252+'[19]American G-87 Reg.'!$AL$272</f>
        <v>7119.9623540789198</v>
      </c>
      <c r="D77" s="167">
        <f>'18th year actual'!L139</f>
        <v>5871.2808625681537</v>
      </c>
      <c r="E77" s="166"/>
      <c r="F77" s="182"/>
      <c r="G77" s="165"/>
      <c r="H77" s="165"/>
    </row>
    <row r="78" spans="1:8" x14ac:dyDescent="0.2">
      <c r="A78" s="177" t="s">
        <v>37</v>
      </c>
      <c r="B78" s="182"/>
      <c r="C78" s="128">
        <f>+'[19]Murrey''s G-9 Reg.'!$AN$256+'[19]Murrey''s G-9 Reg.'!$AN$276+'[19]American G-87 Reg.'!$AM$252+'[19]American G-87 Reg.'!$AM$272</f>
        <v>7110.4150905122005</v>
      </c>
      <c r="D78" s="167">
        <f>'18th year actual'!L140</f>
        <v>5904.1521347768303</v>
      </c>
      <c r="E78" s="166"/>
      <c r="F78" s="182"/>
      <c r="G78" s="165"/>
      <c r="H78" s="165"/>
    </row>
    <row r="79" spans="1:8" x14ac:dyDescent="0.2">
      <c r="A79" s="177" t="s">
        <v>38</v>
      </c>
      <c r="B79" s="182"/>
      <c r="C79" s="128">
        <f>+'[19]Murrey''s G-9 Reg.'!$AO$256+'[19]Murrey''s G-9 Reg.'!$AO$276+'[19]American G-87 Reg.'!$AN$252+'[19]American G-87 Reg.'!$AN$272</f>
        <v>7089.9453320794255</v>
      </c>
      <c r="D79" s="167">
        <f>'18th year actual'!L141</f>
        <v>8147.8493857224785</v>
      </c>
      <c r="E79" s="166"/>
      <c r="F79" s="182"/>
      <c r="G79" s="165"/>
      <c r="H79" s="165"/>
    </row>
    <row r="80" spans="1:8" x14ac:dyDescent="0.2">
      <c r="A80" s="177" t="s">
        <v>95</v>
      </c>
      <c r="B80" s="182"/>
      <c r="C80" s="127">
        <f>+'[19]Murrey''s G-9 Reg.'!$AP$256+'[19]Murrey''s G-9 Reg.'!$AP$276+'[19]American G-87 Reg.'!$AO$252+'[19]American G-87 Reg.'!$AO$272</f>
        <v>7158.2078478747453</v>
      </c>
      <c r="D80" s="167">
        <f>'18th year actual'!L142</f>
        <v>3873.3102525247987</v>
      </c>
      <c r="E80" s="166"/>
      <c r="F80" s="182"/>
      <c r="G80" s="165"/>
      <c r="H80" s="165"/>
    </row>
    <row r="81" spans="1:8" x14ac:dyDescent="0.2">
      <c r="A81" s="177" t="s">
        <v>40</v>
      </c>
      <c r="B81" s="182"/>
      <c r="C81" s="128">
        <f>+'[19]Murrey''s G-9 Reg.'!$AQ$256+'[19]Murrey''s G-9 Reg.'!$AQ$276+'[19]American G-87 Reg.'!$AP$252+'[19]American G-87 Reg.'!$AP$272</f>
        <v>7149.1651111722549</v>
      </c>
      <c r="D81" s="167">
        <f>'18th year actual'!L143</f>
        <v>4750.5350554414845</v>
      </c>
      <c r="E81" s="166"/>
      <c r="F81" s="182"/>
      <c r="G81" s="165"/>
      <c r="H81" s="165"/>
    </row>
    <row r="82" spans="1:8" x14ac:dyDescent="0.2">
      <c r="A82" s="177" t="s">
        <v>41</v>
      </c>
      <c r="B82" s="182"/>
      <c r="C82" s="128">
        <f>+'[19]Murrey''s G-9 Reg.'!$AR$256+'[19]Murrey''s G-9 Reg.'!$AR$276+'[19]American G-87 Reg.'!$AQ$252+'[19]American G-87 Reg.'!$AQ$272</f>
        <v>6535.5754092891057</v>
      </c>
      <c r="D82" s="167">
        <f>'18th year actual'!L144</f>
        <v>6167.4241303476028</v>
      </c>
      <c r="E82" s="166"/>
      <c r="F82" s="182"/>
      <c r="G82" s="165"/>
      <c r="H82" s="165"/>
    </row>
    <row r="83" spans="1:8" x14ac:dyDescent="0.2">
      <c r="A83" s="177" t="s">
        <v>42</v>
      </c>
      <c r="B83" s="182"/>
      <c r="C83" s="128">
        <f>+'[19]Murrey''s G-9 Reg.'!$AS$256+'[19]Murrey''s G-9 Reg.'!$AS$276+'[19]American G-87 Reg.'!$AR$252+'[19]American G-87 Reg.'!$AR$272</f>
        <v>7211.0765436752845</v>
      </c>
      <c r="D83" s="167">
        <f>'18th year actual'!L145</f>
        <v>6508.012465513284</v>
      </c>
      <c r="E83" s="166"/>
      <c r="F83" s="182"/>
      <c r="G83" s="165"/>
      <c r="H83" s="165"/>
    </row>
    <row r="84" spans="1:8" x14ac:dyDescent="0.2">
      <c r="A84" s="177" t="s">
        <v>43</v>
      </c>
      <c r="B84" s="182"/>
      <c r="C84" s="128">
        <f>+'[19]Murrey''s G-9 Reg.'!$AT$256+'[19]Murrey''s G-9 Reg.'!$AT$276+'[19]American G-87 Reg.'!$AS$252+'[19]American G-87 Reg.'!$AS$272</f>
        <v>7257.722658458506</v>
      </c>
      <c r="D84" s="167">
        <f>'18th year actual'!L146</f>
        <v>6108.5275016567102</v>
      </c>
      <c r="E84" s="166"/>
      <c r="F84" s="170"/>
      <c r="G84" s="165"/>
      <c r="H84" s="165"/>
    </row>
    <row r="85" spans="1:8" x14ac:dyDescent="0.2">
      <c r="A85" s="177" t="s">
        <v>44</v>
      </c>
      <c r="B85" s="182"/>
      <c r="C85" s="128">
        <f>+'[19]Murrey''s G-9 Reg.'!$AU$256+'[19]Murrey''s G-9 Reg.'!$AU$276+'[19]American G-87 Reg.'!$AT$252+'[19]American G-87 Reg.'!$AT$272</f>
        <v>7306.3693063940782</v>
      </c>
      <c r="D85" s="167">
        <f>'18th year actual'!L147</f>
        <v>4241.1135068337953</v>
      </c>
      <c r="E85" s="166"/>
      <c r="F85" s="170"/>
      <c r="G85" s="165"/>
      <c r="H85" s="165"/>
    </row>
    <row r="86" spans="1:8" x14ac:dyDescent="0.2">
      <c r="A86" s="177" t="s">
        <v>72</v>
      </c>
      <c r="B86" s="182"/>
      <c r="C86" s="128">
        <f>+'[19]Murrey''s G-9 Reg.'!$AV$256+'[19]Murrey''s G-9 Reg.'!$AV$276+'[19]American G-87 Reg.'!$AU$252+'[19]American G-87 Reg.'!$AU$272</f>
        <v>7350.1765181590017</v>
      </c>
      <c r="D86" s="167">
        <f>'18th year actual'!L148</f>
        <v>1621.8411021610286</v>
      </c>
      <c r="E86" s="166"/>
      <c r="F86" s="170"/>
      <c r="G86" s="165"/>
      <c r="H86" s="165"/>
    </row>
    <row r="87" spans="1:8" x14ac:dyDescent="0.2">
      <c r="A87" s="159" t="s">
        <v>34</v>
      </c>
      <c r="B87" s="158"/>
      <c r="C87" s="126">
        <f>+'[19]Murrey''s G-9 Reg.'!$AW$256+'[19]Murrey''s G-9 Reg.'!$AW$276+'[19]American G-87 Reg.'!$AV$252+'[19]American G-87 Reg.'!$AV$272</f>
        <v>7438.4184941506992</v>
      </c>
      <c r="D87" s="157">
        <f>'18th year actual'!L149</f>
        <v>2549.2366026746663</v>
      </c>
      <c r="E87" s="166"/>
      <c r="F87" s="170"/>
      <c r="G87" s="165"/>
      <c r="H87" s="165"/>
    </row>
    <row r="88" spans="1:8" x14ac:dyDescent="0.2">
      <c r="A88" s="156" t="s">
        <v>96</v>
      </c>
      <c r="B88" s="182"/>
      <c r="C88" s="125">
        <f>SUM(C75:C87)</f>
        <v>86496.988290055029</v>
      </c>
      <c r="D88" s="125">
        <f>SUM(D75:D87)</f>
        <v>60959.933405645468</v>
      </c>
      <c r="E88" s="182"/>
      <c r="F88" s="170"/>
      <c r="G88" s="165"/>
      <c r="H88" s="165"/>
    </row>
    <row r="89" spans="1:8" x14ac:dyDescent="0.2">
      <c r="A89" s="156"/>
      <c r="B89" s="182"/>
      <c r="C89" s="125"/>
      <c r="D89" s="125"/>
      <c r="E89" s="182"/>
      <c r="F89" s="170"/>
      <c r="G89" s="165"/>
      <c r="H89" s="165"/>
    </row>
    <row r="90" spans="1:8" x14ac:dyDescent="0.2">
      <c r="A90" s="63" t="s">
        <v>561</v>
      </c>
      <c r="B90" s="175"/>
      <c r="C90" s="155"/>
      <c r="D90" s="155"/>
      <c r="E90" s="182"/>
      <c r="F90" s="170"/>
      <c r="G90" s="165"/>
      <c r="H90" s="165"/>
    </row>
    <row r="91" spans="1:8" x14ac:dyDescent="0.2">
      <c r="A91" s="175"/>
      <c r="B91" s="175"/>
      <c r="C91" s="174" t="s">
        <v>30</v>
      </c>
      <c r="D91" s="174" t="s">
        <v>31</v>
      </c>
      <c r="E91" s="182"/>
      <c r="F91" s="170"/>
      <c r="G91" s="165"/>
      <c r="H91" s="165"/>
    </row>
    <row r="92" spans="1:8" x14ac:dyDescent="0.2">
      <c r="A92" s="173" t="s">
        <v>92</v>
      </c>
      <c r="B92" s="172"/>
      <c r="C92" s="171" t="s">
        <v>145</v>
      </c>
      <c r="D92" s="171" t="s">
        <v>32</v>
      </c>
      <c r="E92" s="182"/>
      <c r="F92" s="170"/>
      <c r="G92" s="165"/>
      <c r="H92" s="165"/>
    </row>
    <row r="93" spans="1:8" x14ac:dyDescent="0.2">
      <c r="A93" s="177" t="s">
        <v>42</v>
      </c>
      <c r="B93" s="175"/>
      <c r="C93" s="122">
        <f>+C83</f>
        <v>7211.0765436752845</v>
      </c>
      <c r="D93" s="62">
        <f>+'18th year actual'!L174</f>
        <v>3395.4075505794453</v>
      </c>
      <c r="E93" s="182"/>
      <c r="F93" s="170"/>
      <c r="G93" s="165"/>
      <c r="H93" s="165"/>
    </row>
    <row r="94" spans="1:8" x14ac:dyDescent="0.2">
      <c r="A94" s="177" t="s">
        <v>43</v>
      </c>
      <c r="B94" s="175"/>
      <c r="C94" s="122">
        <f>+C84</f>
        <v>7257.722658458506</v>
      </c>
      <c r="D94" s="62">
        <f>+'18th year actual'!L175</f>
        <v>2699.4840233958403</v>
      </c>
      <c r="E94" s="182"/>
      <c r="F94" s="170"/>
      <c r="G94" s="165"/>
      <c r="H94" s="165"/>
    </row>
    <row r="95" spans="1:8" x14ac:dyDescent="0.2">
      <c r="A95" s="177" t="s">
        <v>44</v>
      </c>
      <c r="B95" s="175"/>
      <c r="C95" s="122">
        <f>+C85</f>
        <v>7306.3693063940782</v>
      </c>
      <c r="D95" s="62">
        <f>+'18th year actual'!L176</f>
        <v>1128.5085918999566</v>
      </c>
      <c r="E95" s="182"/>
      <c r="F95" s="170"/>
      <c r="G95" s="165"/>
      <c r="H95" s="165"/>
    </row>
    <row r="96" spans="1:8" x14ac:dyDescent="0.2">
      <c r="A96" s="177" t="s">
        <v>72</v>
      </c>
      <c r="B96" s="175"/>
      <c r="C96" s="122">
        <f>+C86</f>
        <v>7350.1765181590017</v>
      </c>
      <c r="D96" s="62">
        <f>+'18th year actual'!L177</f>
        <v>-1638.9830944363255</v>
      </c>
      <c r="E96" s="182"/>
      <c r="F96" s="170"/>
      <c r="G96" s="165"/>
      <c r="H96" s="165"/>
    </row>
    <row r="97" spans="1:8" x14ac:dyDescent="0.2">
      <c r="A97" s="177" t="s">
        <v>34</v>
      </c>
      <c r="B97" s="175"/>
      <c r="C97" s="122">
        <f>+C87</f>
        <v>7438.4184941506992</v>
      </c>
      <c r="D97" s="62">
        <f>+'18th year actual'!L178</f>
        <v>-711.58759392268803</v>
      </c>
      <c r="E97" s="182"/>
      <c r="F97" s="170"/>
      <c r="G97" s="165"/>
      <c r="H97" s="165"/>
    </row>
    <row r="98" spans="1:8" x14ac:dyDescent="0.2">
      <c r="A98" s="177" t="s">
        <v>35</v>
      </c>
      <c r="B98" s="177"/>
      <c r="C98" s="167">
        <f>+'[19]Murrey''s G-9 Reg.'!$AX$256+'[19]Murrey''s G-9 Reg.'!$AX$276+'[19]American G-87 Reg.'!$AW$252+'[19]American G-87 Reg.'!$AW$272</f>
        <v>7465.5026001646174</v>
      </c>
      <c r="D98" s="62">
        <f>+'18th year actual'!L179</f>
        <v>-835.02159368124035</v>
      </c>
      <c r="E98" s="182"/>
      <c r="F98" s="170"/>
      <c r="G98" s="165"/>
      <c r="H98" s="165"/>
    </row>
    <row r="99" spans="1:8" x14ac:dyDescent="0.2">
      <c r="A99" s="61" t="s">
        <v>558</v>
      </c>
      <c r="B99" s="61"/>
      <c r="C99" s="60">
        <f>+SUM(C93:C98)</f>
        <v>44029.266121002191</v>
      </c>
      <c r="D99" s="59">
        <f>+SUM(D93:D98)</f>
        <v>4037.8078838349884</v>
      </c>
      <c r="E99" s="182"/>
      <c r="F99" s="170"/>
      <c r="G99" s="165"/>
      <c r="H99" s="165"/>
    </row>
    <row r="100" spans="1:8" x14ac:dyDescent="0.2">
      <c r="A100" s="156"/>
      <c r="B100" s="182"/>
      <c r="C100" s="125"/>
      <c r="D100" s="125"/>
      <c r="E100" s="182"/>
      <c r="F100" s="170"/>
      <c r="G100" s="165"/>
      <c r="H100" s="165"/>
    </row>
    <row r="101" spans="1:8" x14ac:dyDescent="0.2">
      <c r="A101" s="182"/>
      <c r="B101" s="182"/>
      <c r="C101" s="170"/>
      <c r="D101" s="182"/>
      <c r="E101" s="182"/>
      <c r="F101" s="150"/>
      <c r="G101" s="150"/>
      <c r="H101" s="182"/>
    </row>
    <row r="102" spans="1:8" x14ac:dyDescent="0.2">
      <c r="A102" s="152" t="s">
        <v>546</v>
      </c>
      <c r="B102" s="182"/>
      <c r="C102" s="182"/>
      <c r="D102" s="182"/>
      <c r="E102" s="182"/>
      <c r="F102" s="182"/>
      <c r="G102" s="182"/>
      <c r="H102" s="182"/>
    </row>
    <row r="103" spans="1:8" x14ac:dyDescent="0.2">
      <c r="A103" s="182"/>
      <c r="B103" s="182"/>
      <c r="C103" s="182"/>
      <c r="D103" s="182"/>
      <c r="E103" s="170"/>
      <c r="F103" s="182"/>
      <c r="G103" s="150"/>
      <c r="H103" s="182"/>
    </row>
    <row r="104" spans="1:8" x14ac:dyDescent="0.2">
      <c r="A104" s="149" t="s">
        <v>343</v>
      </c>
      <c r="B104" s="182"/>
      <c r="C104" s="182"/>
      <c r="D104" s="177" t="s">
        <v>555</v>
      </c>
      <c r="E104" s="148">
        <f>+'[20]17th year adj'!E82</f>
        <v>0.51</v>
      </c>
      <c r="F104" s="182"/>
      <c r="G104" s="150"/>
      <c r="H104" s="161"/>
    </row>
    <row r="105" spans="1:8" x14ac:dyDescent="0.2">
      <c r="A105" s="149" t="s">
        <v>343</v>
      </c>
      <c r="B105" s="182"/>
      <c r="C105" s="182"/>
      <c r="D105" s="177" t="s">
        <v>556</v>
      </c>
      <c r="E105" s="57">
        <f>+'[20]17th year adj'!G101</f>
        <v>0.47589081897491819</v>
      </c>
      <c r="F105" s="182"/>
      <c r="G105" s="182"/>
      <c r="H105" s="161"/>
    </row>
    <row r="106" spans="1:8" x14ac:dyDescent="0.2">
      <c r="A106" s="149"/>
      <c r="B106" s="182"/>
      <c r="C106" s="182"/>
      <c r="D106" s="177"/>
      <c r="E106" s="148"/>
      <c r="F106" s="182"/>
      <c r="G106" s="150"/>
      <c r="H106" s="161"/>
    </row>
    <row r="107" spans="1:8" x14ac:dyDescent="0.2">
      <c r="A107" s="182"/>
      <c r="B107" s="182"/>
      <c r="C107" s="182"/>
      <c r="D107" s="182"/>
      <c r="E107" s="124"/>
      <c r="F107" s="170"/>
      <c r="G107" s="182"/>
      <c r="H107" s="161"/>
    </row>
    <row r="108" spans="1:8" x14ac:dyDescent="0.2">
      <c r="A108" s="177" t="s">
        <v>568</v>
      </c>
      <c r="B108" s="182"/>
      <c r="C108" s="182"/>
      <c r="D108" s="182"/>
      <c r="E108" s="182"/>
      <c r="F108" s="147"/>
      <c r="G108" s="165">
        <f>(SUM(C76:C78)*E104+SUM(C79:C87)*E105)</f>
        <v>41913.535871255692</v>
      </c>
      <c r="H108" s="161"/>
    </row>
    <row r="109" spans="1:8" x14ac:dyDescent="0.2">
      <c r="A109" s="182"/>
      <c r="B109" s="182"/>
      <c r="C109" s="182"/>
      <c r="D109" s="182"/>
      <c r="E109" s="182"/>
      <c r="F109" s="170"/>
      <c r="G109" s="182"/>
      <c r="H109" s="150" t="s">
        <v>6</v>
      </c>
    </row>
    <row r="110" spans="1:8" x14ac:dyDescent="0.2">
      <c r="A110" s="177" t="s">
        <v>50</v>
      </c>
      <c r="B110" s="182"/>
      <c r="C110" s="182"/>
      <c r="D110" s="182"/>
      <c r="E110" s="182"/>
      <c r="F110" s="147">
        <f>D88</f>
        <v>60959.933405645468</v>
      </c>
      <c r="G110" s="182"/>
      <c r="H110" s="144" t="s">
        <v>6</v>
      </c>
    </row>
    <row r="111" spans="1:8" x14ac:dyDescent="0.2">
      <c r="A111" s="177"/>
      <c r="B111" s="182"/>
      <c r="C111" s="182"/>
      <c r="D111" s="182"/>
      <c r="E111" s="182"/>
      <c r="F111" s="147"/>
      <c r="G111" s="182"/>
      <c r="H111" s="144"/>
    </row>
    <row r="112" spans="1:8" x14ac:dyDescent="0.2">
      <c r="A112" s="177" t="s">
        <v>364</v>
      </c>
      <c r="B112" s="182"/>
      <c r="C112" s="182"/>
      <c r="D112" s="182"/>
      <c r="E112" s="182"/>
      <c r="F112" s="147"/>
      <c r="G112" s="147">
        <f>F110-F111</f>
        <v>60959.933405645468</v>
      </c>
      <c r="H112" s="144"/>
    </row>
    <row r="113" spans="1:9" x14ac:dyDescent="0.2">
      <c r="A113" s="182"/>
      <c r="B113" s="182"/>
      <c r="C113" s="182"/>
      <c r="D113" s="182"/>
      <c r="E113" s="182"/>
      <c r="F113" s="182"/>
      <c r="G113" s="182"/>
      <c r="H113" s="182"/>
    </row>
    <row r="114" spans="1:9" x14ac:dyDescent="0.2">
      <c r="A114" s="156" t="s">
        <v>351</v>
      </c>
      <c r="B114" s="182"/>
      <c r="C114" s="182"/>
      <c r="D114" s="182"/>
      <c r="E114" s="182"/>
      <c r="F114" s="182"/>
      <c r="G114" s="145">
        <f>G112-G108</f>
        <v>19046.397534389776</v>
      </c>
      <c r="H114" s="177"/>
    </row>
    <row r="115" spans="1:9" x14ac:dyDescent="0.2">
      <c r="A115" s="177"/>
      <c r="B115" s="182"/>
      <c r="C115" s="182"/>
      <c r="D115" s="182"/>
      <c r="E115" s="182"/>
      <c r="F115" s="182"/>
      <c r="G115" s="193" t="s">
        <v>603</v>
      </c>
      <c r="H115" s="182"/>
    </row>
    <row r="116" spans="1:9" x14ac:dyDescent="0.2">
      <c r="A116" s="177" t="s">
        <v>107</v>
      </c>
      <c r="B116" s="177"/>
      <c r="C116" s="177"/>
      <c r="D116" s="177"/>
      <c r="E116" s="182"/>
      <c r="F116" s="123">
        <f>G114</f>
        <v>19046.397534389776</v>
      </c>
      <c r="G116" s="191">
        <f>F116/12*6</f>
        <v>9523.1987671948882</v>
      </c>
      <c r="H116" s="150"/>
    </row>
    <row r="117" spans="1:9" x14ac:dyDescent="0.2">
      <c r="A117" s="177" t="s">
        <v>419</v>
      </c>
      <c r="B117" s="177"/>
      <c r="C117" s="177"/>
      <c r="D117" s="177"/>
      <c r="E117" s="182"/>
      <c r="F117" s="122">
        <f>SUM(C76:C87)</f>
        <v>86496.988290055029</v>
      </c>
      <c r="G117" s="192">
        <f>F117/12*5</f>
        <v>36040.411787522928</v>
      </c>
      <c r="H117" s="170"/>
    </row>
    <row r="118" spans="1:9" x14ac:dyDescent="0.2">
      <c r="A118" s="177" t="s">
        <v>349</v>
      </c>
      <c r="B118" s="177"/>
      <c r="C118" s="177"/>
      <c r="D118" s="177"/>
      <c r="E118" s="182"/>
      <c r="F118" s="121">
        <f>ROUND(F116/F117,2)</f>
        <v>0.22</v>
      </c>
      <c r="G118" s="191">
        <f>G116/G117</f>
        <v>0.26423668029486247</v>
      </c>
      <c r="H118" s="150"/>
    </row>
    <row r="119" spans="1:9" x14ac:dyDescent="0.2">
      <c r="A119" s="177"/>
      <c r="B119" s="177"/>
      <c r="C119" s="177"/>
      <c r="D119" s="177"/>
      <c r="E119" s="182"/>
      <c r="F119" s="182"/>
      <c r="G119" s="150"/>
      <c r="H119" s="150"/>
    </row>
    <row r="120" spans="1:9" x14ac:dyDescent="0.2">
      <c r="A120" s="177" t="s">
        <v>570</v>
      </c>
      <c r="B120" s="177"/>
      <c r="C120" s="177"/>
      <c r="D120" s="177"/>
      <c r="E120" s="142"/>
      <c r="F120" s="142"/>
      <c r="G120" s="141" t="s">
        <v>418</v>
      </c>
      <c r="H120" s="140"/>
    </row>
    <row r="121" spans="1:9" x14ac:dyDescent="0.2">
      <c r="A121" s="177" t="s">
        <v>559</v>
      </c>
      <c r="B121" s="177"/>
      <c r="C121" s="177"/>
      <c r="D121" s="177"/>
      <c r="E121" s="139"/>
      <c r="F121" s="138"/>
      <c r="G121" s="139">
        <f>+D99</f>
        <v>4037.8078838349884</v>
      </c>
      <c r="H121" s="139"/>
    </row>
    <row r="122" spans="1:9" x14ac:dyDescent="0.2">
      <c r="A122" s="177" t="s">
        <v>560</v>
      </c>
      <c r="B122" s="177"/>
      <c r="C122" s="177"/>
      <c r="D122" s="177"/>
      <c r="E122" s="165"/>
      <c r="F122" s="165"/>
      <c r="G122" s="165">
        <f>+C99</f>
        <v>44029.266121002191</v>
      </c>
      <c r="H122" s="165"/>
    </row>
    <row r="123" spans="1:9" x14ac:dyDescent="0.2">
      <c r="A123" s="182"/>
      <c r="B123" s="182"/>
      <c r="C123" s="182"/>
      <c r="D123" s="182"/>
      <c r="E123" s="177"/>
      <c r="F123" s="177"/>
      <c r="G123" s="177"/>
      <c r="H123" s="137"/>
    </row>
    <row r="124" spans="1:9" x14ac:dyDescent="0.2">
      <c r="A124" s="175"/>
      <c r="B124" s="182"/>
      <c r="C124" s="182"/>
      <c r="F124" s="136" t="s">
        <v>551</v>
      </c>
      <c r="G124" s="120">
        <f>G121/G122</f>
        <v>9.1707362842210371E-2</v>
      </c>
      <c r="H124" s="120"/>
    </row>
    <row r="125" spans="1:9" x14ac:dyDescent="0.2">
      <c r="A125" s="180"/>
      <c r="B125" s="182"/>
      <c r="C125" s="182"/>
      <c r="F125" s="136" t="s">
        <v>552</v>
      </c>
      <c r="G125" s="121">
        <f>F118</f>
        <v>0.22</v>
      </c>
      <c r="H125" s="121"/>
    </row>
    <row r="126" spans="1:9" ht="15.75" thickBot="1" x14ac:dyDescent="0.25">
      <c r="A126" s="119"/>
      <c r="B126" s="182"/>
      <c r="C126" s="182"/>
      <c r="D126" s="182"/>
      <c r="E126" s="56"/>
      <c r="F126" s="135" t="s">
        <v>361</v>
      </c>
      <c r="G126" s="134">
        <f>SUM(G124:G125)</f>
        <v>0.31170736284221034</v>
      </c>
      <c r="H126" s="120"/>
      <c r="I126" s="31"/>
    </row>
    <row r="127" spans="1:9" x14ac:dyDescent="0.2">
      <c r="A127" s="119"/>
      <c r="B127" s="182"/>
      <c r="C127" s="182"/>
      <c r="D127" s="182"/>
      <c r="E127" s="182"/>
      <c r="F127" s="182"/>
      <c r="G127" s="182"/>
      <c r="H127" s="182"/>
    </row>
    <row r="128" spans="1:9" x14ac:dyDescent="0.2">
      <c r="A128" s="132"/>
      <c r="B128" s="132"/>
      <c r="C128" s="132"/>
      <c r="D128" s="132"/>
      <c r="E128" s="132"/>
      <c r="F128" s="132"/>
      <c r="G128" s="132"/>
      <c r="H128" s="132"/>
    </row>
  </sheetData>
  <mergeCells count="4">
    <mergeCell ref="A1:G1"/>
    <mergeCell ref="A2:G2"/>
    <mergeCell ref="A3:G3"/>
    <mergeCell ref="A4:G4"/>
  </mergeCells>
  <pageMargins left="0.7" right="0.7" top="0.75" bottom="0.75" header="0.3" footer="0.3"/>
  <pageSetup scale="78" orientation="portrait" r:id="rId1"/>
  <rowBreaks count="1" manualBreakCount="1">
    <brk id="62" max="16383" man="1"/>
  </rowBreaks>
  <legacyDrawing r:id="rId2"/>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sheetPr>
  <dimension ref="A1:P101"/>
  <sheetViews>
    <sheetView showGridLines="0" tabSelected="1" view="pageBreakPreview" zoomScale="115" zoomScaleNormal="85" zoomScaleSheetLayoutView="115" workbookViewId="0">
      <selection activeCell="M13" sqref="M13"/>
    </sheetView>
  </sheetViews>
  <sheetFormatPr defaultRowHeight="15" x14ac:dyDescent="0.2"/>
  <cols>
    <col min="1" max="1" width="29.6640625" style="2" customWidth="1"/>
    <col min="2" max="2" width="7.5546875" style="2" customWidth="1"/>
    <col min="3" max="3" width="9" style="4" bestFit="1" customWidth="1"/>
    <col min="4" max="4" width="9.5546875" style="4" bestFit="1" customWidth="1"/>
    <col min="5" max="5" width="5.6640625" style="4" customWidth="1"/>
    <col min="6" max="6" width="9.6640625" style="4" customWidth="1"/>
    <col min="7" max="7" width="9.21875" style="4" bestFit="1" customWidth="1"/>
    <col min="8" max="8" width="8.77734375" style="4" bestFit="1" customWidth="1"/>
    <col min="9" max="9" width="11.109375" style="4" bestFit="1" customWidth="1"/>
    <col min="10" max="10" width="10.5546875" bestFit="1" customWidth="1"/>
  </cols>
  <sheetData>
    <row r="1" spans="1:7" x14ac:dyDescent="0.2">
      <c r="A1" s="203" t="s">
        <v>586</v>
      </c>
      <c r="B1" s="203"/>
      <c r="C1" s="203"/>
      <c r="D1" s="203"/>
      <c r="E1" s="203"/>
      <c r="F1" s="203"/>
      <c r="G1" s="203"/>
    </row>
    <row r="2" spans="1:7" x14ac:dyDescent="0.2">
      <c r="A2" s="203" t="s">
        <v>537</v>
      </c>
      <c r="B2" s="203"/>
      <c r="C2" s="203"/>
      <c r="D2" s="203"/>
      <c r="E2" s="203"/>
      <c r="F2" s="203"/>
      <c r="G2" s="203"/>
    </row>
    <row r="3" spans="1:7" x14ac:dyDescent="0.2">
      <c r="A3" s="203" t="s">
        <v>0</v>
      </c>
      <c r="B3" s="203"/>
      <c r="C3" s="203"/>
      <c r="D3" s="203"/>
      <c r="E3" s="203"/>
      <c r="F3" s="203"/>
      <c r="G3" s="203"/>
    </row>
    <row r="4" spans="1:7" x14ac:dyDescent="0.2">
      <c r="A4" s="203" t="s">
        <v>2</v>
      </c>
      <c r="B4" s="203"/>
      <c r="C4" s="203"/>
      <c r="D4" s="203"/>
      <c r="E4" s="203"/>
      <c r="F4" s="203"/>
      <c r="G4" s="203"/>
    </row>
    <row r="6" spans="1:7" x14ac:dyDescent="0.2">
      <c r="A6" s="21" t="s">
        <v>609</v>
      </c>
    </row>
    <row r="7" spans="1:7" x14ac:dyDescent="0.2">
      <c r="A7" s="2" t="s">
        <v>6</v>
      </c>
    </row>
    <row r="8" spans="1:7" x14ac:dyDescent="0.2">
      <c r="A8" s="5"/>
      <c r="B8" s="5"/>
      <c r="C8" s="8" t="s">
        <v>30</v>
      </c>
      <c r="D8" s="8" t="s">
        <v>31</v>
      </c>
    </row>
    <row r="9" spans="1:7" x14ac:dyDescent="0.2">
      <c r="A9" s="18" t="s">
        <v>92</v>
      </c>
      <c r="B9" s="18"/>
      <c r="C9" s="9" t="s">
        <v>26</v>
      </c>
      <c r="D9" s="9" t="s">
        <v>32</v>
      </c>
    </row>
    <row r="10" spans="1:7" ht="2.25" customHeight="1" x14ac:dyDescent="0.2"/>
    <row r="11" spans="1:7" x14ac:dyDescent="0.2">
      <c r="A11" s="15" t="s">
        <v>591</v>
      </c>
      <c r="C11" s="22">
        <f>+SUM('[24]Murrey''s G-9 Reg.'!$R$430:$R$431,'[24]American G-87 Reg.'!$R$425:$R$426)</f>
        <v>54818.326530612263</v>
      </c>
      <c r="D11" s="22">
        <f>+'18th year actual (2nd half)'!R36</f>
        <v>38969.050521093428</v>
      </c>
      <c r="E11" s="4" t="s">
        <v>596</v>
      </c>
    </row>
    <row r="12" spans="1:7" x14ac:dyDescent="0.2">
      <c r="A12" s="2" t="s">
        <v>571</v>
      </c>
      <c r="C12" s="22">
        <f>+'[25]Murrey''s G-9 Reg.'!$S$430+'[25]Murrey''s G-9 Reg.'!$S$431+'[25]American G-87 Reg.'!$S$425+'[25]American G-87 Reg.'!$S$426</f>
        <v>57343.931818181809</v>
      </c>
      <c r="D12" s="22">
        <f>'18th year actual (2nd half)'!R37</f>
        <v>-31118.066343621158</v>
      </c>
      <c r="E12" s="4" t="s">
        <v>596</v>
      </c>
    </row>
    <row r="13" spans="1:7" x14ac:dyDescent="0.2">
      <c r="A13" s="2" t="s">
        <v>37</v>
      </c>
      <c r="C13" s="22">
        <f>+'[25]Murrey''s G-9 Reg.'!$T$430+'[25]Murrey''s G-9 Reg.'!$T$431+'[25]American G-87 Reg.'!$T$425+'[25]American G-87 Reg.'!$T$426</f>
        <v>53472.789772727265</v>
      </c>
      <c r="D13" s="22">
        <f>'18th year actual (2nd half)'!R38</f>
        <v>-31040.95434733681</v>
      </c>
    </row>
    <row r="14" spans="1:7" x14ac:dyDescent="0.2">
      <c r="A14" s="2" t="s">
        <v>38</v>
      </c>
      <c r="C14" s="22">
        <f>+'[25]Murrey''s G-9 Reg.'!$U$430+'[25]Murrey''s G-9 Reg.'!$U$431+'[25]American G-87 Reg.'!$U$425+'[25]American G-87 Reg.'!$U$426</f>
        <v>63309.476190476191</v>
      </c>
      <c r="D14" s="22">
        <f>'18th year actual (2nd half)'!R39</f>
        <v>-101718.40787198636</v>
      </c>
    </row>
    <row r="15" spans="1:7" x14ac:dyDescent="0.2">
      <c r="A15" s="2" t="s">
        <v>39</v>
      </c>
      <c r="C15" s="22">
        <f>+'[25]Murrey''s G-9 Reg.'!$V$430+'[25]Murrey''s G-9 Reg.'!$V$431+'[25]American G-87 Reg.'!$V$425+'[25]American G-87 Reg.'!$V$426</f>
        <v>58016.9126984127</v>
      </c>
      <c r="D15" s="22">
        <f>'18th year actual (2nd half)'!R40</f>
        <v>-110640.61140460281</v>
      </c>
    </row>
    <row r="16" spans="1:7" x14ac:dyDescent="0.2">
      <c r="A16" s="2" t="s">
        <v>40</v>
      </c>
      <c r="C16" s="22">
        <f>+'[25]Murrey''s G-9 Reg.'!$W$430+'[25]Murrey''s G-9 Reg.'!$W$431+'[25]American G-87 Reg.'!$W$425+'[25]American G-87 Reg.'!$W$426</f>
        <v>58592.579365079371</v>
      </c>
      <c r="D16" s="22">
        <f>'18th year actual (2nd half)'!R41</f>
        <v>-123053.88532188449</v>
      </c>
    </row>
    <row r="17" spans="1:6" x14ac:dyDescent="0.2">
      <c r="A17" s="5" t="s">
        <v>96</v>
      </c>
      <c r="B17" s="5"/>
      <c r="C17" s="23">
        <f>SUM(C11:C16)</f>
        <v>345554.01637548959</v>
      </c>
      <c r="D17" s="23">
        <f>SUM(D11:D16)</f>
        <v>-358602.87476833817</v>
      </c>
    </row>
    <row r="19" spans="1:6" x14ac:dyDescent="0.2">
      <c r="A19" s="5" t="s">
        <v>579</v>
      </c>
      <c r="B19" s="5"/>
      <c r="C19" s="6"/>
      <c r="D19" s="6"/>
      <c r="E19" s="6"/>
    </row>
    <row r="21" spans="1:6" x14ac:dyDescent="0.2">
      <c r="A21" s="2" t="s">
        <v>590</v>
      </c>
      <c r="B21" s="5"/>
      <c r="C21" s="6"/>
      <c r="D21" s="4" t="s">
        <v>577</v>
      </c>
      <c r="E21" s="4">
        <f>'18th year adj (1st half) Rev'!E41</f>
        <v>1.0483367535806549</v>
      </c>
    </row>
    <row r="22" spans="1:6" x14ac:dyDescent="0.2">
      <c r="A22" s="2" t="s">
        <v>590</v>
      </c>
      <c r="B22" s="5"/>
      <c r="C22" s="6"/>
      <c r="D22" s="4" t="s">
        <v>580</v>
      </c>
      <c r="E22" s="4">
        <f>'18th year adj (1st half) Orig'!G59</f>
        <v>0.19996450929395371</v>
      </c>
    </row>
    <row r="24" spans="1:6" x14ac:dyDescent="0.2">
      <c r="A24" s="19" t="s">
        <v>594</v>
      </c>
      <c r="B24" s="19"/>
      <c r="C24" s="20"/>
      <c r="D24" s="20"/>
      <c r="E24" s="20"/>
      <c r="F24" s="24">
        <f>SUM(C11:C13)*E21+SUM(C14:C16)*E22</f>
        <v>209618.71682647042</v>
      </c>
    </row>
    <row r="25" spans="1:6" x14ac:dyDescent="0.2">
      <c r="A25" s="19"/>
      <c r="B25" s="19"/>
      <c r="C25" s="20"/>
      <c r="D25" s="20"/>
      <c r="E25" s="20"/>
      <c r="F25" s="20"/>
    </row>
    <row r="26" spans="1:6" x14ac:dyDescent="0.2">
      <c r="A26" s="19" t="s">
        <v>595</v>
      </c>
      <c r="B26" s="19"/>
      <c r="C26" s="20"/>
      <c r="D26" s="20"/>
      <c r="E26" s="20"/>
      <c r="F26" s="24">
        <f>D17-F24</f>
        <v>-568221.59159480862</v>
      </c>
    </row>
    <row r="27" spans="1:6" x14ac:dyDescent="0.2">
      <c r="A27" s="188" t="s">
        <v>600</v>
      </c>
      <c r="B27" s="188"/>
      <c r="C27" s="189"/>
      <c r="D27" s="189"/>
      <c r="E27" s="189"/>
      <c r="F27" s="190">
        <f>SUM(C12:C16)</f>
        <v>290735.68984487734</v>
      </c>
    </row>
    <row r="28" spans="1:6" x14ac:dyDescent="0.2">
      <c r="A28" s="68" t="s">
        <v>601</v>
      </c>
      <c r="B28" s="13"/>
      <c r="C28" s="14"/>
      <c r="D28" s="14"/>
      <c r="E28" s="14"/>
      <c r="F28" s="14">
        <f>F26/F27</f>
        <v>-1.9544266887150472</v>
      </c>
    </row>
    <row r="31" spans="1:6" x14ac:dyDescent="0.2">
      <c r="A31" s="21" t="s">
        <v>609</v>
      </c>
    </row>
    <row r="32" spans="1:6" x14ac:dyDescent="0.2">
      <c r="A32" s="5"/>
      <c r="B32" s="5"/>
      <c r="C32" s="8" t="s">
        <v>30</v>
      </c>
      <c r="D32" s="8" t="s">
        <v>592</v>
      </c>
    </row>
    <row r="33" spans="1:16" x14ac:dyDescent="0.2">
      <c r="A33" s="18" t="s">
        <v>92</v>
      </c>
      <c r="B33" s="18"/>
      <c r="C33" s="9" t="s">
        <v>26</v>
      </c>
      <c r="D33" s="9" t="s">
        <v>32</v>
      </c>
    </row>
    <row r="34" spans="1:16" ht="7.5" customHeight="1" x14ac:dyDescent="0.2"/>
    <row r="35" spans="1:16" x14ac:dyDescent="0.2">
      <c r="A35" s="2" t="s">
        <v>571</v>
      </c>
      <c r="C35" s="22">
        <f>+'[25]Murrey''s G-9 Reg.'!$S$430+'[25]Murrey''s G-9 Reg.'!$S$431+'[25]American G-87 Reg.'!$S$425+'[25]American G-87 Reg.'!$S$426</f>
        <v>57343.931818181809</v>
      </c>
      <c r="D35" s="22">
        <f>+'18th year actual (2nd half)'!R54</f>
        <v>-89756.588044231059</v>
      </c>
      <c r="E35" s="4" t="s">
        <v>597</v>
      </c>
    </row>
    <row r="36" spans="1:16" x14ac:dyDescent="0.2">
      <c r="A36" s="2" t="s">
        <v>37</v>
      </c>
      <c r="C36" s="22">
        <f>+'[25]Murrey''s G-9 Reg.'!$T$430+'[25]Murrey''s G-9 Reg.'!$T$431+'[25]American G-87 Reg.'!$T$425+'[25]American G-87 Reg.'!$T$426</f>
        <v>53472.789772727265</v>
      </c>
      <c r="D36" s="22">
        <f>+'18th year actual (2nd half)'!R55</f>
        <v>-72717.463510205125</v>
      </c>
      <c r="E36" s="4" t="s">
        <v>597</v>
      </c>
    </row>
    <row r="37" spans="1:16" x14ac:dyDescent="0.2">
      <c r="A37" s="2" t="s">
        <v>38</v>
      </c>
      <c r="C37" s="22">
        <f>+'[25]Murrey''s G-9 Reg.'!$U$430+'[25]Murrey''s G-9 Reg.'!$U$431+'[25]American G-87 Reg.'!$U$425+'[25]American G-87 Reg.'!$U$426</f>
        <v>63309.476190476191</v>
      </c>
      <c r="D37" s="22">
        <f>+D14</f>
        <v>-101718.40787198636</v>
      </c>
    </row>
    <row r="38" spans="1:16" x14ac:dyDescent="0.2">
      <c r="A38" s="2" t="s">
        <v>39</v>
      </c>
      <c r="C38" s="22">
        <f>+'[25]Murrey''s G-9 Reg.'!$V$430+'[25]Murrey''s G-9 Reg.'!$V$431+'[25]American G-87 Reg.'!$V$425+'[25]American G-87 Reg.'!$V$426</f>
        <v>58016.9126984127</v>
      </c>
      <c r="D38" s="22">
        <f>+D15</f>
        <v>-110640.61140460281</v>
      </c>
    </row>
    <row r="39" spans="1:16" x14ac:dyDescent="0.2">
      <c r="A39" s="2" t="s">
        <v>40</v>
      </c>
      <c r="C39" s="22">
        <f>+'[25]Murrey''s G-9 Reg.'!$W$430+'[25]Murrey''s G-9 Reg.'!$W$431+'[25]American G-87 Reg.'!$W$425+'[25]American G-87 Reg.'!$W$426</f>
        <v>58592.579365079371</v>
      </c>
      <c r="D39" s="22">
        <f>+D16</f>
        <v>-123053.88532188449</v>
      </c>
    </row>
    <row r="40" spans="1:16" x14ac:dyDescent="0.2">
      <c r="A40" s="2" t="s">
        <v>41</v>
      </c>
      <c r="C40" s="22">
        <f>+'[25]Murrey''s G-9 Reg.'!$X$430+'[25]Murrey''s G-9 Reg.'!$X$431+'[25]American G-87 Reg.'!$X$425+'[25]American G-87 Reg.'!$X$426</f>
        <v>58813.0873015873</v>
      </c>
      <c r="D40" s="22">
        <f>'18th year actual (2nd half)'!R42</f>
        <v>-99823.361927951657</v>
      </c>
    </row>
    <row r="41" spans="1:16" x14ac:dyDescent="0.2">
      <c r="A41" s="5" t="s">
        <v>96</v>
      </c>
      <c r="B41" s="5"/>
      <c r="C41" s="23">
        <f>SUM(C35:C40)</f>
        <v>349548.77714646462</v>
      </c>
      <c r="D41" s="23">
        <f>SUM(D35:D40)</f>
        <v>-597710.31808086147</v>
      </c>
    </row>
    <row r="43" spans="1:16" x14ac:dyDescent="0.2">
      <c r="A43" s="68" t="s">
        <v>602</v>
      </c>
      <c r="B43" s="12"/>
      <c r="C43" s="17"/>
      <c r="D43" s="14">
        <f>D41/SUM(C36:C40)</f>
        <v>-2.0455181617859659</v>
      </c>
    </row>
    <row r="45" spans="1:16" x14ac:dyDescent="0.2">
      <c r="A45" s="25" t="s">
        <v>587</v>
      </c>
      <c r="B45" s="26"/>
      <c r="C45" s="27"/>
      <c r="D45" s="34">
        <f>'18th year adj (1st half) Rev'!G60</f>
        <v>0.44845129642141424</v>
      </c>
      <c r="G45" s="28"/>
      <c r="H45" s="196" t="s">
        <v>606</v>
      </c>
      <c r="I45" s="197">
        <v>9288.06</v>
      </c>
      <c r="J45" s="198"/>
      <c r="P45" s="200"/>
    </row>
    <row r="46" spans="1:16" x14ac:dyDescent="0.2">
      <c r="A46" s="25" t="s">
        <v>588</v>
      </c>
      <c r="B46" s="26"/>
      <c r="C46" s="27"/>
      <c r="D46" s="28">
        <f>(('18th year adj (1st half) Orig'!F53-'18th year adj (1st half) Rev'!F53)*6)/5</f>
        <v>6.4345526134737319E-2</v>
      </c>
      <c r="E46" s="195" t="s">
        <v>605</v>
      </c>
      <c r="G46" s="28"/>
      <c r="H46" s="196" t="s">
        <v>607</v>
      </c>
      <c r="I46" s="199">
        <f>C40</f>
        <v>58813.0873015873</v>
      </c>
      <c r="J46" s="197">
        <f>$I$45*I46/($I$46+$I$47)</f>
        <v>9102.3393097114131</v>
      </c>
    </row>
    <row r="47" spans="1:16" x14ac:dyDescent="0.2">
      <c r="A47" s="25" t="s">
        <v>604</v>
      </c>
      <c r="D47" s="28">
        <f>J46/(I46*5)</f>
        <v>3.0953448381431086E-2</v>
      </c>
      <c r="G47" s="28"/>
      <c r="H47" s="196" t="s">
        <v>608</v>
      </c>
      <c r="I47" s="199">
        <v>1200</v>
      </c>
      <c r="J47" s="197">
        <f>$I$45*I47/($I$46+$I$47)</f>
        <v>185.72069028858652</v>
      </c>
    </row>
    <row r="48" spans="1:16" ht="15.75" thickBot="1" x14ac:dyDescent="0.25">
      <c r="A48" s="71" t="s">
        <v>361</v>
      </c>
      <c r="B48" s="71"/>
      <c r="C48" s="70"/>
      <c r="D48" s="70">
        <f>F28+D43+D45+D46+D47</f>
        <v>-3.4561945795634306</v>
      </c>
    </row>
    <row r="49" spans="1:16" x14ac:dyDescent="0.2">
      <c r="P49" s="200"/>
    </row>
    <row r="51" spans="1:16" hidden="1" x14ac:dyDescent="0.2">
      <c r="A51" s="69"/>
      <c r="B51" s="69"/>
      <c r="C51" s="33"/>
      <c r="D51" s="33"/>
      <c r="E51" s="33"/>
      <c r="F51" s="33"/>
      <c r="G51" s="33"/>
      <c r="H51" s="33"/>
      <c r="I51" s="33"/>
    </row>
    <row r="53" spans="1:16" x14ac:dyDescent="0.2">
      <c r="E53" s="8" t="s">
        <v>586</v>
      </c>
    </row>
    <row r="54" spans="1:16" x14ac:dyDescent="0.2">
      <c r="E54" s="8" t="s">
        <v>537</v>
      </c>
    </row>
    <row r="55" spans="1:16" x14ac:dyDescent="0.2">
      <c r="E55" s="8" t="s">
        <v>0</v>
      </c>
    </row>
    <row r="56" spans="1:16" x14ac:dyDescent="0.2">
      <c r="E56" s="8" t="s">
        <v>342</v>
      </c>
    </row>
    <row r="58" spans="1:16" s="1" customFormat="1" x14ac:dyDescent="0.2">
      <c r="A58" s="21" t="s">
        <v>609</v>
      </c>
      <c r="B58" s="2"/>
      <c r="C58" s="4"/>
      <c r="D58" s="4"/>
      <c r="E58" s="4"/>
      <c r="F58" s="4"/>
      <c r="G58" s="4"/>
      <c r="H58" s="4"/>
      <c r="I58" s="4"/>
    </row>
    <row r="59" spans="1:16" s="1" customFormat="1" x14ac:dyDescent="0.2">
      <c r="A59" s="2" t="s">
        <v>6</v>
      </c>
      <c r="B59" s="2"/>
      <c r="C59" s="4"/>
      <c r="D59" s="4"/>
      <c r="E59" s="4"/>
      <c r="F59" s="4"/>
      <c r="G59" s="4"/>
      <c r="H59" s="4"/>
      <c r="I59" s="4"/>
    </row>
    <row r="60" spans="1:16" s="1" customFormat="1" x14ac:dyDescent="0.2">
      <c r="A60" s="83"/>
      <c r="B60" s="83"/>
      <c r="C60" s="82" t="s">
        <v>30</v>
      </c>
      <c r="D60" s="82" t="s">
        <v>31</v>
      </c>
      <c r="E60" s="4"/>
      <c r="F60" s="4"/>
      <c r="G60" s="4"/>
      <c r="H60" s="4"/>
      <c r="I60" s="4"/>
    </row>
    <row r="61" spans="1:16" s="1" customFormat="1" x14ac:dyDescent="0.2">
      <c r="A61" s="18" t="s">
        <v>92</v>
      </c>
      <c r="B61" s="18"/>
      <c r="C61" s="9" t="s">
        <v>145</v>
      </c>
      <c r="D61" s="9" t="s">
        <v>32</v>
      </c>
      <c r="E61" s="4"/>
      <c r="F61" s="4"/>
      <c r="G61" s="4"/>
      <c r="H61" s="4"/>
      <c r="I61" s="4"/>
    </row>
    <row r="62" spans="1:16" s="1" customFormat="1" ht="2.25" customHeight="1" x14ac:dyDescent="0.2">
      <c r="A62" s="2"/>
      <c r="B62" s="2"/>
      <c r="C62" s="4"/>
      <c r="D62" s="4"/>
      <c r="E62" s="4"/>
      <c r="F62" s="4"/>
      <c r="G62" s="4"/>
      <c r="H62" s="4"/>
      <c r="I62" s="4"/>
    </row>
    <row r="63" spans="1:16" s="1" customFormat="1" x14ac:dyDescent="0.2">
      <c r="A63" s="2" t="str">
        <f t="shared" ref="A63:A68" si="0">+A11</f>
        <v>December 2017</v>
      </c>
      <c r="B63" s="2"/>
      <c r="C63" s="4">
        <f>+SUM('[24]Murrey''s G-9 Reg.'!$AM$256,'[24]Murrey''s G-9 Reg.'!$AM$276,'[24]American G-87 Reg.'!$AL$252,'[24]American G-87 Reg.'!$AL$272)</f>
        <v>7119.9623540789198</v>
      </c>
      <c r="D63" s="4">
        <f>+'18th year actual (2nd half)'!R95</f>
        <v>2275.4791500000015</v>
      </c>
      <c r="E63" s="4" t="s">
        <v>596</v>
      </c>
      <c r="F63" s="4"/>
      <c r="G63" s="4"/>
      <c r="H63" s="4"/>
      <c r="I63" s="4"/>
    </row>
    <row r="64" spans="1:16" s="1" customFormat="1" x14ac:dyDescent="0.2">
      <c r="A64" s="15" t="str">
        <f t="shared" si="0"/>
        <v>January 2018</v>
      </c>
      <c r="B64" s="2"/>
      <c r="C64" s="4">
        <f>+'[25]Murrey''s G-9 Reg.'!$AN$256+'[25]Murrey''s G-9 Reg.'!$AN$276+'[25]American G-87 Reg.'!$AM$252+'[25]American G-87 Reg.'!$AM$272</f>
        <v>7531.905401517507</v>
      </c>
      <c r="D64" s="4">
        <f>'18th year actual (2nd half)'!R96</f>
        <v>-1807.7547866</v>
      </c>
      <c r="E64" s="4" t="s">
        <v>596</v>
      </c>
      <c r="F64" s="4"/>
      <c r="G64" s="4"/>
      <c r="H64" s="4"/>
      <c r="I64" s="4"/>
    </row>
    <row r="65" spans="1:9" s="1" customFormat="1" x14ac:dyDescent="0.2">
      <c r="A65" s="2" t="str">
        <f t="shared" si="0"/>
        <v>February</v>
      </c>
      <c r="B65" s="2"/>
      <c r="C65" s="4">
        <f>+'[25]Murrey''s G-9 Reg.'!$AO$256+'[25]Murrey''s G-9 Reg.'!$AO$276+'[25]American G-87 Reg.'!$AN$252+'[25]American G-87 Reg.'!$AN$272</f>
        <v>7491.7124157422886</v>
      </c>
      <c r="D65" s="4">
        <f>'18th year actual (2nd half)'!R97</f>
        <v>-2206.2555760000005</v>
      </c>
      <c r="E65" s="4"/>
      <c r="F65" s="4"/>
      <c r="G65" s="4"/>
      <c r="H65" s="4"/>
      <c r="I65" s="4"/>
    </row>
    <row r="66" spans="1:9" s="1" customFormat="1" x14ac:dyDescent="0.2">
      <c r="A66" s="2" t="str">
        <f t="shared" si="0"/>
        <v>March</v>
      </c>
      <c r="B66" s="2"/>
      <c r="C66" s="4">
        <f>+'[25]Murrey''s G-9 Reg.'!$AP$256+'[25]Murrey''s G-9 Reg.'!$AP$276+'[25]American G-87 Reg.'!$AO$252+'[25]American G-87 Reg.'!$AO$272</f>
        <v>7826.2925952748337</v>
      </c>
      <c r="D66" s="4">
        <f>'18th year actual (2nd half)'!R98</f>
        <v>-6030.3845755999992</v>
      </c>
      <c r="E66" s="4"/>
      <c r="F66" s="4"/>
      <c r="G66" s="4"/>
      <c r="H66" s="4"/>
      <c r="I66" s="4"/>
    </row>
    <row r="67" spans="1:9" s="1" customFormat="1" x14ac:dyDescent="0.2">
      <c r="A67" s="2" t="str">
        <f t="shared" si="0"/>
        <v>April</v>
      </c>
      <c r="B67" s="2"/>
      <c r="C67" s="4">
        <f>+'[25]Murrey''s G-9 Reg.'!$AQ$256+'[25]Murrey''s G-9 Reg.'!$AQ$276+'[25]American G-87 Reg.'!$AP$252+'[25]American G-87 Reg.'!$AP$272</f>
        <v>7410.6908034752005</v>
      </c>
      <c r="D67" s="4">
        <f>'18th year actual (2nd half)'!R99</f>
        <v>-6612.8048137199994</v>
      </c>
      <c r="E67" s="4"/>
      <c r="F67" s="4"/>
      <c r="G67" s="4"/>
      <c r="H67" s="4"/>
      <c r="I67" s="4"/>
    </row>
    <row r="68" spans="1:9" s="1" customFormat="1" x14ac:dyDescent="0.2">
      <c r="A68" s="2" t="str">
        <f t="shared" si="0"/>
        <v>May</v>
      </c>
      <c r="B68" s="2"/>
      <c r="C68" s="4">
        <f>+'[25]Murrey''s G-9 Reg.'!$AR$256+'[25]Murrey''s G-9 Reg.'!$AR$276+'[25]American G-87 Reg.'!$AQ$252+'[25]American G-87 Reg.'!$AQ$272</f>
        <v>7491.3205725639382</v>
      </c>
      <c r="D68" s="4">
        <f>'18th year actual (2nd half)'!R100</f>
        <v>-7140.3227491399985</v>
      </c>
      <c r="E68" s="4"/>
      <c r="F68" s="4"/>
      <c r="G68" s="4"/>
      <c r="H68" s="4"/>
      <c r="I68" s="4"/>
    </row>
    <row r="69" spans="1:9" s="1" customFormat="1" x14ac:dyDescent="0.2">
      <c r="A69" s="5" t="s">
        <v>96</v>
      </c>
      <c r="B69" s="5"/>
      <c r="C69" s="7">
        <f>SUM(C62:C68)</f>
        <v>44871.884142652692</v>
      </c>
      <c r="D69" s="7">
        <f>SUM(D62:D68)</f>
        <v>-21522.043351059998</v>
      </c>
      <c r="E69" s="4"/>
      <c r="F69" s="4"/>
      <c r="G69" s="4"/>
      <c r="H69" s="4"/>
      <c r="I69" s="4"/>
    </row>
    <row r="71" spans="1:9" x14ac:dyDescent="0.2">
      <c r="A71" s="5" t="s">
        <v>579</v>
      </c>
    </row>
    <row r="73" spans="1:9" x14ac:dyDescent="0.2">
      <c r="A73" s="2" t="s">
        <v>590</v>
      </c>
      <c r="D73" s="4" t="s">
        <v>577</v>
      </c>
      <c r="E73" s="4">
        <f>'18th year adj (1st half) Orig'!E105</f>
        <v>0.47589081897491819</v>
      </c>
    </row>
    <row r="74" spans="1:9" x14ac:dyDescent="0.2">
      <c r="A74" s="2" t="s">
        <v>590</v>
      </c>
      <c r="D74" s="4" t="s">
        <v>580</v>
      </c>
      <c r="E74" s="4">
        <f>'18th year adj (1st half) Orig'!G124</f>
        <v>9.1707362842210371E-2</v>
      </c>
    </row>
    <row r="76" spans="1:9" x14ac:dyDescent="0.2">
      <c r="A76" s="19" t="s">
        <v>594</v>
      </c>
      <c r="F76" s="4">
        <f>SUM(C63:C65)*E73+SUM(C66:C68)*E74</f>
        <v>12622.279321860482</v>
      </c>
    </row>
    <row r="78" spans="1:9" x14ac:dyDescent="0.2">
      <c r="A78" s="19" t="s">
        <v>589</v>
      </c>
      <c r="B78" s="19"/>
      <c r="C78" s="20"/>
      <c r="D78" s="20"/>
      <c r="E78" s="20"/>
      <c r="F78" s="20">
        <f>D69-F76</f>
        <v>-34144.322672920476</v>
      </c>
    </row>
    <row r="79" spans="1:9" x14ac:dyDescent="0.2">
      <c r="A79" s="188" t="s">
        <v>600</v>
      </c>
      <c r="B79" s="19"/>
      <c r="C79" s="20"/>
      <c r="D79" s="20"/>
      <c r="E79" s="20"/>
      <c r="F79" s="20">
        <f>SUM(C64:C68)</f>
        <v>37751.921788573767</v>
      </c>
    </row>
    <row r="80" spans="1:9" x14ac:dyDescent="0.2">
      <c r="A80" s="68" t="s">
        <v>601</v>
      </c>
      <c r="B80" s="13"/>
      <c r="C80" s="14"/>
      <c r="D80" s="14"/>
      <c r="E80" s="14"/>
      <c r="F80" s="14">
        <f>F78/F79</f>
        <v>-0.90443932534461891</v>
      </c>
    </row>
    <row r="83" spans="1:5" x14ac:dyDescent="0.2">
      <c r="A83" s="21" t="s">
        <v>609</v>
      </c>
    </row>
    <row r="84" spans="1:5" x14ac:dyDescent="0.2">
      <c r="A84" s="2" t="s">
        <v>6</v>
      </c>
    </row>
    <row r="85" spans="1:5" x14ac:dyDescent="0.2">
      <c r="A85" s="5"/>
      <c r="B85" s="5"/>
      <c r="C85" s="8" t="s">
        <v>30</v>
      </c>
      <c r="D85" s="8" t="s">
        <v>592</v>
      </c>
    </row>
    <row r="86" spans="1:5" x14ac:dyDescent="0.2">
      <c r="A86" s="18" t="s">
        <v>92</v>
      </c>
      <c r="B86" s="18"/>
      <c r="C86" s="9" t="s">
        <v>145</v>
      </c>
      <c r="D86" s="9" t="s">
        <v>32</v>
      </c>
    </row>
    <row r="87" spans="1:5" ht="7.5" customHeight="1" x14ac:dyDescent="0.2"/>
    <row r="88" spans="1:5" x14ac:dyDescent="0.2">
      <c r="A88" s="2" t="str">
        <f>+A64</f>
        <v>January 2018</v>
      </c>
      <c r="C88" s="4">
        <f>+'[25]Murrey''s G-9 Reg.'!$AN$256+'[25]Murrey''s G-9 Reg.'!$AN$276+'[25]American G-87 Reg.'!$AM$252+'[25]American G-87 Reg.'!$AM$272</f>
        <v>7531.905401517507</v>
      </c>
      <c r="D88" s="4">
        <f>+'18th year actual (2nd half)'!R107</f>
        <v>-5214.2668465999996</v>
      </c>
      <c r="E88" s="4" t="s">
        <v>597</v>
      </c>
    </row>
    <row r="89" spans="1:5" x14ac:dyDescent="0.2">
      <c r="A89" s="2" t="str">
        <f>+A65</f>
        <v>February</v>
      </c>
      <c r="C89" s="4">
        <f>+'[25]Murrey''s G-9 Reg.'!$AO$256+'[25]Murrey''s G-9 Reg.'!$AO$276+'[25]American G-87 Reg.'!$AN$252+'[25]American G-87 Reg.'!$AN$272</f>
        <v>7491.7124157422886</v>
      </c>
      <c r="D89" s="4">
        <f>+'18th year actual (2nd half)'!R108</f>
        <v>-5168.4399759999997</v>
      </c>
      <c r="E89" s="4" t="s">
        <v>597</v>
      </c>
    </row>
    <row r="90" spans="1:5" x14ac:dyDescent="0.2">
      <c r="A90" s="2" t="str">
        <f>+A66</f>
        <v>March</v>
      </c>
      <c r="C90" s="4">
        <f>+'[25]Murrey''s G-9 Reg.'!$AP$256+'[25]Murrey''s G-9 Reg.'!$AP$276+'[25]American G-87 Reg.'!$AO$252+'[25]American G-87 Reg.'!$AO$272</f>
        <v>7826.2925952748337</v>
      </c>
      <c r="D90" s="4">
        <f>+D66</f>
        <v>-6030.3845755999992</v>
      </c>
    </row>
    <row r="91" spans="1:5" x14ac:dyDescent="0.2">
      <c r="A91" s="2" t="str">
        <f>+A67</f>
        <v>April</v>
      </c>
      <c r="C91" s="4">
        <f>+'[25]Murrey''s G-9 Reg.'!$AQ$256+'[25]Murrey''s G-9 Reg.'!$AQ$276+'[25]American G-87 Reg.'!$AP$252+'[25]American G-87 Reg.'!$AP$272</f>
        <v>7410.6908034752005</v>
      </c>
      <c r="D91" s="4">
        <f>+D67</f>
        <v>-6612.8048137199994</v>
      </c>
    </row>
    <row r="92" spans="1:5" x14ac:dyDescent="0.2">
      <c r="A92" s="2" t="str">
        <f>+A68</f>
        <v>May</v>
      </c>
      <c r="C92" s="4">
        <f>+'[25]Murrey''s G-9 Reg.'!$AR$256+'[25]Murrey''s G-9 Reg.'!$AR$276+'[25]American G-87 Reg.'!$AQ$252+'[25]American G-87 Reg.'!$AQ$272</f>
        <v>7491.3205725639382</v>
      </c>
      <c r="D92" s="4">
        <f>+D68</f>
        <v>-7140.3227491399985</v>
      </c>
    </row>
    <row r="93" spans="1:5" x14ac:dyDescent="0.2">
      <c r="A93" s="2" t="s">
        <v>41</v>
      </c>
      <c r="C93" s="4">
        <f>+'[25]Murrey''s G-9 Reg.'!$AS$256+'[25]Murrey''s G-9 Reg.'!$AS$276+'[25]American G-87 Reg.'!$AR$252+'[25]American G-87 Reg.'!$AR$272</f>
        <v>7486.9001160319258</v>
      </c>
      <c r="D93" s="4">
        <f>'18th year actual (2nd half)'!R101</f>
        <v>-5804.5439797799991</v>
      </c>
    </row>
    <row r="94" spans="1:5" x14ac:dyDescent="0.2">
      <c r="A94" s="5" t="s">
        <v>96</v>
      </c>
      <c r="B94" s="5"/>
      <c r="C94" s="7">
        <f>SUM(C87:C93)</f>
        <v>45238.821904605691</v>
      </c>
      <c r="D94" s="7">
        <f>SUM(D87:D93)</f>
        <v>-35970.762940839995</v>
      </c>
    </row>
    <row r="96" spans="1:5" x14ac:dyDescent="0.2">
      <c r="A96" s="68" t="s">
        <v>602</v>
      </c>
      <c r="B96" s="13"/>
      <c r="C96" s="14"/>
      <c r="D96" s="14">
        <f>D94/SUM(C89:C93)</f>
        <v>-0.95395662856425822</v>
      </c>
    </row>
    <row r="98" spans="1:4" x14ac:dyDescent="0.2">
      <c r="A98" s="25" t="s">
        <v>587</v>
      </c>
      <c r="B98" s="25"/>
      <c r="C98" s="28"/>
      <c r="D98" s="34">
        <f>'18th year adj (1st half) Rev'!G118</f>
        <v>0.26423668029486247</v>
      </c>
    </row>
    <row r="99" spans="1:4" x14ac:dyDescent="0.2">
      <c r="A99" s="25" t="s">
        <v>604</v>
      </c>
      <c r="D99" s="34">
        <f>J47/(I47*5)</f>
        <v>3.0953448381431086E-2</v>
      </c>
    </row>
    <row r="100" spans="1:4" ht="15.75" thickBot="1" x14ac:dyDescent="0.25">
      <c r="A100" s="71" t="s">
        <v>361</v>
      </c>
      <c r="B100" s="71"/>
      <c r="C100" s="70"/>
      <c r="D100" s="70">
        <f>F80+D96+D98+D99</f>
        <v>-1.5632058252325833</v>
      </c>
    </row>
    <row r="101" spans="1:4" x14ac:dyDescent="0.2">
      <c r="A101" s="5"/>
    </row>
  </sheetData>
  <mergeCells count="4">
    <mergeCell ref="A1:G1"/>
    <mergeCell ref="A2:G2"/>
    <mergeCell ref="A3:G3"/>
    <mergeCell ref="A4:G4"/>
  </mergeCells>
  <pageMargins left="0.7" right="0.7" top="0.75" bottom="0.75" header="0.3" footer="0.3"/>
  <pageSetup scale="68" fitToHeight="2" orientation="portrait" r:id="rId1"/>
  <rowBreaks count="1" manualBreakCount="1">
    <brk id="51" max="9" man="1"/>
  </rowBreaks>
  <legacy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XFD108"/>
  <sheetViews>
    <sheetView showGridLines="0" view="pageBreakPreview" topLeftCell="B80" zoomScale="85" zoomScaleNormal="85" zoomScaleSheetLayoutView="85" workbookViewId="0">
      <selection activeCell="M13" sqref="M13"/>
    </sheetView>
  </sheetViews>
  <sheetFormatPr defaultRowHeight="15" x14ac:dyDescent="0.2"/>
  <cols>
    <col min="1" max="1" width="16.88671875" style="2" customWidth="1"/>
    <col min="2" max="3" width="11.5546875" style="4" bestFit="1" customWidth="1"/>
    <col min="4" max="4" width="10.5546875" style="4" bestFit="1" customWidth="1"/>
    <col min="5" max="5" width="12.44140625" style="4" customWidth="1"/>
    <col min="6" max="7" width="9" style="4" bestFit="1" customWidth="1"/>
    <col min="8" max="9" width="10" style="4" bestFit="1" customWidth="1"/>
    <col min="10" max="10" width="9.5546875" style="4" bestFit="1" customWidth="1"/>
    <col min="11" max="12" width="9" style="4" bestFit="1" customWidth="1"/>
    <col min="13" max="13" width="10.5546875" style="4" bestFit="1" customWidth="1"/>
    <col min="14" max="14" width="9" style="4" bestFit="1" customWidth="1"/>
    <col min="15" max="15" width="10.5546875" style="4" bestFit="1" customWidth="1"/>
    <col min="16" max="16" width="9.5546875" style="4" bestFit="1" customWidth="1"/>
    <col min="17" max="17" width="10.5546875" style="4" bestFit="1" customWidth="1"/>
    <col min="18" max="18" width="11.5546875" style="4" bestFit="1" customWidth="1"/>
    <col min="19" max="19" width="12.44140625" style="4" bestFit="1" customWidth="1"/>
    <col min="20" max="24" width="8.88671875" style="4"/>
    <col min="25" max="32" width="8.88671875" style="2"/>
  </cols>
  <sheetData>
    <row r="1" spans="1:18" x14ac:dyDescent="0.2">
      <c r="I1" s="8" t="s">
        <v>586</v>
      </c>
    </row>
    <row r="2" spans="1:18" x14ac:dyDescent="0.2">
      <c r="I2" s="8" t="s">
        <v>537</v>
      </c>
    </row>
    <row r="3" spans="1:18" x14ac:dyDescent="0.2">
      <c r="I3" s="8" t="s">
        <v>0</v>
      </c>
    </row>
    <row r="4" spans="1:18" x14ac:dyDescent="0.2">
      <c r="I4" s="8" t="s">
        <v>2</v>
      </c>
    </row>
    <row r="5" spans="1:18" x14ac:dyDescent="0.2">
      <c r="I5" s="8" t="s">
        <v>554</v>
      </c>
    </row>
    <row r="6" spans="1:18" x14ac:dyDescent="0.2">
      <c r="E6" s="8"/>
    </row>
    <row r="7" spans="1:18" x14ac:dyDescent="0.2">
      <c r="A7" s="21" t="s">
        <v>81</v>
      </c>
    </row>
    <row r="8" spans="1:18" x14ac:dyDescent="0.2">
      <c r="B8" s="8"/>
      <c r="C8" s="8"/>
      <c r="D8" s="8"/>
      <c r="E8" s="8"/>
      <c r="F8" s="8"/>
      <c r="G8" s="8" t="s">
        <v>6</v>
      </c>
      <c r="H8" s="8"/>
      <c r="I8" s="8"/>
      <c r="J8" s="8" t="s">
        <v>330</v>
      </c>
      <c r="K8" s="8"/>
      <c r="L8" s="8"/>
      <c r="M8" s="8"/>
      <c r="N8" s="8" t="s">
        <v>575</v>
      </c>
      <c r="O8" s="8" t="s">
        <v>581</v>
      </c>
      <c r="P8" s="8" t="s">
        <v>583</v>
      </c>
      <c r="Q8" s="8"/>
      <c r="R8" s="8"/>
    </row>
    <row r="9" spans="1:18" x14ac:dyDescent="0.2">
      <c r="B9" s="9" t="s">
        <v>14</v>
      </c>
      <c r="C9" s="9" t="s">
        <v>15</v>
      </c>
      <c r="D9" s="9" t="s">
        <v>16</v>
      </c>
      <c r="E9" s="9" t="s">
        <v>18</v>
      </c>
      <c r="F9" s="9" t="s">
        <v>19</v>
      </c>
      <c r="G9" s="9" t="s">
        <v>20</v>
      </c>
      <c r="H9" s="9" t="s">
        <v>21</v>
      </c>
      <c r="I9" s="9" t="s">
        <v>527</v>
      </c>
      <c r="J9" s="9" t="s">
        <v>528</v>
      </c>
      <c r="K9" s="9" t="s">
        <v>572</v>
      </c>
      <c r="L9" s="9" t="s">
        <v>573</v>
      </c>
      <c r="M9" s="9" t="s">
        <v>574</v>
      </c>
      <c r="N9" s="9" t="s">
        <v>576</v>
      </c>
      <c r="O9" s="9" t="s">
        <v>582</v>
      </c>
      <c r="P9" s="9" t="s">
        <v>582</v>
      </c>
      <c r="Q9" s="9" t="s">
        <v>333</v>
      </c>
      <c r="R9" s="9" t="s">
        <v>84</v>
      </c>
    </row>
    <row r="10" spans="1:18" x14ac:dyDescent="0.2">
      <c r="A10" s="5" t="s">
        <v>9</v>
      </c>
    </row>
    <row r="11" spans="1:18" x14ac:dyDescent="0.2">
      <c r="A11" s="2" t="s">
        <v>591</v>
      </c>
      <c r="B11" s="4">
        <f>+Support!$B$7*'[26]Pioneer Price'!$B$12</f>
        <v>338.3983133150968</v>
      </c>
      <c r="C11" s="4">
        <f>+Support!$B$7*'[26]Pioneer Price'!$B$14</f>
        <v>295.80272142928044</v>
      </c>
      <c r="D11" s="4">
        <f>+Support!$B$7*'[26]Pioneer Price'!$B$13</f>
        <v>398.74206848667006</v>
      </c>
      <c r="E11" s="4">
        <f>+Support!$B$7*'[26]Pioneer Price'!$B$23</f>
        <v>15.381741514322583</v>
      </c>
      <c r="F11" s="4">
        <f>+Support!$B$7*'[26]Pioneer Price'!$B$24</f>
        <v>35.496326571513649</v>
      </c>
      <c r="G11" s="4">
        <f>+Support!$B$7*'[26]Pioneer Price'!$B$16</f>
        <v>42.595591885816383</v>
      </c>
      <c r="H11" s="4">
        <f>+Support!$B$7*'[26]Pioneer Price'!$B$17</f>
        <v>10.648897971454096</v>
      </c>
      <c r="I11" s="4">
        <f>+Support!$B$7*'[26]Pioneer Price'!$B$18</f>
        <v>16.564952400039704</v>
      </c>
      <c r="J11" s="4">
        <f>+Support!$B$7*'[26]Pioneer Price'!$B$19</f>
        <v>5.9160544285856087</v>
      </c>
      <c r="K11" s="4">
        <v>0</v>
      </c>
      <c r="L11" s="4">
        <v>0</v>
      </c>
      <c r="M11" s="4">
        <v>0</v>
      </c>
      <c r="N11" s="4">
        <v>0</v>
      </c>
      <c r="O11" s="4">
        <v>0</v>
      </c>
      <c r="P11" s="4">
        <v>0</v>
      </c>
      <c r="Q11" s="4">
        <f>+Support!$B$7*'[26]Pioneer Price'!$B$26</f>
        <v>23.664217714342435</v>
      </c>
      <c r="R11" s="4">
        <f t="shared" ref="R11:R17" si="0">SUM(B11:Q11)</f>
        <v>1183.2108857171215</v>
      </c>
    </row>
    <row r="12" spans="1:18" x14ac:dyDescent="0.2">
      <c r="A12" s="2" t="str">
        <f>+'18th year adj (2nd half)'!A12</f>
        <v>January 2018</v>
      </c>
      <c r="B12" s="4">
        <f>+Support!$C$7*[27]Sheet1!$B$12</f>
        <v>594.22661157355378</v>
      </c>
      <c r="C12" s="4">
        <f>+Support!$C$7*[27]Sheet1!$B$14</f>
        <v>46.371037641425943</v>
      </c>
      <c r="D12" s="4">
        <f>+Support!$C$7*[27]Sheet1!$B$13</f>
        <v>374.48520567162802</v>
      </c>
      <c r="E12" s="4">
        <f>+Support!$C$7*[27]Sheet1!$B$23</f>
        <v>13.286083818610805</v>
      </c>
      <c r="F12" s="4">
        <f>+Support!$C$7*[27]Sheet1!$B$24</f>
        <v>28.916770664035283</v>
      </c>
      <c r="G12" s="4">
        <f>+Support!$C$7*[27]Sheet1!$B$16</f>
        <v>34.257255336221974</v>
      </c>
      <c r="H12" s="4">
        <f>+Support!$C$7*[27]Sheet1!$B$17</f>
        <v>13.937362437170156</v>
      </c>
      <c r="I12" s="4">
        <f>+Support!$C$7*[27]Sheet1!$B$18</f>
        <v>13.937362437170156</v>
      </c>
      <c r="J12" s="4">
        <f>+Support!$C$7*[27]Sheet1!$B$19</f>
        <v>0</v>
      </c>
      <c r="K12" s="4">
        <f>+Support!$C$7*[27]Sheet1!$B$20</f>
        <v>3.2563930927967659</v>
      </c>
      <c r="L12" s="4">
        <v>0</v>
      </c>
      <c r="M12" s="4">
        <f>+Support!$C$7*[27]Sheet1!$B$21</f>
        <v>106.67943772002205</v>
      </c>
      <c r="N12" s="4">
        <f>+Support!$C$7*[27]Sheet1!$B$25</f>
        <v>3.907671711356119</v>
      </c>
      <c r="O12" s="4">
        <v>0</v>
      </c>
      <c r="P12" s="4">
        <v>0</v>
      </c>
      <c r="Q12" s="4">
        <f>+Support!$C$7*[27]Sheet1!$B$26</f>
        <v>69.817067909562667</v>
      </c>
      <c r="R12" s="4">
        <f t="shared" si="0"/>
        <v>1303.0782600135537</v>
      </c>
    </row>
    <row r="13" spans="1:18" x14ac:dyDescent="0.2">
      <c r="A13" s="2" t="str">
        <f>+'18th year adj (2nd half)'!A13</f>
        <v>February</v>
      </c>
      <c r="B13" s="4">
        <f>+Support!$D$7*[28]Sheet1!$B$12</f>
        <v>422.3382531454202</v>
      </c>
      <c r="C13" s="4">
        <f>+Support!$D$7*[28]Sheet1!$B$14</f>
        <v>32.957566444491363</v>
      </c>
      <c r="D13" s="4">
        <f>+Support!$D$7*[28]Sheet1!$B$13</f>
        <v>266.16012226941757</v>
      </c>
      <c r="E13" s="4">
        <f>+Support!$D$7*[28]Sheet1!$B$23</f>
        <v>9.4428982509497725</v>
      </c>
      <c r="F13" s="4">
        <f>+Support!$D$7*[28]Sheet1!$B$24</f>
        <v>20.552190310890683</v>
      </c>
      <c r="G13" s="4">
        <f>+Support!$D$7*[28]Sheet1!$B$16</f>
        <v>24.347865098037158</v>
      </c>
      <c r="H13" s="4">
        <f>+Support!$D$7*[28]Sheet1!$B$17</f>
        <v>9.9057854201139754</v>
      </c>
      <c r="I13" s="4">
        <f>+Support!$D$7*[28]Sheet1!$B$18</f>
        <v>9.9057854201139754</v>
      </c>
      <c r="J13" s="4">
        <f>+Support!$D$7*[28]Sheet1!$B$19</f>
        <v>0</v>
      </c>
      <c r="K13" s="4">
        <f>+Support!$D$7*[28]Sheet1!$B$20</f>
        <v>2.3144358458210226</v>
      </c>
      <c r="L13" s="4">
        <v>0</v>
      </c>
      <c r="M13" s="4">
        <f>+Support!$D$7*[28]Sheet1!$B$21</f>
        <v>75.820918309096697</v>
      </c>
      <c r="N13" s="4">
        <f>+Support!$D$7*[28]Sheet1!$B$25</f>
        <v>2.7773230149852273</v>
      </c>
      <c r="O13" s="4">
        <f>+Support!$D$7*[28]Sheet1!$B$26</f>
        <v>47.214491254748857</v>
      </c>
      <c r="P13" s="4">
        <f>+Support!$D$7*[28]Sheet1!$B$27</f>
        <v>2.4070132796538632</v>
      </c>
      <c r="Q13" s="4">
        <v>0</v>
      </c>
      <c r="R13" s="4">
        <f t="shared" si="0"/>
        <v>926.14464806374008</v>
      </c>
    </row>
    <row r="14" spans="1:18" x14ac:dyDescent="0.2">
      <c r="A14" s="2" t="str">
        <f>+'18th year adj (2nd half)'!A14</f>
        <v>March</v>
      </c>
      <c r="B14" s="4">
        <f>+Support!$E$7*[29]Sheet1!$B$12</f>
        <v>556.96564067098313</v>
      </c>
      <c r="C14" s="4">
        <f>+Support!$E$7*[29]Sheet1!$B$14</f>
        <v>43.46334241097545</v>
      </c>
      <c r="D14" s="4">
        <f>+Support!$E$7*[29]Sheet1!$B$13</f>
        <v>351.00311638077079</v>
      </c>
      <c r="E14" s="4">
        <f>+Support!$E$7*[29]Sheet1!$B$23</f>
        <v>12.452980128987349</v>
      </c>
      <c r="F14" s="4">
        <f>+Support!$E$7*[29]Sheet1!$B$24</f>
        <v>27.103544986619521</v>
      </c>
      <c r="G14" s="4">
        <f>+Support!$E$7*[29]Sheet1!$B$16</f>
        <v>32.109154646310515</v>
      </c>
      <c r="H14" s="4">
        <f>+Support!$E$7*[29]Sheet1!$B$17</f>
        <v>13.063420331388688</v>
      </c>
      <c r="I14" s="4">
        <f>+Support!$E$7*[29]Sheet1!$B$18</f>
        <v>13.063420331388688</v>
      </c>
      <c r="J14" s="4">
        <f>+Support!$E$7*[29]Sheet1!$B$19</f>
        <v>0</v>
      </c>
      <c r="K14" s="4">
        <f>+Support!$E$7*[29]Sheet1!$B$20</f>
        <v>3.0522010120067029</v>
      </c>
      <c r="L14" s="4">
        <v>0</v>
      </c>
      <c r="M14" s="4">
        <f>+Support!$E$7*[29]Sheet1!$B$21</f>
        <v>99.990105153339584</v>
      </c>
      <c r="N14" s="4">
        <f>+Support!$E$7*[29]Sheet1!$B$25</f>
        <v>3.6626412144080436</v>
      </c>
      <c r="O14" s="4">
        <f>+Support!$E$7*[29]Sheet1!$B$26</f>
        <v>62.264900644936738</v>
      </c>
      <c r="P14" s="4">
        <f>+Support!$E$7*[29]Sheet1!$B$27</f>
        <v>3.1742890524869707</v>
      </c>
      <c r="Q14" s="4">
        <v>0</v>
      </c>
      <c r="R14" s="4">
        <f t="shared" si="0"/>
        <v>1221.368756964602</v>
      </c>
    </row>
    <row r="15" spans="1:18" x14ac:dyDescent="0.2">
      <c r="A15" s="2" t="str">
        <f>+'18th year adj (2nd half)'!A15</f>
        <v>April</v>
      </c>
      <c r="B15" s="4">
        <f>+Support!$F$7*[30]Sheet1!$B$12</f>
        <v>0</v>
      </c>
      <c r="C15" s="4">
        <f>+Support!$F$7*[30]Sheet1!$B$14</f>
        <v>627.68808563103437</v>
      </c>
      <c r="D15" s="4">
        <f>+Support!$F$7*[30]Sheet1!$B$13</f>
        <v>233.50459170804592</v>
      </c>
      <c r="E15" s="4">
        <f>+Support!$F$7*[30]Sheet1!$B$23</f>
        <v>11.790825917931031</v>
      </c>
      <c r="F15" s="4">
        <f>+Support!$F$7*[30]Sheet1!$B$24</f>
        <v>25.662385821379303</v>
      </c>
      <c r="G15" s="4">
        <f>+Support!$F$7*[30]Sheet1!$B$16</f>
        <v>31.557798780344818</v>
      </c>
      <c r="H15" s="4">
        <f>+Support!$F$7*[30]Sheet1!$B$17</f>
        <v>12.368807580574709</v>
      </c>
      <c r="I15" s="4">
        <f>+Support!$F$7*[30]Sheet1!$B$18</f>
        <v>12.368807580574709</v>
      </c>
      <c r="J15" s="4">
        <f>+Support!$F$7*[30]Sheet1!$B$19</f>
        <v>5.6642202939080439</v>
      </c>
      <c r="K15" s="4">
        <v>0</v>
      </c>
      <c r="L15" s="4">
        <f>+Support!$F$7*[30]Sheet1!$B$20</f>
        <v>4.6238533011494241</v>
      </c>
      <c r="M15" s="4">
        <f>+Support!$F$7*[30]Sheet1!$B$21</f>
        <v>94.673396341034447</v>
      </c>
      <c r="N15" s="4">
        <f>+Support!$F$7*[30]Sheet1!$B$25</f>
        <v>3.467889975862068</v>
      </c>
      <c r="O15" s="4">
        <f>+Support!$F$7*[30]Sheet1!$B$26</f>
        <v>89.24036871218388</v>
      </c>
      <c r="P15" s="4">
        <f>+Support!$F$7*[30]Sheet1!$B$27</f>
        <v>3.0055046457471253</v>
      </c>
      <c r="Q15" s="4">
        <v>0</v>
      </c>
      <c r="R15" s="4">
        <f t="shared" si="0"/>
        <v>1155.61653628977</v>
      </c>
    </row>
    <row r="16" spans="1:18" x14ac:dyDescent="0.2">
      <c r="A16" s="2" t="str">
        <f>+'18th year adj (2nd half)'!A16</f>
        <v>May</v>
      </c>
      <c r="B16" s="4">
        <f>+Support!$G$7*'[31]Pioneer Price'!$B$12</f>
        <v>0</v>
      </c>
      <c r="C16" s="4">
        <f>+Support!$G$7*'[31]Pioneer Price'!$B$14</f>
        <v>708.11052824771491</v>
      </c>
      <c r="D16" s="4">
        <f>+Support!$G$7*'[31]Pioneer Price'!$B$13</f>
        <v>263.81355407829233</v>
      </c>
      <c r="E16" s="4">
        <f>+Support!$G$7*'[31]Pioneer Price'!$B$23</f>
        <v>13.301523735039948</v>
      </c>
      <c r="F16" s="4">
        <f>+Support!$G$7*'[31]Pioneer Price'!$B$24</f>
        <v>28.950375188028122</v>
      </c>
      <c r="G16" s="4">
        <f>+Support!$G$7*'[31]Pioneer Price'!$B$16</f>
        <v>35.601137055548101</v>
      </c>
      <c r="H16" s="4">
        <f>+Support!$G$7*'[31]Pioneer Price'!$B$17</f>
        <v>13.953559212247788</v>
      </c>
      <c r="I16" s="4">
        <f>+Support!$G$7*'[31]Pioneer Price'!$B$18</f>
        <v>13.953559212247788</v>
      </c>
      <c r="J16" s="4">
        <f>+Support!$G$7*'[31]Pioneer Price'!$B$19</f>
        <v>6.3899476766368375</v>
      </c>
      <c r="K16" s="4">
        <v>0</v>
      </c>
      <c r="L16" s="4">
        <f>+Support!$G$7*'[31]Pioneer Price'!$B$20</f>
        <v>5.2162838176627249</v>
      </c>
      <c r="M16" s="4">
        <f>+Support!$G$7*'[31]Pioneer Price'!$B$21</f>
        <v>106.8034111666443</v>
      </c>
      <c r="N16" s="4">
        <f>+Support!$G$7*'[31]Pioneer Price'!$B$25</f>
        <v>3.9122128632470434</v>
      </c>
      <c r="O16" s="4">
        <f>+Support!$G$7*'[31]Pioneer Price'!$B$26</f>
        <v>100.6742776808906</v>
      </c>
      <c r="P16" s="4">
        <f>+Support!$G$7*'[31]Pioneer Price'!$B$27</f>
        <v>3.3905844814807709</v>
      </c>
      <c r="Q16" s="4">
        <v>0</v>
      </c>
      <c r="R16" s="4">
        <f t="shared" si="0"/>
        <v>1304.0709544156812</v>
      </c>
    </row>
    <row r="17" spans="1:32" x14ac:dyDescent="0.2">
      <c r="A17" s="2" t="s">
        <v>41</v>
      </c>
      <c r="B17" s="4">
        <f>+Support!$H$7*'[32]Pioneer Price'!$B$12</f>
        <v>0</v>
      </c>
      <c r="C17" s="4">
        <f>+Support!$H$7*'[32]Pioneer Price'!$B$14</f>
        <v>645.17734418026112</v>
      </c>
      <c r="D17" s="4">
        <f>+Support!$H$7*'[32]Pioneer Price'!$B$13</f>
        <v>240.36717629404572</v>
      </c>
      <c r="E17" s="4">
        <f>+Support!$H$7*'[32]Pioneer Price'!$B$23</f>
        <v>12.119353426590541</v>
      </c>
      <c r="F17" s="4">
        <f>+Support!$H$7*'[32]Pioneer Price'!$B$24</f>
        <v>26.377416281402944</v>
      </c>
      <c r="G17" s="4">
        <f>+Support!$H$7*'[32]Pioneer Price'!$B$16</f>
        <v>32.437092994698212</v>
      </c>
      <c r="H17" s="4">
        <f>+Support!$H$7*'[32]Pioneer Price'!$B$17</f>
        <v>12.713439378874389</v>
      </c>
      <c r="I17" s="4">
        <f>+Support!$H$7*'[32]Pioneer Price'!$B$18</f>
        <v>12.713439378874389</v>
      </c>
      <c r="J17" s="4">
        <f>+Support!$H$7*'[32]Pioneer Price'!$B$19</f>
        <v>5.8220423323817299</v>
      </c>
      <c r="K17" s="4">
        <v>0</v>
      </c>
      <c r="L17" s="4">
        <f>+Support!$H$7*'[32]Pioneer Price'!$B$20</f>
        <v>4.7526876182708007</v>
      </c>
      <c r="M17" s="4">
        <f>+Support!$H$7*'[32]Pioneer Price'!$B$21</f>
        <v>97.311278984094628</v>
      </c>
      <c r="N17" s="4">
        <f>+Support!$H$7*'[32]Pioneer Price'!$B$25</f>
        <v>3.5645157137031003</v>
      </c>
      <c r="O17" s="4">
        <f>+Support!$H$7*'[32]Pioneer Price'!$B$26</f>
        <v>91.726871032626448</v>
      </c>
      <c r="P17" s="4">
        <f>+Support!$H$7*'[32]Pioneer Price'!$B$27</f>
        <v>3.0892469518760199</v>
      </c>
      <c r="Q17" s="4">
        <v>0</v>
      </c>
      <c r="R17" s="4">
        <f t="shared" si="0"/>
        <v>1188.1719045676998</v>
      </c>
      <c r="S17" s="6" t="s">
        <v>22</v>
      </c>
    </row>
    <row r="18" spans="1:32" x14ac:dyDescent="0.2">
      <c r="A18" s="5" t="s">
        <v>22</v>
      </c>
      <c r="B18" s="7">
        <f t="shared" ref="B18:Q18" si="1">SUM(B11:B17)</f>
        <v>1911.9288187050538</v>
      </c>
      <c r="C18" s="7">
        <f t="shared" si="1"/>
        <v>2399.5706259851836</v>
      </c>
      <c r="D18" s="7">
        <f t="shared" si="1"/>
        <v>2128.0758348888703</v>
      </c>
      <c r="E18" s="7">
        <f t="shared" si="1"/>
        <v>87.775406792432022</v>
      </c>
      <c r="F18" s="7">
        <f t="shared" si="1"/>
        <v>193.05900982386953</v>
      </c>
      <c r="G18" s="7">
        <f t="shared" si="1"/>
        <v>232.90589579697718</v>
      </c>
      <c r="H18" s="7">
        <f t="shared" si="1"/>
        <v>86.591272331823788</v>
      </c>
      <c r="I18" s="7">
        <f t="shared" si="1"/>
        <v>92.507326760409399</v>
      </c>
      <c r="J18" s="7">
        <f t="shared" si="1"/>
        <v>23.792264731512219</v>
      </c>
      <c r="K18" s="7">
        <f t="shared" si="1"/>
        <v>8.6230299506244918</v>
      </c>
      <c r="L18" s="7">
        <f t="shared" si="1"/>
        <v>14.59282473708295</v>
      </c>
      <c r="M18" s="7">
        <f t="shared" si="1"/>
        <v>581.27854767423173</v>
      </c>
      <c r="N18" s="7">
        <f t="shared" si="1"/>
        <v>21.2922544935616</v>
      </c>
      <c r="O18" s="7">
        <f t="shared" si="1"/>
        <v>391.12090932538649</v>
      </c>
      <c r="P18" s="7">
        <f t="shared" si="1"/>
        <v>15.06663841124475</v>
      </c>
      <c r="Q18" s="7">
        <f t="shared" si="1"/>
        <v>93.481285623905109</v>
      </c>
      <c r="R18" s="7">
        <f>SUM(R11:R17)</f>
        <v>8281.661946032169</v>
      </c>
      <c r="S18" s="6">
        <f>R18+R77</f>
        <v>8778.5167590321689</v>
      </c>
    </row>
    <row r="19" spans="1:32" x14ac:dyDescent="0.2">
      <c r="S19" s="66">
        <f>+S18-Support!I8</f>
        <v>1.0977087945138919</v>
      </c>
      <c r="T19" s="187" t="s">
        <v>599</v>
      </c>
    </row>
    <row r="20" spans="1:32" x14ac:dyDescent="0.2">
      <c r="A20" s="2" t="s">
        <v>117</v>
      </c>
      <c r="B20" s="16">
        <f t="shared" ref="B20:Q20" si="2">B18/$R$18</f>
        <v>0.23086293924628001</v>
      </c>
      <c r="C20" s="16">
        <f t="shared" si="2"/>
        <v>0.2897450586152992</v>
      </c>
      <c r="D20" s="16">
        <f t="shared" si="2"/>
        <v>0.25696241270853293</v>
      </c>
      <c r="E20" s="16">
        <f t="shared" si="2"/>
        <v>1.0598767175528837E-2</v>
      </c>
      <c r="F20" s="16">
        <f t="shared" si="2"/>
        <v>2.33116264684489E-2</v>
      </c>
      <c r="G20" s="16">
        <f t="shared" si="2"/>
        <v>2.8123086563387779E-2</v>
      </c>
      <c r="H20" s="16">
        <f t="shared" si="2"/>
        <v>1.045578446646335E-2</v>
      </c>
      <c r="I20" s="16">
        <f t="shared" si="2"/>
        <v>1.1170140409405461E-2</v>
      </c>
      <c r="J20" s="16">
        <f t="shared" si="2"/>
        <v>2.8728852839630024E-3</v>
      </c>
      <c r="K20" s="16">
        <f t="shared" si="2"/>
        <v>1.041219746328317E-3</v>
      </c>
      <c r="L20" s="16">
        <f t="shared" si="2"/>
        <v>1.7620647681803197E-3</v>
      </c>
      <c r="M20" s="16">
        <f t="shared" si="2"/>
        <v>7.0188635018207712E-2</v>
      </c>
      <c r="N20" s="16">
        <f t="shared" si="2"/>
        <v>2.57101227172922E-3</v>
      </c>
      <c r="O20" s="16">
        <f t="shared" si="2"/>
        <v>4.7227345413776108E-2</v>
      </c>
      <c r="P20" s="16">
        <f t="shared" si="2"/>
        <v>1.8192771583079811E-3</v>
      </c>
      <c r="Q20" s="16">
        <f t="shared" si="2"/>
        <v>1.1287744686160846E-2</v>
      </c>
    </row>
    <row r="22" spans="1:32" x14ac:dyDescent="0.2">
      <c r="G22" s="4" t="s">
        <v>6</v>
      </c>
      <c r="J22" s="8" t="s">
        <v>330</v>
      </c>
      <c r="K22" s="8"/>
      <c r="L22" s="8"/>
      <c r="M22" s="8"/>
      <c r="N22" s="8" t="s">
        <v>575</v>
      </c>
      <c r="O22" s="8" t="s">
        <v>581</v>
      </c>
      <c r="P22" s="8" t="s">
        <v>583</v>
      </c>
    </row>
    <row r="23" spans="1:32" s="1" customFormat="1" x14ac:dyDescent="0.2">
      <c r="A23" s="2"/>
      <c r="B23" s="9" t="s">
        <v>14</v>
      </c>
      <c r="C23" s="9" t="s">
        <v>15</v>
      </c>
      <c r="D23" s="9" t="s">
        <v>16</v>
      </c>
      <c r="E23" s="9" t="s">
        <v>18</v>
      </c>
      <c r="F23" s="9" t="s">
        <v>19</v>
      </c>
      <c r="G23" s="9" t="s">
        <v>20</v>
      </c>
      <c r="H23" s="9" t="s">
        <v>21</v>
      </c>
      <c r="I23" s="9" t="s">
        <v>527</v>
      </c>
      <c r="J23" s="9" t="s">
        <v>528</v>
      </c>
      <c r="K23" s="9" t="s">
        <v>572</v>
      </c>
      <c r="L23" s="9" t="s">
        <v>573</v>
      </c>
      <c r="M23" s="9" t="s">
        <v>574</v>
      </c>
      <c r="N23" s="9" t="s">
        <v>576</v>
      </c>
      <c r="O23" s="9" t="s">
        <v>582</v>
      </c>
      <c r="P23" s="9" t="s">
        <v>582</v>
      </c>
      <c r="Q23" s="9" t="s">
        <v>333</v>
      </c>
      <c r="R23" s="9"/>
      <c r="S23" s="4"/>
      <c r="T23" s="4"/>
      <c r="U23" s="4"/>
      <c r="V23" s="4"/>
      <c r="W23" s="4"/>
      <c r="X23" s="4"/>
      <c r="Y23" s="2"/>
      <c r="Z23" s="2"/>
      <c r="AA23" s="2"/>
      <c r="AB23" s="2"/>
      <c r="AC23" s="2"/>
      <c r="AD23" s="2"/>
      <c r="AE23" s="2"/>
      <c r="AF23" s="2"/>
    </row>
    <row r="24" spans="1:32" s="1" customFormat="1" x14ac:dyDescent="0.2">
      <c r="A24" s="5" t="s">
        <v>86</v>
      </c>
      <c r="B24" s="4"/>
      <c r="C24" s="4"/>
      <c r="D24" s="4"/>
      <c r="E24" s="4"/>
      <c r="F24" s="4">
        <f>SUM(C11:C13)*E21+SUM(C14:C16)*E22</f>
        <v>0</v>
      </c>
      <c r="G24" s="4"/>
      <c r="H24" s="4"/>
      <c r="I24" s="4"/>
      <c r="J24" s="4"/>
      <c r="K24" s="4"/>
      <c r="L24" s="4"/>
      <c r="M24" s="4"/>
      <c r="N24" s="4"/>
      <c r="O24" s="4"/>
      <c r="P24" s="4"/>
      <c r="Q24" s="4"/>
      <c r="R24" s="4"/>
      <c r="S24" s="4"/>
      <c r="T24" s="4"/>
      <c r="U24" s="4"/>
      <c r="V24" s="4"/>
      <c r="W24" s="4"/>
      <c r="X24" s="4"/>
      <c r="Y24" s="2"/>
      <c r="Z24" s="2"/>
      <c r="AA24" s="2"/>
      <c r="AB24" s="2"/>
      <c r="AC24" s="2"/>
      <c r="AD24" s="2"/>
      <c r="AE24" s="2"/>
      <c r="AF24" s="2"/>
    </row>
    <row r="25" spans="1:32" s="1" customFormat="1" x14ac:dyDescent="0.2">
      <c r="A25" s="2" t="str">
        <f t="shared" ref="A25:A31" si="3">+A11</f>
        <v>December 2017</v>
      </c>
      <c r="B25" s="4">
        <f>+'[15]No Glass'!$F$12</f>
        <v>12.170000000000009</v>
      </c>
      <c r="C25" s="4">
        <f>+'[15]No Glass'!$F$14</f>
        <v>-67.829999999999984</v>
      </c>
      <c r="D25" s="4">
        <f>+'[15]No Glass'!$F$13</f>
        <v>67.170000000000016</v>
      </c>
      <c r="E25" s="4">
        <f>+'[15]No Glass'!$F$23</f>
        <v>1282.17</v>
      </c>
      <c r="F25" s="4">
        <f>+'[15]No Glass'!$F$24</f>
        <v>82.170000000000016</v>
      </c>
      <c r="G25" s="4">
        <f>+'[15]No Glass'!$F$16</f>
        <v>17.170000000000009</v>
      </c>
      <c r="H25" s="4">
        <f>+'[15]No Glass'!$F$17</f>
        <v>202.17000000000002</v>
      </c>
      <c r="I25" s="4">
        <f>+'[15]No Glass'!$F$18</f>
        <v>532.16999999999996</v>
      </c>
      <c r="J25" s="4">
        <f>+'[15]No Glass'!$F$19</f>
        <v>-157.82999999999998</v>
      </c>
      <c r="K25" s="4">
        <v>0</v>
      </c>
      <c r="L25" s="4">
        <v>0</v>
      </c>
      <c r="M25" s="4">
        <v>0</v>
      </c>
      <c r="N25" s="4">
        <v>0</v>
      </c>
      <c r="O25" s="4">
        <v>0</v>
      </c>
      <c r="P25" s="4">
        <v>0</v>
      </c>
      <c r="Q25" s="4">
        <f>+'[15]No Glass'!$F$26</f>
        <v>-222.82999999999998</v>
      </c>
      <c r="R25" s="4"/>
      <c r="S25" s="4"/>
      <c r="T25" s="4"/>
      <c r="U25" s="4"/>
      <c r="V25" s="4"/>
      <c r="W25" s="4"/>
      <c r="X25" s="4"/>
      <c r="Y25" s="2"/>
      <c r="Z25" s="2"/>
      <c r="AA25" s="2"/>
      <c r="AB25" s="2"/>
      <c r="AC25" s="2"/>
      <c r="AD25" s="2"/>
      <c r="AE25" s="2"/>
      <c r="AF25" s="2"/>
    </row>
    <row r="26" spans="1:32" s="1" customFormat="1" x14ac:dyDescent="0.2">
      <c r="A26" s="2" t="str">
        <f t="shared" si="3"/>
        <v>January 2018</v>
      </c>
      <c r="B26" s="4">
        <f>+[27]Sheet1!$H$12</f>
        <v>-89.78</v>
      </c>
      <c r="C26" s="4">
        <f>+[27]Sheet1!$H$14</f>
        <v>-89.78</v>
      </c>
      <c r="D26" s="4">
        <f>+[27]Sheet1!$H$13</f>
        <v>65.22</v>
      </c>
      <c r="E26" s="4">
        <f>+[27]Sheet1!$H$23</f>
        <v>1320.22</v>
      </c>
      <c r="F26" s="4">
        <f>+[27]Sheet1!$H$24</f>
        <v>102.22</v>
      </c>
      <c r="G26" s="4">
        <f>+[27]Sheet1!$H$16</f>
        <v>15.220000000000006</v>
      </c>
      <c r="H26" s="4">
        <f>+[27]Sheet1!$H$17</f>
        <v>190.22</v>
      </c>
      <c r="I26" s="4">
        <f>+[27]Sheet1!$H$18</f>
        <v>560.22</v>
      </c>
      <c r="J26" s="4">
        <f>+[27]Sheet1!$H$19</f>
        <v>-159.78</v>
      </c>
      <c r="K26" s="4">
        <f>+[27]Sheet1!$H$20</f>
        <v>-19.78</v>
      </c>
      <c r="L26" s="4">
        <v>0</v>
      </c>
      <c r="M26" s="4">
        <f>+[27]Sheet1!$H$21</f>
        <v>-120.78</v>
      </c>
      <c r="N26" s="4">
        <f>+[27]Sheet1!$H$25</f>
        <v>0.22000000000000597</v>
      </c>
      <c r="O26" s="4">
        <v>0</v>
      </c>
      <c r="P26" s="4">
        <v>0</v>
      </c>
      <c r="Q26" s="4">
        <f>+[27]Sheet1!$H$26</f>
        <v>-237.15999999999997</v>
      </c>
      <c r="R26" s="4"/>
      <c r="S26" s="4"/>
      <c r="T26" s="4"/>
      <c r="U26" s="4"/>
      <c r="V26" s="4"/>
      <c r="W26" s="4"/>
      <c r="X26" s="4"/>
      <c r="Y26" s="2"/>
      <c r="Z26" s="2"/>
      <c r="AA26" s="2"/>
      <c r="AB26" s="2"/>
      <c r="AC26" s="2"/>
      <c r="AD26" s="2"/>
      <c r="AE26" s="2"/>
      <c r="AF26" s="2"/>
    </row>
    <row r="27" spans="1:32" s="1" customFormat="1" x14ac:dyDescent="0.2">
      <c r="A27" s="2" t="str">
        <f t="shared" si="3"/>
        <v>February</v>
      </c>
      <c r="B27" s="4">
        <f>+[28]Sheet1!$H$12</f>
        <v>-89.78</v>
      </c>
      <c r="C27" s="4">
        <f>+[28]Sheet1!$H$14</f>
        <v>-89.78</v>
      </c>
      <c r="D27" s="4">
        <f>+[28]Sheet1!$H$13</f>
        <v>10.220000000000006</v>
      </c>
      <c r="E27" s="4">
        <f>+[28]Sheet1!$H$23</f>
        <v>1320.22</v>
      </c>
      <c r="F27" s="4">
        <f>[28]Sheet1!$H$24</f>
        <v>97.22</v>
      </c>
      <c r="G27" s="4">
        <f>+[28]Sheet1!$H$16</f>
        <v>25.220000000000006</v>
      </c>
      <c r="H27" s="4">
        <f>+[28]Sheet1!$H$17</f>
        <v>240.22</v>
      </c>
      <c r="I27" s="4">
        <f>+[28]Sheet1!$H$18</f>
        <v>540.22</v>
      </c>
      <c r="J27" s="4">
        <f>+[28]Sheet1!$H$19</f>
        <v>-159.78</v>
      </c>
      <c r="K27" s="4">
        <f>+[28]Sheet1!$H$20</f>
        <v>-19.78</v>
      </c>
      <c r="L27" s="4">
        <v>0</v>
      </c>
      <c r="M27" s="4">
        <f>+[28]Sheet1!$H$21</f>
        <v>-120.78</v>
      </c>
      <c r="N27" s="4">
        <f>+[28]Sheet1!$H$25</f>
        <v>0.22000000000000597</v>
      </c>
      <c r="O27" s="4">
        <f>+[28]Sheet1!$H$26</f>
        <v>-125.4</v>
      </c>
      <c r="P27" s="4">
        <f>+[28]Sheet1!$H$27</f>
        <v>-237.15999999999997</v>
      </c>
      <c r="Q27" s="4">
        <v>0</v>
      </c>
      <c r="R27" s="4"/>
      <c r="S27" s="4"/>
      <c r="T27" s="4"/>
      <c r="U27" s="4"/>
      <c r="V27" s="4"/>
      <c r="W27" s="4"/>
      <c r="X27" s="4"/>
      <c r="Y27" s="2"/>
      <c r="Z27" s="2"/>
      <c r="AA27" s="2"/>
      <c r="AB27" s="2"/>
      <c r="AC27" s="2"/>
      <c r="AD27" s="2"/>
      <c r="AE27" s="2"/>
      <c r="AF27" s="2"/>
    </row>
    <row r="28" spans="1:32" s="1" customFormat="1" x14ac:dyDescent="0.2">
      <c r="A28" s="2" t="str">
        <f t="shared" si="3"/>
        <v>March</v>
      </c>
      <c r="B28" s="4">
        <f>+[29]Sheet1!$F$12</f>
        <v>-142.78</v>
      </c>
      <c r="C28" s="4">
        <f>+[29]Sheet1!$F$14</f>
        <v>-142.78</v>
      </c>
      <c r="D28" s="4">
        <f>+[29]Sheet1!$F$13</f>
        <v>-46.779999999999994</v>
      </c>
      <c r="E28" s="4">
        <f>+[29]Sheet1!$F$23</f>
        <v>1305.22</v>
      </c>
      <c r="F28" s="4">
        <f>+[29]Sheet1!$F$24</f>
        <v>62.220000000000006</v>
      </c>
      <c r="G28" s="4">
        <f>+[29]Sheet1!$F$16</f>
        <v>35.220000000000006</v>
      </c>
      <c r="H28" s="4">
        <f>+[29]Sheet1!$F$17</f>
        <v>215.22</v>
      </c>
      <c r="I28" s="4">
        <f>+[29]Sheet1!$F$18</f>
        <v>535.22</v>
      </c>
      <c r="J28" s="4">
        <f>+[29]Sheet1!$F$19</f>
        <v>-204.78</v>
      </c>
      <c r="K28" s="4">
        <f>+[29]Sheet1!$F$20</f>
        <v>-64.78</v>
      </c>
      <c r="L28" s="4">
        <v>0</v>
      </c>
      <c r="M28" s="4">
        <f>+[29]Sheet1!$F$21</f>
        <v>-165.78</v>
      </c>
      <c r="N28" s="4">
        <f>+[29]Sheet1!$F$25</f>
        <v>-44.779999999999994</v>
      </c>
      <c r="O28" s="4">
        <f>+[29]Sheet1!$F$26</f>
        <v>-170.4</v>
      </c>
      <c r="P28" s="4">
        <f>+[29]Sheet1!$F$27</f>
        <v>-282.15999999999997</v>
      </c>
      <c r="Q28" s="4">
        <v>0</v>
      </c>
      <c r="R28" s="4"/>
      <c r="S28" s="4"/>
      <c r="T28" s="4"/>
      <c r="U28" s="4"/>
      <c r="V28" s="4"/>
      <c r="W28" s="4"/>
      <c r="X28" s="4"/>
      <c r="Y28" s="2"/>
      <c r="Z28" s="2"/>
      <c r="AA28" s="2"/>
      <c r="AB28" s="2"/>
      <c r="AC28" s="2"/>
      <c r="AD28" s="2"/>
      <c r="AE28" s="2"/>
      <c r="AF28" s="2"/>
    </row>
    <row r="29" spans="1:32" s="1" customFormat="1" x14ac:dyDescent="0.2">
      <c r="A29" s="2" t="str">
        <f t="shared" si="3"/>
        <v>April</v>
      </c>
      <c r="B29" s="4">
        <f>+[30]Sheet1!$F$12</f>
        <v>-147.78</v>
      </c>
      <c r="C29" s="4">
        <f>+[30]Sheet1!$F$14</f>
        <v>-147.78</v>
      </c>
      <c r="D29" s="4">
        <f>+[30]Sheet1!$F$13</f>
        <v>-54.779999999999994</v>
      </c>
      <c r="E29" s="4">
        <f>+[30]Sheet1!$F$23</f>
        <v>1305.22</v>
      </c>
      <c r="F29" s="4">
        <f>+[30]Sheet1!$F$24</f>
        <v>72.22</v>
      </c>
      <c r="G29" s="4">
        <f>+[30]Sheet1!$F$16</f>
        <v>45.220000000000006</v>
      </c>
      <c r="H29" s="4">
        <f>+[30]Sheet1!$F$17</f>
        <v>245.22000000000003</v>
      </c>
      <c r="I29" s="4">
        <f>+[30]Sheet1!$F$18</f>
        <v>555.22</v>
      </c>
      <c r="J29" s="4">
        <f>+[30]Sheet1!$F$19</f>
        <v>-204.78</v>
      </c>
      <c r="K29" s="4">
        <v>0</v>
      </c>
      <c r="L29" s="4">
        <f>+[30]Sheet1!$F$20</f>
        <v>-44.779999999999994</v>
      </c>
      <c r="M29" s="4">
        <f>+[30]Sheet1!$F$21</f>
        <v>-169.88</v>
      </c>
      <c r="N29" s="4">
        <f>+[30]Sheet1!$F$25</f>
        <v>-44.779999999999994</v>
      </c>
      <c r="O29" s="4">
        <f>+[30]Sheet1!$F$26</f>
        <v>-170.4</v>
      </c>
      <c r="P29" s="4">
        <f>+[30]Sheet1!$F$27</f>
        <v>-282.15999999999997</v>
      </c>
      <c r="Q29" s="4">
        <v>0</v>
      </c>
      <c r="R29" s="4"/>
      <c r="S29" s="4"/>
      <c r="T29" s="4"/>
      <c r="U29" s="4"/>
      <c r="V29" s="4"/>
      <c r="W29" s="4"/>
      <c r="X29" s="4"/>
      <c r="Y29" s="2"/>
      <c r="Z29" s="2"/>
      <c r="AA29" s="2"/>
      <c r="AB29" s="2"/>
      <c r="AC29" s="2"/>
      <c r="AD29" s="2"/>
      <c r="AE29" s="2"/>
      <c r="AF29" s="2"/>
    </row>
    <row r="30" spans="1:32" s="1" customFormat="1" x14ac:dyDescent="0.2">
      <c r="A30" s="2" t="str">
        <f t="shared" si="3"/>
        <v>May</v>
      </c>
      <c r="B30" s="4">
        <f>+'[31]Pioneer Price'!$F$12</f>
        <v>-144.78</v>
      </c>
      <c r="C30" s="4">
        <f>+'[31]Pioneer Price'!$F$14</f>
        <v>-144.78</v>
      </c>
      <c r="D30" s="4">
        <f>+'[31]Pioneer Price'!$F$13</f>
        <v>-54.779999999999994</v>
      </c>
      <c r="E30" s="4">
        <f>+'[31]Pioneer Price'!$F$23</f>
        <v>1340.22</v>
      </c>
      <c r="F30" s="4">
        <f>+'[31]Pioneer Price'!$F$24</f>
        <v>62.220000000000006</v>
      </c>
      <c r="G30" s="4">
        <f>+'[31]Pioneer Price'!$F$16</f>
        <v>55.220000000000006</v>
      </c>
      <c r="H30" s="4">
        <f>+'[31]Pioneer Price'!$F$17</f>
        <v>175.22</v>
      </c>
      <c r="I30" s="4">
        <f>+'[31]Pioneer Price'!$F$18</f>
        <v>545.22</v>
      </c>
      <c r="J30" s="4">
        <f>+'[31]Pioneer Price'!$F$19</f>
        <v>-174.78</v>
      </c>
      <c r="K30" s="4">
        <v>0</v>
      </c>
      <c r="L30" s="4">
        <f>+'[31]Pioneer Price'!$F$20</f>
        <v>-34.779999999999994</v>
      </c>
      <c r="M30" s="4">
        <f>+'[31]Pioneer Price'!$F$21</f>
        <v>-169.88</v>
      </c>
      <c r="N30" s="4">
        <f>+'[31]Pioneer Price'!$F$25</f>
        <v>-44.779999999999994</v>
      </c>
      <c r="O30" s="4">
        <f>+'[31]Pioneer Price'!$F$26</f>
        <v>-170.4</v>
      </c>
      <c r="P30" s="4">
        <f>+'[31]Pioneer Price'!$F$27</f>
        <v>-282.15999999999997</v>
      </c>
      <c r="Q30" s="4">
        <v>0</v>
      </c>
      <c r="R30" s="4"/>
      <c r="S30" s="4"/>
      <c r="T30" s="4"/>
      <c r="U30" s="4"/>
      <c r="V30" s="4"/>
      <c r="W30" s="4"/>
      <c r="X30" s="4"/>
      <c r="Y30" s="2"/>
      <c r="Z30" s="2"/>
      <c r="AA30" s="2"/>
      <c r="AB30" s="2"/>
      <c r="AC30" s="2"/>
      <c r="AD30" s="2"/>
      <c r="AE30" s="2"/>
      <c r="AF30" s="2"/>
    </row>
    <row r="31" spans="1:32" s="1" customFormat="1" x14ac:dyDescent="0.2">
      <c r="A31" s="2" t="str">
        <f t="shared" si="3"/>
        <v>June</v>
      </c>
      <c r="B31" s="4">
        <f>+'[32]Pioneer Price'!$F$12</f>
        <v>-134.78</v>
      </c>
      <c r="C31" s="4">
        <f>+'[32]Pioneer Price'!$F$14</f>
        <v>-134.78</v>
      </c>
      <c r="D31" s="4">
        <f>+'[32]Pioneer Price'!$F$13</f>
        <v>-47.779999999999994</v>
      </c>
      <c r="E31" s="4">
        <f>+'[32]Pioneer Price'!$F$23</f>
        <v>1475.22</v>
      </c>
      <c r="F31" s="4">
        <f>+'[32]Pioneer Price'!$F$24</f>
        <v>57.220000000000006</v>
      </c>
      <c r="G31" s="4">
        <f>+'[32]Pioneer Price'!$F$16</f>
        <v>95.22</v>
      </c>
      <c r="H31" s="4">
        <f>+'[32]Pioneer Price'!$F$17</f>
        <v>205.22</v>
      </c>
      <c r="I31" s="4">
        <f>+'[32]Pioneer Price'!$F$18</f>
        <v>605.22</v>
      </c>
      <c r="J31" s="4">
        <f>+'[32]Pioneer Price'!$F$19</f>
        <v>-174.78</v>
      </c>
      <c r="K31" s="4">
        <v>0</v>
      </c>
      <c r="L31" s="4">
        <f>+'[32]Pioneer Price'!$F$20</f>
        <v>-4.779999999999994</v>
      </c>
      <c r="M31" s="4">
        <f>+'[32]Pioneer Price'!$F$21</f>
        <v>-169.88</v>
      </c>
      <c r="N31" s="4">
        <f>+'[32]Pioneer Price'!$F$25</f>
        <v>-24.779999999999994</v>
      </c>
      <c r="O31" s="4">
        <f>+'[32]Pioneer Price'!$F$26</f>
        <v>-170.4</v>
      </c>
      <c r="P31" s="4">
        <f>+'[32]Pioneer Price'!$F$27</f>
        <v>-282.15999999999997</v>
      </c>
      <c r="Q31" s="4">
        <v>0</v>
      </c>
      <c r="R31" s="4"/>
      <c r="S31" s="4"/>
      <c r="T31" s="4"/>
      <c r="U31" s="4"/>
      <c r="V31" s="4"/>
      <c r="W31" s="4"/>
      <c r="X31" s="4"/>
      <c r="Y31" s="2"/>
      <c r="Z31" s="2"/>
      <c r="AA31" s="2"/>
      <c r="AB31" s="2"/>
      <c r="AC31" s="2"/>
      <c r="AD31" s="2"/>
      <c r="AE31" s="2"/>
      <c r="AF31" s="2"/>
    </row>
    <row r="32" spans="1:32" s="1" customFormat="1" x14ac:dyDescent="0.2">
      <c r="A32" s="5"/>
      <c r="B32" s="10"/>
      <c r="C32" s="10"/>
      <c r="D32" s="10"/>
      <c r="E32" s="10"/>
      <c r="F32" s="10"/>
      <c r="G32" s="10"/>
      <c r="H32" s="10"/>
      <c r="I32" s="10"/>
      <c r="J32" s="10"/>
      <c r="K32" s="10"/>
      <c r="L32" s="10"/>
      <c r="M32" s="10"/>
      <c r="N32" s="10"/>
      <c r="O32" s="10"/>
      <c r="P32" s="10"/>
      <c r="Q32" s="10"/>
      <c r="R32" s="10"/>
      <c r="S32" s="4"/>
      <c r="T32" s="4"/>
      <c r="U32" s="4"/>
      <c r="V32" s="4"/>
      <c r="W32" s="4"/>
      <c r="X32" s="4"/>
      <c r="Y32" s="2"/>
      <c r="Z32" s="2"/>
      <c r="AA32" s="2"/>
      <c r="AB32" s="2"/>
      <c r="AC32" s="2"/>
      <c r="AD32" s="2"/>
      <c r="AE32" s="2"/>
      <c r="AF32" s="2"/>
    </row>
    <row r="33" spans="1:32" x14ac:dyDescent="0.2">
      <c r="C33" s="4" t="s">
        <v>6</v>
      </c>
      <c r="G33" s="4" t="s">
        <v>6</v>
      </c>
      <c r="J33" s="8" t="s">
        <v>330</v>
      </c>
      <c r="K33" s="8"/>
      <c r="L33" s="8"/>
      <c r="M33" s="8"/>
      <c r="N33" s="8" t="s">
        <v>575</v>
      </c>
      <c r="O33" s="8" t="s">
        <v>581</v>
      </c>
      <c r="P33" s="8" t="s">
        <v>583</v>
      </c>
    </row>
    <row r="34" spans="1:32" s="1" customFormat="1" x14ac:dyDescent="0.2">
      <c r="A34" s="2"/>
      <c r="B34" s="9" t="s">
        <v>14</v>
      </c>
      <c r="C34" s="9" t="s">
        <v>15</v>
      </c>
      <c r="D34" s="9" t="s">
        <v>16</v>
      </c>
      <c r="E34" s="9" t="s">
        <v>18</v>
      </c>
      <c r="F34" s="9" t="s">
        <v>19</v>
      </c>
      <c r="G34" s="9" t="s">
        <v>20</v>
      </c>
      <c r="H34" s="9" t="s">
        <v>21</v>
      </c>
      <c r="I34" s="9" t="s">
        <v>527</v>
      </c>
      <c r="J34" s="9" t="s">
        <v>528</v>
      </c>
      <c r="K34" s="9" t="s">
        <v>572</v>
      </c>
      <c r="L34" s="9" t="s">
        <v>573</v>
      </c>
      <c r="M34" s="9" t="s">
        <v>574</v>
      </c>
      <c r="N34" s="9" t="s">
        <v>576</v>
      </c>
      <c r="O34" s="9" t="s">
        <v>582</v>
      </c>
      <c r="P34" s="9" t="s">
        <v>582</v>
      </c>
      <c r="Q34" s="9" t="s">
        <v>333</v>
      </c>
      <c r="R34" s="9" t="s">
        <v>84</v>
      </c>
      <c r="S34" s="4"/>
      <c r="T34" s="4"/>
      <c r="U34" s="4"/>
      <c r="V34" s="4"/>
      <c r="W34" s="4"/>
      <c r="X34" s="4"/>
      <c r="Y34" s="2"/>
      <c r="Z34" s="2"/>
      <c r="AA34" s="2"/>
      <c r="AB34" s="2"/>
      <c r="AC34" s="2"/>
      <c r="AD34" s="2"/>
      <c r="AE34" s="2"/>
      <c r="AF34" s="2"/>
    </row>
    <row r="35" spans="1:32" s="1" customFormat="1" x14ac:dyDescent="0.2">
      <c r="A35" s="5" t="s">
        <v>24</v>
      </c>
      <c r="B35" s="4"/>
      <c r="C35" s="4"/>
      <c r="D35" s="4"/>
      <c r="E35" s="4"/>
      <c r="F35" s="4"/>
      <c r="G35" s="4"/>
      <c r="H35" s="4"/>
      <c r="I35" s="4"/>
      <c r="J35" s="4"/>
      <c r="K35" s="4"/>
      <c r="L35" s="4"/>
      <c r="M35" s="4"/>
      <c r="N35" s="4"/>
      <c r="O35" s="4"/>
      <c r="P35" s="4"/>
      <c r="Q35" s="4"/>
      <c r="R35" s="4"/>
      <c r="S35" s="4"/>
      <c r="T35" s="4"/>
      <c r="U35" s="4"/>
      <c r="V35" s="4"/>
      <c r="W35" s="4"/>
      <c r="X35" s="4"/>
      <c r="Y35" s="2"/>
      <c r="Z35" s="2"/>
      <c r="AA35" s="2"/>
      <c r="AB35" s="2"/>
      <c r="AC35" s="2"/>
      <c r="AD35" s="2"/>
      <c r="AE35" s="2"/>
      <c r="AF35" s="2"/>
    </row>
    <row r="36" spans="1:32" s="1" customFormat="1" x14ac:dyDescent="0.2">
      <c r="A36" s="2" t="str">
        <f t="shared" ref="A36:A41" si="4">+A25</f>
        <v>December 2017</v>
      </c>
      <c r="B36" s="4">
        <f t="shared" ref="B36" si="5">+B11*B25</f>
        <v>4118.3074730447306</v>
      </c>
      <c r="C36" s="4">
        <f t="shared" ref="C36:Q36" si="6">+C11*C25</f>
        <v>-20064.298594548087</v>
      </c>
      <c r="D36" s="4">
        <f t="shared" si="6"/>
        <v>26783.504740249635</v>
      </c>
      <c r="E36" s="4">
        <f t="shared" si="6"/>
        <v>19722.007517418988</v>
      </c>
      <c r="F36" s="4">
        <f t="shared" si="6"/>
        <v>2916.733154381277</v>
      </c>
      <c r="G36" s="4">
        <f t="shared" si="6"/>
        <v>731.36631267946768</v>
      </c>
      <c r="H36" s="4">
        <f t="shared" si="6"/>
        <v>2152.8877028888746</v>
      </c>
      <c r="I36" s="4">
        <f t="shared" si="6"/>
        <v>8815.3707187291293</v>
      </c>
      <c r="J36" s="4">
        <f t="shared" si="6"/>
        <v>-933.73087046366652</v>
      </c>
      <c r="K36" s="4">
        <f t="shared" si="6"/>
        <v>0</v>
      </c>
      <c r="L36" s="4">
        <f t="shared" si="6"/>
        <v>0</v>
      </c>
      <c r="M36" s="4">
        <f t="shared" si="6"/>
        <v>0</v>
      </c>
      <c r="N36" s="4">
        <f t="shared" si="6"/>
        <v>0</v>
      </c>
      <c r="O36" s="4">
        <f t="shared" si="6"/>
        <v>0</v>
      </c>
      <c r="P36" s="4">
        <f t="shared" si="6"/>
        <v>0</v>
      </c>
      <c r="Q36" s="4">
        <f t="shared" si="6"/>
        <v>-5273.0976332869241</v>
      </c>
      <c r="R36" s="4">
        <f t="shared" ref="R36:R42" si="7">SUM(B36:Q36)</f>
        <v>38969.050521093428</v>
      </c>
      <c r="S36" s="4">
        <f t="shared" ref="S36:S42" si="8">R36+R95</f>
        <v>41244.529671093427</v>
      </c>
      <c r="T36" s="4"/>
      <c r="U36" s="4"/>
      <c r="V36" s="4"/>
      <c r="W36" s="4"/>
      <c r="X36" s="4"/>
      <c r="Y36" s="2"/>
      <c r="Z36" s="2"/>
      <c r="AA36" s="2"/>
      <c r="AB36" s="2"/>
      <c r="AC36" s="2"/>
      <c r="AD36" s="2"/>
      <c r="AE36" s="2"/>
      <c r="AF36" s="2"/>
    </row>
    <row r="37" spans="1:32" s="1" customFormat="1" x14ac:dyDescent="0.2">
      <c r="A37" s="2" t="str">
        <f t="shared" si="4"/>
        <v>January 2018</v>
      </c>
      <c r="B37" s="4">
        <f t="shared" ref="B37:Q37" si="9">+B12*B26</f>
        <v>-53349.66518707366</v>
      </c>
      <c r="C37" s="4">
        <f t="shared" si="9"/>
        <v>-4163.1917594472216</v>
      </c>
      <c r="D37" s="4">
        <f t="shared" si="9"/>
        <v>24423.92511390358</v>
      </c>
      <c r="E37" s="4">
        <f t="shared" si="9"/>
        <v>17540.553579006359</v>
      </c>
      <c r="F37" s="4">
        <f t="shared" si="9"/>
        <v>2955.8722972776868</v>
      </c>
      <c r="G37" s="4">
        <f t="shared" si="9"/>
        <v>521.39542621729868</v>
      </c>
      <c r="H37" s="4">
        <f t="shared" si="9"/>
        <v>2651.1650827985072</v>
      </c>
      <c r="I37" s="4">
        <f t="shared" si="9"/>
        <v>7807.9891845514658</v>
      </c>
      <c r="J37" s="4">
        <f t="shared" si="9"/>
        <v>0</v>
      </c>
      <c r="K37" s="4">
        <f t="shared" si="9"/>
        <v>-64.411455375520035</v>
      </c>
      <c r="L37" s="4">
        <f t="shared" si="9"/>
        <v>0</v>
      </c>
      <c r="M37" s="4">
        <f t="shared" si="9"/>
        <v>-12884.742487824264</v>
      </c>
      <c r="N37" s="4">
        <f t="shared" si="9"/>
        <v>0.85968777649836947</v>
      </c>
      <c r="O37" s="4">
        <f t="shared" si="9"/>
        <v>0</v>
      </c>
      <c r="P37" s="4">
        <f t="shared" si="9"/>
        <v>0</v>
      </c>
      <c r="Q37" s="4">
        <f t="shared" si="9"/>
        <v>-16557.815825431881</v>
      </c>
      <c r="R37" s="4">
        <f t="shared" si="7"/>
        <v>-31118.066343621158</v>
      </c>
      <c r="S37" s="4">
        <f t="shared" si="8"/>
        <v>-32925.821130221157</v>
      </c>
      <c r="T37" s="4"/>
      <c r="U37" s="4"/>
      <c r="V37" s="4"/>
      <c r="W37" s="4"/>
      <c r="X37" s="4"/>
      <c r="Y37" s="2"/>
      <c r="Z37" s="2"/>
      <c r="AA37" s="2"/>
      <c r="AB37" s="2"/>
      <c r="AC37" s="2"/>
      <c r="AD37" s="2"/>
      <c r="AE37" s="2"/>
      <c r="AF37" s="2"/>
    </row>
    <row r="38" spans="1:32" s="1" customFormat="1" x14ac:dyDescent="0.2">
      <c r="A38" s="2" t="str">
        <f t="shared" si="4"/>
        <v>February</v>
      </c>
      <c r="B38" s="4">
        <f t="shared" ref="B38:Q38" si="10">+B13*B27</f>
        <v>-37917.528367395826</v>
      </c>
      <c r="C38" s="4">
        <f t="shared" si="10"/>
        <v>-2958.9303153864344</v>
      </c>
      <c r="D38" s="4">
        <f t="shared" si="10"/>
        <v>2720.156449593449</v>
      </c>
      <c r="E38" s="4">
        <f t="shared" si="10"/>
        <v>12466.703128868909</v>
      </c>
      <c r="F38" s="4">
        <f t="shared" si="10"/>
        <v>1998.0839420247921</v>
      </c>
      <c r="G38" s="4">
        <f t="shared" si="10"/>
        <v>614.05315777249723</v>
      </c>
      <c r="H38" s="4">
        <f t="shared" si="10"/>
        <v>2379.567773619779</v>
      </c>
      <c r="I38" s="4">
        <f t="shared" si="10"/>
        <v>5351.3033996539725</v>
      </c>
      <c r="J38" s="4">
        <f t="shared" si="10"/>
        <v>0</v>
      </c>
      <c r="K38" s="4">
        <f t="shared" si="10"/>
        <v>-45.779541030339828</v>
      </c>
      <c r="L38" s="4">
        <f t="shared" si="10"/>
        <v>0</v>
      </c>
      <c r="M38" s="4">
        <f t="shared" si="10"/>
        <v>-9157.6505133726987</v>
      </c>
      <c r="N38" s="4">
        <f t="shared" si="10"/>
        <v>0.61101106329676658</v>
      </c>
      <c r="O38" s="4">
        <f t="shared" si="10"/>
        <v>-5920.6972033455068</v>
      </c>
      <c r="P38" s="4">
        <f t="shared" si="10"/>
        <v>-570.84726940271014</v>
      </c>
      <c r="Q38" s="4">
        <f t="shared" si="10"/>
        <v>0</v>
      </c>
      <c r="R38" s="4">
        <f t="shared" si="7"/>
        <v>-31040.95434733681</v>
      </c>
      <c r="S38" s="4">
        <f t="shared" si="8"/>
        <v>-33247.209923336814</v>
      </c>
      <c r="T38" s="4"/>
      <c r="U38" s="4"/>
      <c r="V38" s="4"/>
      <c r="W38" s="4"/>
      <c r="X38" s="4"/>
      <c r="Y38" s="2"/>
      <c r="Z38" s="2"/>
      <c r="AA38" s="2"/>
      <c r="AB38" s="2"/>
      <c r="AC38" s="2"/>
      <c r="AD38" s="2"/>
      <c r="AE38" s="2"/>
      <c r="AF38" s="2"/>
    </row>
    <row r="39" spans="1:32" s="1" customFormat="1" x14ac:dyDescent="0.2">
      <c r="A39" s="2" t="str">
        <f t="shared" si="4"/>
        <v>March</v>
      </c>
      <c r="B39" s="4">
        <f t="shared" ref="B39:Q39" si="11">+B14*B28</f>
        <v>-79523.554175002966</v>
      </c>
      <c r="C39" s="4">
        <f t="shared" si="11"/>
        <v>-6205.6960294390747</v>
      </c>
      <c r="D39" s="4">
        <f t="shared" si="11"/>
        <v>-16419.925784292456</v>
      </c>
      <c r="E39" s="4">
        <f t="shared" si="11"/>
        <v>16253.878723956868</v>
      </c>
      <c r="F39" s="4">
        <f t="shared" si="11"/>
        <v>1686.3825690674669</v>
      </c>
      <c r="G39" s="4">
        <f t="shared" si="11"/>
        <v>1130.8844266430565</v>
      </c>
      <c r="H39" s="4">
        <f t="shared" si="11"/>
        <v>2811.5093237214733</v>
      </c>
      <c r="I39" s="4">
        <f t="shared" si="11"/>
        <v>6991.8038297658541</v>
      </c>
      <c r="J39" s="4">
        <f t="shared" si="11"/>
        <v>0</v>
      </c>
      <c r="K39" s="4">
        <f t="shared" si="11"/>
        <v>-197.72158155779422</v>
      </c>
      <c r="L39" s="4">
        <f t="shared" si="11"/>
        <v>0</v>
      </c>
      <c r="M39" s="4">
        <f t="shared" si="11"/>
        <v>-16576.359632320637</v>
      </c>
      <c r="N39" s="4">
        <f t="shared" si="11"/>
        <v>-164.01307358119217</v>
      </c>
      <c r="O39" s="4">
        <f t="shared" si="11"/>
        <v>-10609.93906989722</v>
      </c>
      <c r="P39" s="4">
        <f t="shared" si="11"/>
        <v>-895.65739904972349</v>
      </c>
      <c r="Q39" s="4">
        <f t="shared" si="11"/>
        <v>0</v>
      </c>
      <c r="R39" s="4">
        <f t="shared" si="7"/>
        <v>-101718.40787198636</v>
      </c>
      <c r="S39" s="4">
        <f t="shared" si="8"/>
        <v>-107748.79244758635</v>
      </c>
      <c r="T39" s="4"/>
      <c r="U39" s="4"/>
      <c r="V39" s="4"/>
      <c r="W39" s="4"/>
      <c r="X39" s="4"/>
      <c r="Y39" s="2"/>
      <c r="Z39" s="2"/>
      <c r="AA39" s="2"/>
      <c r="AB39" s="2"/>
      <c r="AC39" s="2"/>
      <c r="AD39" s="2"/>
      <c r="AE39" s="2"/>
      <c r="AF39" s="2"/>
    </row>
    <row r="40" spans="1:32" s="1" customFormat="1" x14ac:dyDescent="0.2">
      <c r="A40" s="2" t="str">
        <f t="shared" si="4"/>
        <v>April</v>
      </c>
      <c r="B40" s="4">
        <f t="shared" ref="B40:Q40" si="12">+B15*B29</f>
        <v>0</v>
      </c>
      <c r="C40" s="4">
        <f t="shared" si="12"/>
        <v>-92759.745294554261</v>
      </c>
      <c r="D40" s="4">
        <f t="shared" si="12"/>
        <v>-12791.381533766755</v>
      </c>
      <c r="E40" s="4">
        <f t="shared" si="12"/>
        <v>15389.62180460194</v>
      </c>
      <c r="F40" s="4">
        <f t="shared" si="12"/>
        <v>1853.3375040200133</v>
      </c>
      <c r="G40" s="4">
        <f t="shared" si="12"/>
        <v>1427.0436608471928</v>
      </c>
      <c r="H40" s="4">
        <f t="shared" si="12"/>
        <v>3033.0789949085306</v>
      </c>
      <c r="I40" s="4">
        <f t="shared" si="12"/>
        <v>6867.4093448866897</v>
      </c>
      <c r="J40" s="4">
        <f t="shared" si="12"/>
        <v>-1159.9190317864893</v>
      </c>
      <c r="K40" s="4">
        <f t="shared" si="12"/>
        <v>0</v>
      </c>
      <c r="L40" s="4">
        <f t="shared" si="12"/>
        <v>-207.05615082547118</v>
      </c>
      <c r="M40" s="4">
        <f t="shared" si="12"/>
        <v>-16083.116570414932</v>
      </c>
      <c r="N40" s="4">
        <f t="shared" si="12"/>
        <v>-155.29211311910339</v>
      </c>
      <c r="O40" s="4">
        <f t="shared" si="12"/>
        <v>-15206.558828556133</v>
      </c>
      <c r="P40" s="4">
        <f t="shared" si="12"/>
        <v>-848.0331908440088</v>
      </c>
      <c r="Q40" s="4">
        <f t="shared" si="12"/>
        <v>0</v>
      </c>
      <c r="R40" s="4">
        <f t="shared" si="7"/>
        <v>-110640.61140460281</v>
      </c>
      <c r="S40" s="4">
        <f t="shared" si="8"/>
        <v>-117253.4162183228</v>
      </c>
      <c r="T40" s="4"/>
      <c r="U40" s="4"/>
      <c r="V40" s="4"/>
      <c r="W40" s="4"/>
      <c r="X40" s="4"/>
      <c r="Y40" s="2"/>
      <c r="Z40" s="2"/>
      <c r="AA40" s="2"/>
      <c r="AB40" s="2"/>
      <c r="AC40" s="2"/>
      <c r="AD40" s="2"/>
      <c r="AE40" s="2"/>
      <c r="AF40" s="2"/>
    </row>
    <row r="41" spans="1:32" s="1" customFormat="1" x14ac:dyDescent="0.2">
      <c r="A41" s="2" t="str">
        <f t="shared" si="4"/>
        <v>May</v>
      </c>
      <c r="B41" s="4">
        <f t="shared" ref="B41:Q41" si="13">+B16*B30</f>
        <v>0</v>
      </c>
      <c r="C41" s="4">
        <f t="shared" si="13"/>
        <v>-102520.24227970417</v>
      </c>
      <c r="D41" s="4">
        <f t="shared" si="13"/>
        <v>-14451.706492408852</v>
      </c>
      <c r="E41" s="4">
        <f t="shared" si="13"/>
        <v>17826.968140175239</v>
      </c>
      <c r="F41" s="4">
        <f t="shared" si="13"/>
        <v>1801.2923441991099</v>
      </c>
      <c r="G41" s="4">
        <f t="shared" si="13"/>
        <v>1965.8947882073664</v>
      </c>
      <c r="H41" s="4">
        <f t="shared" si="13"/>
        <v>2444.9426451700574</v>
      </c>
      <c r="I41" s="4">
        <f t="shared" si="13"/>
        <v>7607.7595537017387</v>
      </c>
      <c r="J41" s="4">
        <f t="shared" si="13"/>
        <v>-1116.8350549225866</v>
      </c>
      <c r="K41" s="4">
        <f t="shared" si="13"/>
        <v>0</v>
      </c>
      <c r="L41" s="4">
        <f t="shared" si="13"/>
        <v>-181.42235117830953</v>
      </c>
      <c r="M41" s="4">
        <f t="shared" si="13"/>
        <v>-18143.763488989531</v>
      </c>
      <c r="N41" s="4">
        <f t="shared" si="13"/>
        <v>-175.18889201620257</v>
      </c>
      <c r="O41" s="4">
        <f t="shared" si="13"/>
        <v>-17154.89691682376</v>
      </c>
      <c r="P41" s="4">
        <f t="shared" si="13"/>
        <v>-956.68731729461422</v>
      </c>
      <c r="Q41" s="4">
        <f t="shared" si="13"/>
        <v>0</v>
      </c>
      <c r="R41" s="4">
        <f t="shared" si="7"/>
        <v>-123053.88532188449</v>
      </c>
      <c r="S41" s="4">
        <f t="shared" si="8"/>
        <v>-130194.20807102449</v>
      </c>
      <c r="T41" s="4"/>
      <c r="U41" s="4"/>
      <c r="V41" s="4"/>
      <c r="W41" s="4"/>
      <c r="X41" s="4"/>
      <c r="Y41" s="2"/>
      <c r="Z41" s="2"/>
      <c r="AA41" s="2"/>
      <c r="AB41" s="2"/>
      <c r="AC41" s="2"/>
      <c r="AD41" s="2"/>
      <c r="AE41" s="2"/>
      <c r="AF41" s="2"/>
    </row>
    <row r="42" spans="1:32" s="1" customFormat="1" x14ac:dyDescent="0.2">
      <c r="A42" s="2" t="s">
        <v>41</v>
      </c>
      <c r="B42" s="4">
        <f t="shared" ref="B42:Q42" si="14">+B17*B31</f>
        <v>0</v>
      </c>
      <c r="C42" s="4">
        <f t="shared" si="14"/>
        <v>-86957.002448615589</v>
      </c>
      <c r="D42" s="4">
        <f t="shared" si="14"/>
        <v>-11484.743683329503</v>
      </c>
      <c r="E42" s="4">
        <f t="shared" si="14"/>
        <v>17878.712561974899</v>
      </c>
      <c r="F42" s="4">
        <f t="shared" si="14"/>
        <v>1509.3157596218766</v>
      </c>
      <c r="G42" s="4">
        <f t="shared" si="14"/>
        <v>3088.6599949551637</v>
      </c>
      <c r="H42" s="4">
        <f t="shared" si="14"/>
        <v>2609.0520293326022</v>
      </c>
      <c r="I42" s="4">
        <f t="shared" si="14"/>
        <v>7694.4277808823581</v>
      </c>
      <c r="J42" s="4">
        <f t="shared" si="14"/>
        <v>-1017.5765588536788</v>
      </c>
      <c r="K42" s="4">
        <f t="shared" si="14"/>
        <v>0</v>
      </c>
      <c r="L42" s="4">
        <f t="shared" si="14"/>
        <v>-22.717846815334397</v>
      </c>
      <c r="M42" s="4">
        <f t="shared" si="14"/>
        <v>-16531.240073817993</v>
      </c>
      <c r="N42" s="4">
        <f t="shared" si="14"/>
        <v>-88.3286993855628</v>
      </c>
      <c r="O42" s="4">
        <f t="shared" si="14"/>
        <v>-15630.258823959548</v>
      </c>
      <c r="P42" s="4">
        <f t="shared" si="14"/>
        <v>-871.66191994133771</v>
      </c>
      <c r="Q42" s="4">
        <f t="shared" si="14"/>
        <v>0</v>
      </c>
      <c r="R42" s="4">
        <f t="shared" si="7"/>
        <v>-99823.361927951657</v>
      </c>
      <c r="S42" s="4">
        <f t="shared" si="8"/>
        <v>-105627.90590773165</v>
      </c>
      <c r="T42" s="4"/>
      <c r="U42" s="4"/>
      <c r="V42" s="4"/>
      <c r="W42" s="4"/>
      <c r="X42" s="4"/>
      <c r="Y42" s="2"/>
      <c r="Z42" s="2"/>
      <c r="AA42" s="2"/>
      <c r="AB42" s="2"/>
      <c r="AC42" s="2"/>
      <c r="AD42" s="2"/>
      <c r="AE42" s="2"/>
      <c r="AF42" s="2"/>
    </row>
    <row r="43" spans="1:32" s="1" customFormat="1" x14ac:dyDescent="0.2">
      <c r="A43" s="5" t="s">
        <v>88</v>
      </c>
      <c r="B43" s="7">
        <f t="shared" ref="B43:Q43" si="15">SUM(B36:B42)</f>
        <v>-166672.44025642771</v>
      </c>
      <c r="C43" s="7">
        <f t="shared" si="15"/>
        <v>-315629.10672169481</v>
      </c>
      <c r="D43" s="7">
        <f t="shared" si="15"/>
        <v>-1220.1711900508963</v>
      </c>
      <c r="E43" s="7">
        <f t="shared" si="15"/>
        <v>117078.4454560032</v>
      </c>
      <c r="F43" s="7">
        <f t="shared" si="15"/>
        <v>14721.017570592223</v>
      </c>
      <c r="G43" s="7">
        <f t="shared" si="15"/>
        <v>9479.297767322043</v>
      </c>
      <c r="H43" s="7">
        <f t="shared" si="15"/>
        <v>18082.203552439823</v>
      </c>
      <c r="I43" s="7">
        <f t="shared" si="15"/>
        <v>51136.063812171211</v>
      </c>
      <c r="J43" s="7">
        <f t="shared" si="15"/>
        <v>-4228.0615160264206</v>
      </c>
      <c r="K43" s="7">
        <f t="shared" si="15"/>
        <v>-307.91257796365409</v>
      </c>
      <c r="L43" s="7">
        <f t="shared" si="15"/>
        <v>-411.19634881911509</v>
      </c>
      <c r="M43" s="7">
        <f t="shared" si="15"/>
        <v>-89376.872766740067</v>
      </c>
      <c r="N43" s="7">
        <f t="shared" si="15"/>
        <v>-581.35207926226576</v>
      </c>
      <c r="O43" s="7">
        <f t="shared" si="15"/>
        <v>-64522.350842582171</v>
      </c>
      <c r="P43" s="7">
        <f t="shared" si="15"/>
        <v>-4142.8870965323949</v>
      </c>
      <c r="Q43" s="7">
        <f t="shared" si="15"/>
        <v>-21830.913458718805</v>
      </c>
      <c r="R43" s="7">
        <f>SUM(R36:R42)</f>
        <v>-458426.23669628985</v>
      </c>
      <c r="S43" s="4">
        <f>SUM(S35:S42)</f>
        <v>-485752.82402712991</v>
      </c>
      <c r="T43" s="4"/>
      <c r="U43" s="4"/>
      <c r="V43" s="4"/>
      <c r="W43" s="4"/>
      <c r="X43" s="4"/>
      <c r="Y43" s="2"/>
      <c r="Z43" s="2"/>
      <c r="AA43" s="2"/>
      <c r="AB43" s="2"/>
      <c r="AC43" s="2"/>
      <c r="AD43" s="2"/>
      <c r="AE43" s="2"/>
      <c r="AF43" s="2"/>
    </row>
    <row r="45" spans="1:32" s="3" customFormat="1" x14ac:dyDescent="0.2">
      <c r="A45" s="18" t="s">
        <v>593</v>
      </c>
      <c r="B45" s="4"/>
      <c r="C45" s="4"/>
      <c r="D45" s="4"/>
      <c r="E45" s="4"/>
      <c r="F45" s="4"/>
      <c r="G45" s="4"/>
      <c r="H45" s="4"/>
      <c r="I45" s="4"/>
      <c r="J45" s="4"/>
      <c r="K45" s="4"/>
      <c r="L45" s="4"/>
      <c r="M45" s="4"/>
      <c r="N45" s="4"/>
      <c r="O45" s="4"/>
      <c r="P45" s="4"/>
      <c r="Q45" s="4"/>
      <c r="R45" s="4"/>
      <c r="S45" s="4"/>
      <c r="T45" s="4"/>
      <c r="U45" s="4"/>
      <c r="V45" s="4"/>
      <c r="W45" s="4"/>
      <c r="X45" s="4"/>
      <c r="Y45" s="2"/>
      <c r="Z45" s="2"/>
      <c r="AA45" s="2"/>
      <c r="AB45" s="2"/>
      <c r="AC45" s="2"/>
      <c r="AD45" s="2"/>
      <c r="AE45" s="2"/>
      <c r="AF45" s="2"/>
    </row>
    <row r="46" spans="1:32" s="3" customFormat="1" x14ac:dyDescent="0.2">
      <c r="A46" s="2"/>
      <c r="B46" s="4"/>
      <c r="C46" s="4" t="s">
        <v>6</v>
      </c>
      <c r="D46" s="4"/>
      <c r="E46" s="4"/>
      <c r="F46" s="4"/>
      <c r="G46" s="4" t="s">
        <v>6</v>
      </c>
      <c r="H46" s="4"/>
      <c r="I46" s="4"/>
      <c r="J46" s="8" t="s">
        <v>330</v>
      </c>
      <c r="K46" s="8"/>
      <c r="L46" s="8"/>
      <c r="M46" s="8"/>
      <c r="N46" s="8" t="s">
        <v>575</v>
      </c>
      <c r="O46" s="8" t="s">
        <v>581</v>
      </c>
      <c r="P46" s="8" t="s">
        <v>583</v>
      </c>
      <c r="Q46" s="4"/>
      <c r="R46" s="4"/>
      <c r="S46" s="4"/>
      <c r="T46" s="4"/>
      <c r="U46" s="4"/>
      <c r="V46" s="4"/>
      <c r="W46" s="4"/>
      <c r="X46" s="4"/>
      <c r="Y46" s="2"/>
      <c r="Z46" s="2"/>
      <c r="AA46" s="2"/>
      <c r="AB46" s="2"/>
      <c r="AC46" s="2"/>
      <c r="AD46" s="2"/>
      <c r="AE46" s="2"/>
      <c r="AF46" s="2"/>
    </row>
    <row r="47" spans="1:32" s="3" customFormat="1" x14ac:dyDescent="0.2">
      <c r="A47" s="2"/>
      <c r="B47" s="9" t="s">
        <v>14</v>
      </c>
      <c r="C47" s="9" t="s">
        <v>15</v>
      </c>
      <c r="D47" s="9" t="s">
        <v>16</v>
      </c>
      <c r="E47" s="9" t="s">
        <v>18</v>
      </c>
      <c r="F47" s="9" t="s">
        <v>19</v>
      </c>
      <c r="G47" s="9" t="s">
        <v>20</v>
      </c>
      <c r="H47" s="9" t="s">
        <v>21</v>
      </c>
      <c r="I47" s="9" t="s">
        <v>527</v>
      </c>
      <c r="J47" s="9" t="s">
        <v>528</v>
      </c>
      <c r="K47" s="9" t="s">
        <v>572</v>
      </c>
      <c r="L47" s="9" t="s">
        <v>573</v>
      </c>
      <c r="M47" s="9" t="s">
        <v>574</v>
      </c>
      <c r="N47" s="9" t="s">
        <v>576</v>
      </c>
      <c r="O47" s="9" t="s">
        <v>582</v>
      </c>
      <c r="P47" s="9" t="s">
        <v>582</v>
      </c>
      <c r="Q47" s="9" t="s">
        <v>333</v>
      </c>
      <c r="R47" s="9" t="s">
        <v>84</v>
      </c>
      <c r="S47" s="4"/>
      <c r="T47" s="4"/>
      <c r="U47" s="4"/>
      <c r="V47" s="4"/>
      <c r="W47" s="4"/>
      <c r="X47" s="4"/>
      <c r="Y47" s="2"/>
      <c r="Z47" s="2"/>
      <c r="AA47" s="2"/>
      <c r="AB47" s="2"/>
      <c r="AC47" s="2"/>
      <c r="AD47" s="2"/>
      <c r="AE47" s="2"/>
      <c r="AF47" s="2"/>
    </row>
    <row r="48" spans="1:32" s="3" customFormat="1" x14ac:dyDescent="0.2">
      <c r="A48" s="5" t="s">
        <v>86</v>
      </c>
      <c r="B48" s="4"/>
      <c r="C48" s="4"/>
      <c r="D48" s="4"/>
      <c r="E48" s="4"/>
      <c r="F48" s="4"/>
      <c r="G48" s="4"/>
      <c r="H48" s="4"/>
      <c r="I48" s="4"/>
      <c r="J48" s="4"/>
      <c r="K48" s="4"/>
      <c r="L48" s="4"/>
      <c r="M48" s="4"/>
      <c r="N48" s="4"/>
      <c r="O48" s="4"/>
      <c r="P48" s="4"/>
      <c r="Q48" s="4"/>
      <c r="R48" s="4"/>
      <c r="S48" s="4"/>
      <c r="T48" s="4"/>
      <c r="U48" s="4"/>
      <c r="V48" s="4"/>
      <c r="W48" s="4"/>
      <c r="X48" s="4"/>
      <c r="Y48" s="2"/>
      <c r="Z48" s="2"/>
      <c r="AA48" s="2"/>
      <c r="AB48" s="2"/>
      <c r="AC48" s="2"/>
      <c r="AD48" s="2"/>
      <c r="AE48" s="2"/>
      <c r="AF48" s="2"/>
    </row>
    <row r="49" spans="1:16384" s="3" customFormat="1" x14ac:dyDescent="0.2">
      <c r="A49" s="2" t="str">
        <f>+A37</f>
        <v>January 2018</v>
      </c>
      <c r="B49" s="4">
        <f>+[27]Sheet1!$F$12</f>
        <v>-134.78</v>
      </c>
      <c r="C49" s="4">
        <f>+[27]Sheet1!$F$14</f>
        <v>-134.78</v>
      </c>
      <c r="D49" s="4">
        <f>+[27]Sheet1!$F$13</f>
        <v>20.220000000000006</v>
      </c>
      <c r="E49" s="4">
        <f>+[27]Sheet1!$F$23</f>
        <v>1275.22</v>
      </c>
      <c r="F49" s="4">
        <f>+[27]Sheet1!$F$24</f>
        <v>57.220000000000006</v>
      </c>
      <c r="G49" s="4">
        <f>+[27]Sheet1!$F$16</f>
        <v>-29.779999999999994</v>
      </c>
      <c r="H49" s="4">
        <f>+[27]Sheet1!$F$17</f>
        <v>145.22</v>
      </c>
      <c r="I49" s="4">
        <f>+[27]Sheet1!$F$18</f>
        <v>515.22</v>
      </c>
      <c r="J49" s="4">
        <f>+[27]Sheet1!$F$19</f>
        <v>-204.78</v>
      </c>
      <c r="K49" s="4">
        <f>+[27]Sheet1!$F$20</f>
        <v>-64.78</v>
      </c>
      <c r="L49" s="4">
        <v>0</v>
      </c>
      <c r="M49" s="4">
        <f>+[27]Sheet1!$F$21</f>
        <v>-165.78</v>
      </c>
      <c r="N49" s="4">
        <f>+[27]Sheet1!$F$25</f>
        <v>-44.779999999999994</v>
      </c>
      <c r="O49" s="4">
        <v>0</v>
      </c>
      <c r="P49" s="4">
        <v>0</v>
      </c>
      <c r="Q49" s="4">
        <f>+[27]Sheet1!$F$26</f>
        <v>-282.15999999999997</v>
      </c>
      <c r="R49" s="4">
        <f t="shared" ref="R49:R50" si="16">SUM(B49:Q49)</f>
        <v>951.48000000000036</v>
      </c>
      <c r="S49" s="4"/>
      <c r="T49" s="4"/>
      <c r="U49" s="4"/>
      <c r="V49" s="4"/>
      <c r="W49" s="4"/>
      <c r="X49" s="4"/>
      <c r="Y49" s="2"/>
      <c r="Z49" s="2"/>
      <c r="AA49" s="2"/>
      <c r="AB49" s="2"/>
      <c r="AC49" s="2"/>
      <c r="AD49" s="2"/>
      <c r="AE49" s="2"/>
      <c r="AF49" s="2"/>
    </row>
    <row r="50" spans="1:16384" s="3" customFormat="1" x14ac:dyDescent="0.2">
      <c r="A50" s="2" t="str">
        <f>+A38</f>
        <v>February</v>
      </c>
      <c r="B50" s="4">
        <f>+[28]Sheet1!$F$12</f>
        <v>-134.78</v>
      </c>
      <c r="C50" s="4">
        <f>+[28]Sheet1!$F$14</f>
        <v>-134.78</v>
      </c>
      <c r="D50" s="4">
        <f>+[28]Sheet1!$F$13</f>
        <v>-34.779999999999994</v>
      </c>
      <c r="E50" s="4">
        <f>+[28]Sheet1!$F$23</f>
        <v>1275.22</v>
      </c>
      <c r="F50" s="4">
        <f>+[28]Sheet1!$F$24</f>
        <v>52.220000000000006</v>
      </c>
      <c r="G50" s="4">
        <f>+[28]Sheet1!$F$16</f>
        <v>-19.779999999999994</v>
      </c>
      <c r="H50" s="4">
        <f>+[28]Sheet1!$F$17</f>
        <v>195.22</v>
      </c>
      <c r="I50" s="4">
        <f>+[28]Sheet1!$F$18</f>
        <v>495.22</v>
      </c>
      <c r="J50" s="4">
        <f>+[28]Sheet1!$F$19</f>
        <v>-204.78</v>
      </c>
      <c r="K50" s="4">
        <f>+[28]Sheet1!$F$20</f>
        <v>-64.78</v>
      </c>
      <c r="L50" s="4">
        <v>0</v>
      </c>
      <c r="M50" s="4">
        <f>+[28]Sheet1!$F$21</f>
        <v>-165.78</v>
      </c>
      <c r="N50" s="4">
        <f>+[28]Sheet1!$F$25</f>
        <v>-44.779999999999994</v>
      </c>
      <c r="O50" s="4">
        <f>+[28]Sheet1!$F$26</f>
        <v>-170.4</v>
      </c>
      <c r="P50" s="4">
        <f>+[28]Sheet1!$F$27</f>
        <v>-282.15999999999997</v>
      </c>
      <c r="Q50" s="4">
        <v>0</v>
      </c>
      <c r="R50" s="4">
        <f t="shared" si="16"/>
        <v>761.08000000000027</v>
      </c>
      <c r="S50" s="4"/>
      <c r="T50" s="4"/>
      <c r="U50" s="4"/>
      <c r="V50" s="4"/>
      <c r="W50" s="4"/>
      <c r="X50" s="4"/>
      <c r="Y50" s="2"/>
      <c r="Z50" s="2"/>
      <c r="AA50" s="2"/>
      <c r="AB50" s="2"/>
      <c r="AC50" s="2"/>
      <c r="AD50" s="2"/>
      <c r="AE50" s="2"/>
      <c r="AF50" s="2"/>
    </row>
    <row r="51" spans="1:16384" hidden="1" x14ac:dyDescent="0.2">
      <c r="C51" s="4" t="s">
        <v>6</v>
      </c>
      <c r="G51" s="4" t="s">
        <v>6</v>
      </c>
      <c r="J51" s="8" t="s">
        <v>330</v>
      </c>
      <c r="K51" s="8"/>
      <c r="L51" s="8"/>
      <c r="M51" s="8"/>
      <c r="N51" s="8" t="s">
        <v>575</v>
      </c>
      <c r="O51" s="8" t="s">
        <v>581</v>
      </c>
      <c r="P51" s="8" t="s">
        <v>583</v>
      </c>
    </row>
    <row r="52" spans="1:16384" s="11" customFormat="1" ht="15.75" x14ac:dyDescent="0.25">
      <c r="A52" s="5"/>
      <c r="B52" s="9" t="s">
        <v>14</v>
      </c>
      <c r="C52" s="9" t="s">
        <v>15</v>
      </c>
      <c r="D52" s="9" t="s">
        <v>16</v>
      </c>
      <c r="E52" s="9" t="s">
        <v>18</v>
      </c>
      <c r="F52" s="9" t="s">
        <v>19</v>
      </c>
      <c r="G52" s="9" t="s">
        <v>20</v>
      </c>
      <c r="H52" s="9" t="s">
        <v>21</v>
      </c>
      <c r="I52" s="9" t="s">
        <v>527</v>
      </c>
      <c r="J52" s="9" t="s">
        <v>528</v>
      </c>
      <c r="K52" s="9" t="s">
        <v>572</v>
      </c>
      <c r="L52" s="9" t="s">
        <v>573</v>
      </c>
      <c r="M52" s="9" t="s">
        <v>574</v>
      </c>
      <c r="N52" s="9" t="s">
        <v>576</v>
      </c>
      <c r="O52" s="9" t="s">
        <v>582</v>
      </c>
      <c r="P52" s="9" t="s">
        <v>582</v>
      </c>
      <c r="Q52" s="9" t="s">
        <v>333</v>
      </c>
      <c r="R52" s="9" t="s">
        <v>84</v>
      </c>
      <c r="S52" s="6"/>
      <c r="T52" s="6"/>
      <c r="U52" s="6"/>
      <c r="V52" s="6"/>
      <c r="W52" s="6"/>
      <c r="X52" s="6"/>
      <c r="Y52" s="5"/>
      <c r="Z52" s="5"/>
      <c r="AA52" s="5"/>
      <c r="AB52" s="5"/>
      <c r="AC52" s="5"/>
      <c r="AD52" s="5"/>
      <c r="AE52" s="5"/>
      <c r="AF52" s="5"/>
    </row>
    <row r="53" spans="1:16384" s="1" customFormat="1" x14ac:dyDescent="0.2">
      <c r="A53" s="5" t="s">
        <v>24</v>
      </c>
      <c r="B53" s="4"/>
      <c r="C53" s="4"/>
      <c r="D53" s="4"/>
      <c r="E53" s="4"/>
      <c r="F53" s="4"/>
      <c r="G53" s="4"/>
      <c r="H53" s="4"/>
      <c r="I53" s="4"/>
      <c r="J53" s="4"/>
      <c r="K53" s="4"/>
      <c r="L53" s="4"/>
      <c r="M53" s="4"/>
      <c r="N53" s="4"/>
      <c r="O53" s="4"/>
      <c r="P53" s="4"/>
      <c r="Q53" s="4"/>
      <c r="R53" s="4"/>
      <c r="S53" s="4"/>
      <c r="T53" s="4"/>
      <c r="U53" s="4"/>
      <c r="V53" s="4"/>
      <c r="W53" s="4"/>
      <c r="X53" s="4"/>
      <c r="Y53" s="2"/>
      <c r="Z53" s="2"/>
      <c r="AA53" s="2"/>
      <c r="AB53" s="2"/>
      <c r="AC53" s="2"/>
      <c r="AD53" s="2"/>
      <c r="AE53" s="2"/>
      <c r="AF53" s="2"/>
    </row>
    <row r="54" spans="1:16384" x14ac:dyDescent="0.2">
      <c r="A54" s="4" t="str">
        <f>+A26</f>
        <v>January 2018</v>
      </c>
      <c r="B54" s="4">
        <f>+B12*B49</f>
        <v>-80089.862707883585</v>
      </c>
      <c r="C54" s="4">
        <f t="shared" ref="C54:Q55" si="17">+C12*C49</f>
        <v>-6249.8884533113887</v>
      </c>
      <c r="D54" s="4">
        <f t="shared" si="17"/>
        <v>7572.0908586803207</v>
      </c>
      <c r="E54" s="4">
        <f t="shared" si="17"/>
        <v>16942.679807168872</v>
      </c>
      <c r="F54" s="4">
        <f t="shared" si="17"/>
        <v>1654.6176173960991</v>
      </c>
      <c r="G54" s="4">
        <f t="shared" si="17"/>
        <v>-1020.1810639126902</v>
      </c>
      <c r="H54" s="4">
        <f t="shared" si="17"/>
        <v>2023.9837731258501</v>
      </c>
      <c r="I54" s="4">
        <f t="shared" si="17"/>
        <v>7180.8078748788084</v>
      </c>
      <c r="J54" s="4">
        <f t="shared" si="17"/>
        <v>0</v>
      </c>
      <c r="K54" s="4">
        <f t="shared" si="17"/>
        <v>-210.9491445513745</v>
      </c>
      <c r="L54" s="4">
        <f t="shared" si="17"/>
        <v>0</v>
      </c>
      <c r="M54" s="4">
        <f t="shared" si="17"/>
        <v>-17685.317185225256</v>
      </c>
      <c r="N54" s="4">
        <f t="shared" si="17"/>
        <v>-174.98553923452698</v>
      </c>
      <c r="O54" s="4">
        <f t="shared" si="17"/>
        <v>0</v>
      </c>
      <c r="P54" s="4">
        <f t="shared" si="17"/>
        <v>0</v>
      </c>
      <c r="Q54" s="4">
        <f t="shared" si="17"/>
        <v>-19699.583881362199</v>
      </c>
      <c r="R54" s="4">
        <f>SUM(B54:Q54)</f>
        <v>-89756.588044231059</v>
      </c>
      <c r="S54" s="4">
        <f>R37+R96</f>
        <v>-32925.821130221157</v>
      </c>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4"/>
      <c r="NC54" s="4"/>
      <c r="ND54" s="4"/>
      <c r="NE54" s="4"/>
      <c r="NF54" s="4"/>
      <c r="NG54" s="4"/>
      <c r="NH54" s="4"/>
      <c r="NI54" s="4"/>
      <c r="NJ54" s="4"/>
      <c r="NK54" s="4"/>
      <c r="NL54" s="4"/>
      <c r="NM54" s="4"/>
      <c r="NN54" s="4"/>
      <c r="NO54" s="4"/>
      <c r="NP54" s="4"/>
      <c r="NQ54" s="4"/>
      <c r="NR54" s="4"/>
      <c r="NS54" s="4"/>
      <c r="NT54" s="4"/>
      <c r="NU54" s="4"/>
      <c r="NV54" s="4"/>
      <c r="NW54" s="4"/>
      <c r="NX54" s="4"/>
      <c r="NY54" s="4"/>
      <c r="NZ54" s="4"/>
      <c r="OA54" s="4"/>
      <c r="OB54" s="4"/>
      <c r="OC54" s="4"/>
      <c r="OD54" s="4"/>
      <c r="OE54" s="4"/>
      <c r="OF54" s="4"/>
      <c r="OG54" s="4"/>
      <c r="OH54" s="4"/>
      <c r="OI54" s="4"/>
      <c r="OJ54" s="4"/>
      <c r="OK54" s="4"/>
      <c r="OL54" s="4"/>
      <c r="OM54" s="4"/>
      <c r="ON54" s="4"/>
      <c r="OO54" s="4"/>
      <c r="OP54" s="4"/>
      <c r="OQ54" s="4"/>
      <c r="OR54" s="4"/>
      <c r="OS54" s="4"/>
      <c r="OT54" s="4"/>
      <c r="OU54" s="4"/>
      <c r="OV54" s="4"/>
      <c r="OW54" s="4"/>
      <c r="OX54" s="4"/>
      <c r="OY54" s="4"/>
      <c r="OZ54" s="4"/>
      <c r="PA54" s="4"/>
      <c r="PB54" s="4"/>
      <c r="PC54" s="4"/>
      <c r="PD54" s="4"/>
      <c r="PE54" s="4"/>
      <c r="PF54" s="4"/>
      <c r="PG54" s="4"/>
      <c r="PH54" s="4"/>
      <c r="PI54" s="4"/>
      <c r="PJ54" s="4"/>
      <c r="PK54" s="4"/>
      <c r="PL54" s="4"/>
      <c r="PM54" s="4"/>
      <c r="PN54" s="4"/>
      <c r="PO54" s="4"/>
      <c r="PP54" s="4"/>
      <c r="PQ54" s="4"/>
      <c r="PR54" s="4"/>
      <c r="PS54" s="4"/>
      <c r="PT54" s="4"/>
      <c r="PU54" s="4"/>
      <c r="PV54" s="4"/>
      <c r="PW54" s="4"/>
      <c r="PX54" s="4"/>
      <c r="PY54" s="4"/>
      <c r="PZ54" s="4"/>
      <c r="QA54" s="4"/>
      <c r="QB54" s="4"/>
      <c r="QC54" s="4"/>
      <c r="QD54" s="4"/>
      <c r="QE54" s="4"/>
      <c r="QF54" s="4"/>
      <c r="QG54" s="4"/>
      <c r="QH54" s="4"/>
      <c r="QI54" s="4"/>
      <c r="QJ54" s="4"/>
      <c r="QK54" s="4"/>
      <c r="QL54" s="4"/>
      <c r="QM54" s="4"/>
      <c r="QN54" s="4"/>
      <c r="QO54" s="4"/>
      <c r="QP54" s="4"/>
      <c r="QQ54" s="4"/>
      <c r="QR54" s="4"/>
      <c r="QS54" s="4"/>
      <c r="QT54" s="4"/>
      <c r="QU54" s="4"/>
      <c r="QV54" s="4"/>
      <c r="QW54" s="4"/>
      <c r="QX54" s="4"/>
      <c r="QY54" s="4"/>
      <c r="QZ54" s="4"/>
      <c r="RA54" s="4"/>
      <c r="RB54" s="4"/>
      <c r="RC54" s="4"/>
      <c r="RD54" s="4"/>
      <c r="RE54" s="4"/>
      <c r="RF54" s="4"/>
      <c r="RG54" s="4"/>
      <c r="RH54" s="4"/>
      <c r="RI54" s="4"/>
      <c r="RJ54" s="4"/>
      <c r="RK54" s="4"/>
      <c r="RL54" s="4"/>
      <c r="RM54" s="4"/>
      <c r="RN54" s="4"/>
      <c r="RO54" s="4"/>
      <c r="RP54" s="4"/>
      <c r="RQ54" s="4"/>
      <c r="RR54" s="4"/>
      <c r="RS54" s="4"/>
      <c r="RT54" s="4"/>
      <c r="RU54" s="4"/>
      <c r="RV54" s="4"/>
      <c r="RW54" s="4"/>
      <c r="RX54" s="4"/>
      <c r="RY54" s="4"/>
      <c r="RZ54" s="4"/>
      <c r="SA54" s="4"/>
      <c r="SB54" s="4"/>
      <c r="SC54" s="4"/>
      <c r="SD54" s="4"/>
      <c r="SE54" s="4"/>
      <c r="SF54" s="4"/>
      <c r="SG54" s="4"/>
      <c r="SH54" s="4"/>
      <c r="SI54" s="4"/>
      <c r="SJ54" s="4"/>
      <c r="SK54" s="4"/>
      <c r="SL54" s="4"/>
      <c r="SM54" s="4"/>
      <c r="SN54" s="4"/>
      <c r="SO54" s="4"/>
      <c r="SP54" s="4"/>
      <c r="SQ54" s="4"/>
      <c r="SR54" s="4"/>
      <c r="SS54" s="4"/>
      <c r="ST54" s="4"/>
      <c r="SU54" s="4"/>
      <c r="SV54" s="4"/>
      <c r="SW54" s="4"/>
      <c r="SX54" s="4"/>
      <c r="SY54" s="4"/>
      <c r="SZ54" s="4"/>
      <c r="TA54" s="4"/>
      <c r="TB54" s="4"/>
      <c r="TC54" s="4"/>
      <c r="TD54" s="4"/>
      <c r="TE54" s="4"/>
      <c r="TF54" s="4"/>
      <c r="TG54" s="4"/>
      <c r="TH54" s="4"/>
      <c r="TI54" s="4"/>
      <c r="TJ54" s="4"/>
      <c r="TK54" s="4"/>
      <c r="TL54" s="4"/>
      <c r="TM54" s="4"/>
      <c r="TN54" s="4"/>
      <c r="TO54" s="4"/>
      <c r="TP54" s="4"/>
      <c r="TQ54" s="4"/>
      <c r="TR54" s="4"/>
      <c r="TS54" s="4"/>
      <c r="TT54" s="4"/>
      <c r="TU54" s="4"/>
      <c r="TV54" s="4"/>
      <c r="TW54" s="4"/>
      <c r="TX54" s="4"/>
      <c r="TY54" s="4"/>
      <c r="TZ54" s="4"/>
      <c r="UA54" s="4"/>
      <c r="UB54" s="4"/>
      <c r="UC54" s="4"/>
      <c r="UD54" s="4"/>
      <c r="UE54" s="4"/>
      <c r="UF54" s="4"/>
      <c r="UG54" s="4"/>
      <c r="UH54" s="4"/>
      <c r="UI54" s="4"/>
      <c r="UJ54" s="4"/>
      <c r="UK54" s="4"/>
      <c r="UL54" s="4"/>
      <c r="UM54" s="4"/>
      <c r="UN54" s="4"/>
      <c r="UO54" s="4"/>
      <c r="UP54" s="4"/>
      <c r="UQ54" s="4"/>
      <c r="UR54" s="4"/>
      <c r="US54" s="4"/>
      <c r="UT54" s="4"/>
      <c r="UU54" s="4"/>
      <c r="UV54" s="4"/>
      <c r="UW54" s="4"/>
      <c r="UX54" s="4"/>
      <c r="UY54" s="4"/>
      <c r="UZ54" s="4"/>
      <c r="VA54" s="4"/>
      <c r="VB54" s="4"/>
      <c r="VC54" s="4"/>
      <c r="VD54" s="4"/>
      <c r="VE54" s="4"/>
      <c r="VF54" s="4"/>
      <c r="VG54" s="4"/>
      <c r="VH54" s="4"/>
      <c r="VI54" s="4"/>
      <c r="VJ54" s="4"/>
      <c r="VK54" s="4"/>
      <c r="VL54" s="4"/>
      <c r="VM54" s="4"/>
      <c r="VN54" s="4"/>
      <c r="VO54" s="4"/>
      <c r="VP54" s="4"/>
      <c r="VQ54" s="4"/>
      <c r="VR54" s="4"/>
      <c r="VS54" s="4"/>
      <c r="VT54" s="4"/>
      <c r="VU54" s="4"/>
      <c r="VV54" s="4"/>
      <c r="VW54" s="4"/>
      <c r="VX54" s="4"/>
      <c r="VY54" s="4"/>
      <c r="VZ54" s="4"/>
      <c r="WA54" s="4"/>
      <c r="WB54" s="4"/>
      <c r="WC54" s="4"/>
      <c r="WD54" s="4"/>
      <c r="WE54" s="4"/>
      <c r="WF54" s="4"/>
      <c r="WG54" s="4"/>
      <c r="WH54" s="4"/>
      <c r="WI54" s="4"/>
      <c r="WJ54" s="4"/>
      <c r="WK54" s="4"/>
      <c r="WL54" s="4"/>
      <c r="WM54" s="4"/>
      <c r="WN54" s="4"/>
      <c r="WO54" s="4"/>
      <c r="WP54" s="4"/>
      <c r="WQ54" s="4"/>
      <c r="WR54" s="4"/>
      <c r="WS54" s="4"/>
      <c r="WT54" s="4"/>
      <c r="WU54" s="4"/>
      <c r="WV54" s="4"/>
      <c r="WW54" s="4"/>
      <c r="WX54" s="4"/>
      <c r="WY54" s="4"/>
      <c r="WZ54" s="4"/>
      <c r="XA54" s="4"/>
      <c r="XB54" s="4"/>
      <c r="XC54" s="4"/>
      <c r="XD54" s="4"/>
      <c r="XE54" s="4"/>
      <c r="XF54" s="4"/>
      <c r="XG54" s="4"/>
      <c r="XH54" s="4"/>
      <c r="XI54" s="4"/>
      <c r="XJ54" s="4"/>
      <c r="XK54" s="4"/>
      <c r="XL54" s="4"/>
      <c r="XM54" s="4"/>
      <c r="XN54" s="4"/>
      <c r="XO54" s="4"/>
      <c r="XP54" s="4"/>
      <c r="XQ54" s="4"/>
      <c r="XR54" s="4"/>
      <c r="XS54" s="4"/>
      <c r="XT54" s="4"/>
      <c r="XU54" s="4"/>
      <c r="XV54" s="4"/>
      <c r="XW54" s="4"/>
      <c r="XX54" s="4"/>
      <c r="XY54" s="4"/>
      <c r="XZ54" s="4"/>
      <c r="YA54" s="4"/>
      <c r="YB54" s="4"/>
      <c r="YC54" s="4"/>
      <c r="YD54" s="4"/>
      <c r="YE54" s="4"/>
      <c r="YF54" s="4"/>
      <c r="YG54" s="4"/>
      <c r="YH54" s="4"/>
      <c r="YI54" s="4"/>
      <c r="YJ54" s="4"/>
      <c r="YK54" s="4"/>
      <c r="YL54" s="4"/>
      <c r="YM54" s="4"/>
      <c r="YN54" s="4"/>
      <c r="YO54" s="4"/>
      <c r="YP54" s="4"/>
      <c r="YQ54" s="4"/>
      <c r="YR54" s="4"/>
      <c r="YS54" s="4"/>
      <c r="YT54" s="4"/>
      <c r="YU54" s="4"/>
      <c r="YV54" s="4"/>
      <c r="YW54" s="4"/>
      <c r="YX54" s="4"/>
      <c r="YY54" s="4"/>
      <c r="YZ54" s="4"/>
      <c r="ZA54" s="4"/>
      <c r="ZB54" s="4"/>
      <c r="ZC54" s="4"/>
      <c r="ZD54" s="4"/>
      <c r="ZE54" s="4"/>
      <c r="ZF54" s="4"/>
      <c r="ZG54" s="4"/>
      <c r="ZH54" s="4"/>
      <c r="ZI54" s="4"/>
      <c r="ZJ54" s="4"/>
      <c r="ZK54" s="4"/>
      <c r="ZL54" s="4"/>
      <c r="ZM54" s="4"/>
      <c r="ZN54" s="4"/>
      <c r="ZO54" s="4"/>
      <c r="ZP54" s="4"/>
      <c r="ZQ54" s="4"/>
      <c r="ZR54" s="4"/>
      <c r="ZS54" s="4"/>
      <c r="ZT54" s="4"/>
      <c r="ZU54" s="4"/>
      <c r="ZV54" s="4"/>
      <c r="ZW54" s="4"/>
      <c r="ZX54" s="4"/>
      <c r="ZY54" s="4"/>
      <c r="ZZ54" s="4"/>
      <c r="AAA54" s="4"/>
      <c r="AAB54" s="4"/>
      <c r="AAC54" s="4"/>
      <c r="AAD54" s="4"/>
      <c r="AAE54" s="4"/>
      <c r="AAF54" s="4"/>
      <c r="AAG54" s="4"/>
      <c r="AAH54" s="4"/>
      <c r="AAI54" s="4"/>
      <c r="AAJ54" s="4"/>
      <c r="AAK54" s="4"/>
      <c r="AAL54" s="4"/>
      <c r="AAM54" s="4"/>
      <c r="AAN54" s="4"/>
      <c r="AAO54" s="4"/>
      <c r="AAP54" s="4"/>
      <c r="AAQ54" s="4"/>
      <c r="AAR54" s="4"/>
      <c r="AAS54" s="4"/>
      <c r="AAT54" s="4"/>
      <c r="AAU54" s="4"/>
      <c r="AAV54" s="4"/>
      <c r="AAW54" s="4"/>
      <c r="AAX54" s="4"/>
      <c r="AAY54" s="4"/>
      <c r="AAZ54" s="4"/>
      <c r="ABA54" s="4"/>
      <c r="ABB54" s="4"/>
      <c r="ABC54" s="4"/>
      <c r="ABD54" s="4"/>
      <c r="ABE54" s="4"/>
      <c r="ABF54" s="4"/>
      <c r="ABG54" s="4"/>
      <c r="ABH54" s="4"/>
      <c r="ABI54" s="4"/>
      <c r="ABJ54" s="4"/>
      <c r="ABK54" s="4"/>
      <c r="ABL54" s="4"/>
      <c r="ABM54" s="4"/>
      <c r="ABN54" s="4"/>
      <c r="ABO54" s="4"/>
      <c r="ABP54" s="4"/>
      <c r="ABQ54" s="4"/>
      <c r="ABR54" s="4"/>
      <c r="ABS54" s="4"/>
      <c r="ABT54" s="4"/>
      <c r="ABU54" s="4"/>
      <c r="ABV54" s="4"/>
      <c r="ABW54" s="4"/>
      <c r="ABX54" s="4"/>
      <c r="ABY54" s="4"/>
      <c r="ABZ54" s="4"/>
      <c r="ACA54" s="4"/>
      <c r="ACB54" s="4"/>
      <c r="ACC54" s="4"/>
      <c r="ACD54" s="4"/>
      <c r="ACE54" s="4"/>
      <c r="ACF54" s="4"/>
      <c r="ACG54" s="4"/>
      <c r="ACH54" s="4"/>
      <c r="ACI54" s="4"/>
      <c r="ACJ54" s="4"/>
      <c r="ACK54" s="4"/>
      <c r="ACL54" s="4"/>
      <c r="ACM54" s="4"/>
      <c r="ACN54" s="4"/>
      <c r="ACO54" s="4"/>
      <c r="ACP54" s="4"/>
      <c r="ACQ54" s="4"/>
      <c r="ACR54" s="4"/>
      <c r="ACS54" s="4"/>
      <c r="ACT54" s="4"/>
      <c r="ACU54" s="4"/>
      <c r="ACV54" s="4"/>
      <c r="ACW54" s="4"/>
      <c r="ACX54" s="4"/>
      <c r="ACY54" s="4"/>
      <c r="ACZ54" s="4"/>
      <c r="ADA54" s="4"/>
      <c r="ADB54" s="4"/>
      <c r="ADC54" s="4"/>
      <c r="ADD54" s="4"/>
      <c r="ADE54" s="4"/>
      <c r="ADF54" s="4"/>
      <c r="ADG54" s="4"/>
      <c r="ADH54" s="4"/>
      <c r="ADI54" s="4"/>
      <c r="ADJ54" s="4"/>
      <c r="ADK54" s="4"/>
      <c r="ADL54" s="4"/>
      <c r="ADM54" s="4"/>
      <c r="ADN54" s="4"/>
      <c r="ADO54" s="4"/>
      <c r="ADP54" s="4"/>
      <c r="ADQ54" s="4"/>
      <c r="ADR54" s="4"/>
      <c r="ADS54" s="4"/>
      <c r="ADT54" s="4"/>
      <c r="ADU54" s="4"/>
      <c r="ADV54" s="4"/>
      <c r="ADW54" s="4"/>
      <c r="ADX54" s="4"/>
      <c r="ADY54" s="4"/>
      <c r="ADZ54" s="4"/>
      <c r="AEA54" s="4"/>
      <c r="AEB54" s="4"/>
      <c r="AEC54" s="4"/>
      <c r="AED54" s="4"/>
      <c r="AEE54" s="4"/>
      <c r="AEF54" s="4"/>
      <c r="AEG54" s="4"/>
      <c r="AEH54" s="4"/>
      <c r="AEI54" s="4"/>
      <c r="AEJ54" s="4"/>
      <c r="AEK54" s="4"/>
      <c r="AEL54" s="4"/>
      <c r="AEM54" s="4"/>
      <c r="AEN54" s="4"/>
      <c r="AEO54" s="4"/>
      <c r="AEP54" s="4"/>
      <c r="AEQ54" s="4"/>
      <c r="AER54" s="4"/>
      <c r="AES54" s="4"/>
      <c r="AET54" s="4"/>
      <c r="AEU54" s="4"/>
      <c r="AEV54" s="4"/>
      <c r="AEW54" s="4"/>
      <c r="AEX54" s="4"/>
      <c r="AEY54" s="4"/>
      <c r="AEZ54" s="4"/>
      <c r="AFA54" s="4"/>
      <c r="AFB54" s="4"/>
      <c r="AFC54" s="4"/>
      <c r="AFD54" s="4"/>
      <c r="AFE54" s="4"/>
      <c r="AFF54" s="4"/>
      <c r="AFG54" s="4"/>
      <c r="AFH54" s="4"/>
      <c r="AFI54" s="4"/>
      <c r="AFJ54" s="4"/>
      <c r="AFK54" s="4"/>
      <c r="AFL54" s="4"/>
      <c r="AFM54" s="4"/>
      <c r="AFN54" s="4"/>
      <c r="AFO54" s="4"/>
      <c r="AFP54" s="4"/>
      <c r="AFQ54" s="4"/>
      <c r="AFR54" s="4"/>
      <c r="AFS54" s="4"/>
      <c r="AFT54" s="4"/>
      <c r="AFU54" s="4"/>
      <c r="AFV54" s="4"/>
      <c r="AFW54" s="4"/>
      <c r="AFX54" s="4"/>
      <c r="AFY54" s="4"/>
      <c r="AFZ54" s="4"/>
      <c r="AGA54" s="4"/>
      <c r="AGB54" s="4"/>
      <c r="AGC54" s="4"/>
      <c r="AGD54" s="4"/>
      <c r="AGE54" s="4"/>
      <c r="AGF54" s="4"/>
      <c r="AGG54" s="4"/>
      <c r="AGH54" s="4"/>
      <c r="AGI54" s="4"/>
      <c r="AGJ54" s="4"/>
      <c r="AGK54" s="4"/>
      <c r="AGL54" s="4"/>
      <c r="AGM54" s="4"/>
      <c r="AGN54" s="4"/>
      <c r="AGO54" s="4"/>
      <c r="AGP54" s="4"/>
      <c r="AGQ54" s="4"/>
      <c r="AGR54" s="4"/>
      <c r="AGS54" s="4"/>
      <c r="AGT54" s="4"/>
      <c r="AGU54" s="4"/>
      <c r="AGV54" s="4"/>
      <c r="AGW54" s="4"/>
      <c r="AGX54" s="4"/>
      <c r="AGY54" s="4"/>
      <c r="AGZ54" s="4"/>
      <c r="AHA54" s="4"/>
      <c r="AHB54" s="4"/>
      <c r="AHC54" s="4"/>
      <c r="AHD54" s="4"/>
      <c r="AHE54" s="4"/>
      <c r="AHF54" s="4"/>
      <c r="AHG54" s="4"/>
      <c r="AHH54" s="4"/>
      <c r="AHI54" s="4"/>
      <c r="AHJ54" s="4"/>
      <c r="AHK54" s="4"/>
      <c r="AHL54" s="4"/>
      <c r="AHM54" s="4"/>
      <c r="AHN54" s="4"/>
      <c r="AHO54" s="4"/>
      <c r="AHP54" s="4"/>
      <c r="AHQ54" s="4"/>
      <c r="AHR54" s="4"/>
      <c r="AHS54" s="4"/>
      <c r="AHT54" s="4"/>
      <c r="AHU54" s="4"/>
      <c r="AHV54" s="4"/>
      <c r="AHW54" s="4"/>
      <c r="AHX54" s="4"/>
      <c r="AHY54" s="4"/>
      <c r="AHZ54" s="4"/>
      <c r="AIA54" s="4"/>
      <c r="AIB54" s="4"/>
      <c r="AIC54" s="4"/>
      <c r="AID54" s="4"/>
      <c r="AIE54" s="4"/>
      <c r="AIF54" s="4"/>
      <c r="AIG54" s="4"/>
      <c r="AIH54" s="4"/>
      <c r="AII54" s="4"/>
      <c r="AIJ54" s="4"/>
      <c r="AIK54" s="4"/>
      <c r="AIL54" s="4"/>
      <c r="AIM54" s="4"/>
      <c r="AIN54" s="4"/>
      <c r="AIO54" s="4"/>
      <c r="AIP54" s="4"/>
      <c r="AIQ54" s="4"/>
      <c r="AIR54" s="4"/>
      <c r="AIS54" s="4"/>
      <c r="AIT54" s="4"/>
      <c r="AIU54" s="4"/>
      <c r="AIV54" s="4"/>
      <c r="AIW54" s="4"/>
      <c r="AIX54" s="4"/>
      <c r="AIY54" s="4"/>
      <c r="AIZ54" s="4"/>
      <c r="AJA54" s="4"/>
      <c r="AJB54" s="4"/>
      <c r="AJC54" s="4"/>
      <c r="AJD54" s="4"/>
      <c r="AJE54" s="4"/>
      <c r="AJF54" s="4"/>
      <c r="AJG54" s="4"/>
      <c r="AJH54" s="4"/>
      <c r="AJI54" s="4"/>
      <c r="AJJ54" s="4"/>
      <c r="AJK54" s="4"/>
      <c r="AJL54" s="4"/>
      <c r="AJM54" s="4"/>
      <c r="AJN54" s="4"/>
      <c r="AJO54" s="4"/>
      <c r="AJP54" s="4"/>
      <c r="AJQ54" s="4"/>
      <c r="AJR54" s="4"/>
      <c r="AJS54" s="4"/>
      <c r="AJT54" s="4"/>
      <c r="AJU54" s="4"/>
      <c r="AJV54" s="4"/>
      <c r="AJW54" s="4"/>
      <c r="AJX54" s="4"/>
      <c r="AJY54" s="4"/>
      <c r="AJZ54" s="4"/>
      <c r="AKA54" s="4"/>
      <c r="AKB54" s="4"/>
      <c r="AKC54" s="4"/>
      <c r="AKD54" s="4"/>
      <c r="AKE54" s="4"/>
      <c r="AKF54" s="4"/>
      <c r="AKG54" s="4"/>
      <c r="AKH54" s="4"/>
      <c r="AKI54" s="4"/>
      <c r="AKJ54" s="4"/>
      <c r="AKK54" s="4"/>
      <c r="AKL54" s="4"/>
      <c r="AKM54" s="4"/>
      <c r="AKN54" s="4"/>
      <c r="AKO54" s="4"/>
      <c r="AKP54" s="4"/>
      <c r="AKQ54" s="4"/>
      <c r="AKR54" s="4"/>
      <c r="AKS54" s="4"/>
      <c r="AKT54" s="4"/>
      <c r="AKU54" s="4"/>
      <c r="AKV54" s="4"/>
      <c r="AKW54" s="4"/>
      <c r="AKX54" s="4"/>
      <c r="AKY54" s="4"/>
      <c r="AKZ54" s="4"/>
      <c r="ALA54" s="4"/>
      <c r="ALB54" s="4"/>
      <c r="ALC54" s="4"/>
      <c r="ALD54" s="4"/>
      <c r="ALE54" s="4"/>
      <c r="ALF54" s="4"/>
      <c r="ALG54" s="4"/>
      <c r="ALH54" s="4"/>
      <c r="ALI54" s="4"/>
      <c r="ALJ54" s="4"/>
      <c r="ALK54" s="4"/>
      <c r="ALL54" s="4"/>
      <c r="ALM54" s="4"/>
      <c r="ALN54" s="4"/>
      <c r="ALO54" s="4"/>
      <c r="ALP54" s="4"/>
      <c r="ALQ54" s="4"/>
      <c r="ALR54" s="4"/>
      <c r="ALS54" s="4"/>
      <c r="ALT54" s="4"/>
      <c r="ALU54" s="4"/>
      <c r="ALV54" s="4"/>
      <c r="ALW54" s="4"/>
      <c r="ALX54" s="4"/>
      <c r="ALY54" s="4"/>
      <c r="ALZ54" s="4"/>
      <c r="AMA54" s="4"/>
      <c r="AMB54" s="4"/>
      <c r="AMC54" s="4"/>
      <c r="AMD54" s="4"/>
      <c r="AME54" s="4"/>
      <c r="AMF54" s="4"/>
      <c r="AMG54" s="4"/>
      <c r="AMH54" s="4"/>
      <c r="AMI54" s="4"/>
      <c r="AMJ54" s="4"/>
      <c r="AMK54" s="4"/>
      <c r="AML54" s="4"/>
      <c r="AMM54" s="4"/>
      <c r="AMN54" s="4"/>
      <c r="AMO54" s="4"/>
      <c r="AMP54" s="4"/>
      <c r="AMQ54" s="4"/>
      <c r="AMR54" s="4"/>
      <c r="AMS54" s="4"/>
      <c r="AMT54" s="4"/>
      <c r="AMU54" s="4"/>
      <c r="AMV54" s="4"/>
      <c r="AMW54" s="4"/>
      <c r="AMX54" s="4"/>
      <c r="AMY54" s="4"/>
      <c r="AMZ54" s="4"/>
      <c r="ANA54" s="4"/>
      <c r="ANB54" s="4"/>
      <c r="ANC54" s="4"/>
      <c r="AND54" s="4"/>
      <c r="ANE54" s="4"/>
      <c r="ANF54" s="4"/>
      <c r="ANG54" s="4"/>
      <c r="ANH54" s="4"/>
      <c r="ANI54" s="4"/>
      <c r="ANJ54" s="4"/>
      <c r="ANK54" s="4"/>
      <c r="ANL54" s="4"/>
      <c r="ANM54" s="4"/>
      <c r="ANN54" s="4"/>
      <c r="ANO54" s="4"/>
      <c r="ANP54" s="4"/>
      <c r="ANQ54" s="4"/>
      <c r="ANR54" s="4"/>
      <c r="ANS54" s="4"/>
      <c r="ANT54" s="4"/>
      <c r="ANU54" s="4"/>
      <c r="ANV54" s="4"/>
      <c r="ANW54" s="4"/>
      <c r="ANX54" s="4"/>
      <c r="ANY54" s="4"/>
      <c r="ANZ54" s="4"/>
      <c r="AOA54" s="4"/>
      <c r="AOB54" s="4"/>
      <c r="AOC54" s="4"/>
      <c r="AOD54" s="4"/>
      <c r="AOE54" s="4"/>
      <c r="AOF54" s="4"/>
      <c r="AOG54" s="4"/>
      <c r="AOH54" s="4"/>
      <c r="AOI54" s="4"/>
      <c r="AOJ54" s="4"/>
      <c r="AOK54" s="4"/>
      <c r="AOL54" s="4"/>
      <c r="AOM54" s="4"/>
      <c r="AON54" s="4"/>
      <c r="AOO54" s="4"/>
      <c r="AOP54" s="4"/>
      <c r="AOQ54" s="4"/>
      <c r="AOR54" s="4"/>
      <c r="AOS54" s="4"/>
      <c r="AOT54" s="4"/>
      <c r="AOU54" s="4"/>
      <c r="AOV54" s="4"/>
      <c r="AOW54" s="4"/>
      <c r="AOX54" s="4"/>
      <c r="AOY54" s="4"/>
      <c r="AOZ54" s="4"/>
      <c r="APA54" s="4"/>
      <c r="APB54" s="4"/>
      <c r="APC54" s="4"/>
      <c r="APD54" s="4"/>
      <c r="APE54" s="4"/>
      <c r="APF54" s="4"/>
      <c r="APG54" s="4"/>
      <c r="APH54" s="4"/>
      <c r="API54" s="4"/>
      <c r="APJ54" s="4"/>
      <c r="APK54" s="4"/>
      <c r="APL54" s="4"/>
      <c r="APM54" s="4"/>
      <c r="APN54" s="4"/>
      <c r="APO54" s="4"/>
      <c r="APP54" s="4"/>
      <c r="APQ54" s="4"/>
      <c r="APR54" s="4"/>
      <c r="APS54" s="4"/>
      <c r="APT54" s="4"/>
      <c r="APU54" s="4"/>
      <c r="APV54" s="4"/>
      <c r="APW54" s="4"/>
      <c r="APX54" s="4"/>
      <c r="APY54" s="4"/>
      <c r="APZ54" s="4"/>
      <c r="AQA54" s="4"/>
      <c r="AQB54" s="4"/>
      <c r="AQC54" s="4"/>
      <c r="AQD54" s="4"/>
      <c r="AQE54" s="4"/>
      <c r="AQF54" s="4"/>
      <c r="AQG54" s="4"/>
      <c r="AQH54" s="4"/>
      <c r="AQI54" s="4"/>
      <c r="AQJ54" s="4"/>
      <c r="AQK54" s="4"/>
      <c r="AQL54" s="4"/>
      <c r="AQM54" s="4"/>
      <c r="AQN54" s="4"/>
      <c r="AQO54" s="4"/>
      <c r="AQP54" s="4"/>
      <c r="AQQ54" s="4"/>
      <c r="AQR54" s="4"/>
      <c r="AQS54" s="4"/>
      <c r="AQT54" s="4"/>
      <c r="AQU54" s="4"/>
      <c r="AQV54" s="4"/>
      <c r="AQW54" s="4"/>
      <c r="AQX54" s="4"/>
      <c r="AQY54" s="4"/>
      <c r="AQZ54" s="4"/>
      <c r="ARA54" s="4"/>
      <c r="ARB54" s="4"/>
      <c r="ARC54" s="4"/>
      <c r="ARD54" s="4"/>
      <c r="ARE54" s="4"/>
      <c r="ARF54" s="4"/>
      <c r="ARG54" s="4"/>
      <c r="ARH54" s="4"/>
      <c r="ARI54" s="4"/>
      <c r="ARJ54" s="4"/>
      <c r="ARK54" s="4"/>
      <c r="ARL54" s="4"/>
      <c r="ARM54" s="4"/>
      <c r="ARN54" s="4"/>
      <c r="ARO54" s="4"/>
      <c r="ARP54" s="4"/>
      <c r="ARQ54" s="4"/>
      <c r="ARR54" s="4"/>
      <c r="ARS54" s="4"/>
      <c r="ART54" s="4"/>
      <c r="ARU54" s="4"/>
      <c r="ARV54" s="4"/>
      <c r="ARW54" s="4"/>
      <c r="ARX54" s="4"/>
      <c r="ARY54" s="4"/>
      <c r="ARZ54" s="4"/>
      <c r="ASA54" s="4"/>
      <c r="ASB54" s="4"/>
      <c r="ASC54" s="4"/>
      <c r="ASD54" s="4"/>
      <c r="ASE54" s="4"/>
      <c r="ASF54" s="4"/>
      <c r="ASG54" s="4"/>
      <c r="ASH54" s="4"/>
      <c r="ASI54" s="4"/>
      <c r="ASJ54" s="4"/>
      <c r="ASK54" s="4"/>
      <c r="ASL54" s="4"/>
      <c r="ASM54" s="4"/>
      <c r="ASN54" s="4"/>
      <c r="ASO54" s="4"/>
      <c r="ASP54" s="4"/>
      <c r="ASQ54" s="4"/>
      <c r="ASR54" s="4"/>
      <c r="ASS54" s="4"/>
      <c r="AST54" s="4"/>
      <c r="ASU54" s="4"/>
      <c r="ASV54" s="4"/>
      <c r="ASW54" s="4"/>
      <c r="ASX54" s="4"/>
      <c r="ASY54" s="4"/>
      <c r="ASZ54" s="4"/>
      <c r="ATA54" s="4"/>
      <c r="ATB54" s="4"/>
      <c r="ATC54" s="4"/>
      <c r="ATD54" s="4"/>
      <c r="ATE54" s="4"/>
      <c r="ATF54" s="4"/>
      <c r="ATG54" s="4"/>
      <c r="ATH54" s="4"/>
      <c r="ATI54" s="4"/>
      <c r="ATJ54" s="4"/>
      <c r="ATK54" s="4"/>
      <c r="ATL54" s="4"/>
      <c r="ATM54" s="4"/>
      <c r="ATN54" s="4"/>
      <c r="ATO54" s="4"/>
      <c r="ATP54" s="4"/>
      <c r="ATQ54" s="4"/>
      <c r="ATR54" s="4"/>
      <c r="ATS54" s="4"/>
      <c r="ATT54" s="4"/>
      <c r="ATU54" s="4"/>
      <c r="ATV54" s="4"/>
      <c r="ATW54" s="4"/>
      <c r="ATX54" s="4"/>
      <c r="ATY54" s="4"/>
      <c r="ATZ54" s="4"/>
      <c r="AUA54" s="4"/>
      <c r="AUB54" s="4"/>
      <c r="AUC54" s="4"/>
      <c r="AUD54" s="4"/>
      <c r="AUE54" s="4"/>
      <c r="AUF54" s="4"/>
      <c r="AUG54" s="4"/>
      <c r="AUH54" s="4"/>
      <c r="AUI54" s="4"/>
      <c r="AUJ54" s="4"/>
      <c r="AUK54" s="4"/>
      <c r="AUL54" s="4"/>
      <c r="AUM54" s="4"/>
      <c r="AUN54" s="4"/>
      <c r="AUO54" s="4"/>
      <c r="AUP54" s="4"/>
      <c r="AUQ54" s="4"/>
      <c r="AUR54" s="4"/>
      <c r="AUS54" s="4"/>
      <c r="AUT54" s="4"/>
      <c r="AUU54" s="4"/>
      <c r="AUV54" s="4"/>
      <c r="AUW54" s="4"/>
      <c r="AUX54" s="4"/>
      <c r="AUY54" s="4"/>
      <c r="AUZ54" s="4"/>
      <c r="AVA54" s="4"/>
      <c r="AVB54" s="4"/>
      <c r="AVC54" s="4"/>
      <c r="AVD54" s="4"/>
      <c r="AVE54" s="4"/>
      <c r="AVF54" s="4"/>
      <c r="AVG54" s="4"/>
      <c r="AVH54" s="4"/>
      <c r="AVI54" s="4"/>
      <c r="AVJ54" s="4"/>
      <c r="AVK54" s="4"/>
      <c r="AVL54" s="4"/>
      <c r="AVM54" s="4"/>
      <c r="AVN54" s="4"/>
      <c r="AVO54" s="4"/>
      <c r="AVP54" s="4"/>
      <c r="AVQ54" s="4"/>
      <c r="AVR54" s="4"/>
      <c r="AVS54" s="4"/>
      <c r="AVT54" s="4"/>
      <c r="AVU54" s="4"/>
      <c r="AVV54" s="4"/>
      <c r="AVW54" s="4"/>
      <c r="AVX54" s="4"/>
      <c r="AVY54" s="4"/>
      <c r="AVZ54" s="4"/>
      <c r="AWA54" s="4"/>
      <c r="AWB54" s="4"/>
      <c r="AWC54" s="4"/>
      <c r="AWD54" s="4"/>
      <c r="AWE54" s="4"/>
      <c r="AWF54" s="4"/>
      <c r="AWG54" s="4"/>
      <c r="AWH54" s="4"/>
      <c r="AWI54" s="4"/>
      <c r="AWJ54" s="4"/>
      <c r="AWK54" s="4"/>
      <c r="AWL54" s="4"/>
      <c r="AWM54" s="4"/>
      <c r="AWN54" s="4"/>
      <c r="AWO54" s="4"/>
      <c r="AWP54" s="4"/>
      <c r="AWQ54" s="4"/>
      <c r="AWR54" s="4"/>
      <c r="AWS54" s="4"/>
      <c r="AWT54" s="4"/>
      <c r="AWU54" s="4"/>
      <c r="AWV54" s="4"/>
      <c r="AWW54" s="4"/>
      <c r="AWX54" s="4"/>
      <c r="AWY54" s="4"/>
      <c r="AWZ54" s="4"/>
      <c r="AXA54" s="4"/>
      <c r="AXB54" s="4"/>
      <c r="AXC54" s="4"/>
      <c r="AXD54" s="4"/>
      <c r="AXE54" s="4"/>
      <c r="AXF54" s="4"/>
      <c r="AXG54" s="4"/>
      <c r="AXH54" s="4"/>
      <c r="AXI54" s="4"/>
      <c r="AXJ54" s="4"/>
      <c r="AXK54" s="4"/>
      <c r="AXL54" s="4"/>
      <c r="AXM54" s="4"/>
      <c r="AXN54" s="4"/>
      <c r="AXO54" s="4"/>
      <c r="AXP54" s="4"/>
      <c r="AXQ54" s="4"/>
      <c r="AXR54" s="4"/>
      <c r="AXS54" s="4"/>
      <c r="AXT54" s="4"/>
      <c r="AXU54" s="4"/>
      <c r="AXV54" s="4"/>
      <c r="AXW54" s="4"/>
      <c r="AXX54" s="4"/>
      <c r="AXY54" s="4"/>
      <c r="AXZ54" s="4"/>
      <c r="AYA54" s="4"/>
      <c r="AYB54" s="4"/>
      <c r="AYC54" s="4"/>
      <c r="AYD54" s="4"/>
      <c r="AYE54" s="4"/>
      <c r="AYF54" s="4"/>
      <c r="AYG54" s="4"/>
      <c r="AYH54" s="4"/>
      <c r="AYI54" s="4"/>
      <c r="AYJ54" s="4"/>
      <c r="AYK54" s="4"/>
      <c r="AYL54" s="4"/>
      <c r="AYM54" s="4"/>
      <c r="AYN54" s="4"/>
      <c r="AYO54" s="4"/>
      <c r="AYP54" s="4"/>
      <c r="AYQ54" s="4"/>
      <c r="AYR54" s="4"/>
      <c r="AYS54" s="4"/>
      <c r="AYT54" s="4"/>
      <c r="AYU54" s="4"/>
      <c r="AYV54" s="4"/>
      <c r="AYW54" s="4"/>
      <c r="AYX54" s="4"/>
      <c r="AYY54" s="4"/>
      <c r="AYZ54" s="4"/>
      <c r="AZA54" s="4"/>
      <c r="AZB54" s="4"/>
      <c r="AZC54" s="4"/>
      <c r="AZD54" s="4"/>
      <c r="AZE54" s="4"/>
      <c r="AZF54" s="4"/>
      <c r="AZG54" s="4"/>
      <c r="AZH54" s="4"/>
      <c r="AZI54" s="4"/>
      <c r="AZJ54" s="4"/>
      <c r="AZK54" s="4"/>
      <c r="AZL54" s="4"/>
      <c r="AZM54" s="4"/>
      <c r="AZN54" s="4"/>
      <c r="AZO54" s="4"/>
      <c r="AZP54" s="4"/>
      <c r="AZQ54" s="4"/>
      <c r="AZR54" s="4"/>
      <c r="AZS54" s="4"/>
      <c r="AZT54" s="4"/>
      <c r="AZU54" s="4"/>
      <c r="AZV54" s="4"/>
      <c r="AZW54" s="4"/>
      <c r="AZX54" s="4"/>
      <c r="AZY54" s="4"/>
      <c r="AZZ54" s="4"/>
      <c r="BAA54" s="4"/>
      <c r="BAB54" s="4"/>
      <c r="BAC54" s="4"/>
      <c r="BAD54" s="4"/>
      <c r="BAE54" s="4"/>
      <c r="BAF54" s="4"/>
      <c r="BAG54" s="4"/>
      <c r="BAH54" s="4"/>
      <c r="BAI54" s="4"/>
      <c r="BAJ54" s="4"/>
      <c r="BAK54" s="4"/>
      <c r="BAL54" s="4"/>
      <c r="BAM54" s="4"/>
      <c r="BAN54" s="4"/>
      <c r="BAO54" s="4"/>
      <c r="BAP54" s="4"/>
      <c r="BAQ54" s="4"/>
      <c r="BAR54" s="4"/>
      <c r="BAS54" s="4"/>
      <c r="BAT54" s="4"/>
      <c r="BAU54" s="4"/>
      <c r="BAV54" s="4"/>
      <c r="BAW54" s="4"/>
      <c r="BAX54" s="4"/>
      <c r="BAY54" s="4"/>
      <c r="BAZ54" s="4"/>
      <c r="BBA54" s="4"/>
      <c r="BBB54" s="4"/>
      <c r="BBC54" s="4"/>
      <c r="BBD54" s="4"/>
      <c r="BBE54" s="4"/>
      <c r="BBF54" s="4"/>
      <c r="BBG54" s="4"/>
      <c r="BBH54" s="4"/>
      <c r="BBI54" s="4"/>
      <c r="BBJ54" s="4"/>
      <c r="BBK54" s="4"/>
      <c r="BBL54" s="4"/>
      <c r="BBM54" s="4"/>
      <c r="BBN54" s="4"/>
      <c r="BBO54" s="4"/>
      <c r="BBP54" s="4"/>
      <c r="BBQ54" s="4"/>
      <c r="BBR54" s="4"/>
      <c r="BBS54" s="4"/>
      <c r="BBT54" s="4"/>
      <c r="BBU54" s="4"/>
      <c r="BBV54" s="4"/>
      <c r="BBW54" s="4"/>
      <c r="BBX54" s="4"/>
      <c r="BBY54" s="4"/>
      <c r="BBZ54" s="4"/>
      <c r="BCA54" s="4"/>
      <c r="BCB54" s="4"/>
      <c r="BCC54" s="4"/>
      <c r="BCD54" s="4"/>
      <c r="BCE54" s="4"/>
      <c r="BCF54" s="4"/>
      <c r="BCG54" s="4"/>
      <c r="BCH54" s="4"/>
      <c r="BCI54" s="4"/>
      <c r="BCJ54" s="4"/>
      <c r="BCK54" s="4"/>
      <c r="BCL54" s="4"/>
      <c r="BCM54" s="4"/>
      <c r="BCN54" s="4"/>
      <c r="BCO54" s="4"/>
      <c r="BCP54" s="4"/>
      <c r="BCQ54" s="4"/>
      <c r="BCR54" s="4"/>
      <c r="BCS54" s="4"/>
      <c r="BCT54" s="4"/>
      <c r="BCU54" s="4"/>
      <c r="BCV54" s="4"/>
      <c r="BCW54" s="4"/>
      <c r="BCX54" s="4"/>
      <c r="BCY54" s="4"/>
      <c r="BCZ54" s="4"/>
      <c r="BDA54" s="4"/>
      <c r="BDB54" s="4"/>
      <c r="BDC54" s="4"/>
      <c r="BDD54" s="4"/>
      <c r="BDE54" s="4"/>
      <c r="BDF54" s="4"/>
      <c r="BDG54" s="4"/>
      <c r="BDH54" s="4"/>
      <c r="BDI54" s="4"/>
      <c r="BDJ54" s="4"/>
      <c r="BDK54" s="4"/>
      <c r="BDL54" s="4"/>
      <c r="BDM54" s="4"/>
      <c r="BDN54" s="4"/>
      <c r="BDO54" s="4"/>
      <c r="BDP54" s="4"/>
      <c r="BDQ54" s="4"/>
      <c r="BDR54" s="4"/>
      <c r="BDS54" s="4"/>
      <c r="BDT54" s="4"/>
      <c r="BDU54" s="4"/>
      <c r="BDV54" s="4"/>
      <c r="BDW54" s="4"/>
      <c r="BDX54" s="4"/>
      <c r="BDY54" s="4"/>
      <c r="BDZ54" s="4"/>
      <c r="BEA54" s="4"/>
      <c r="BEB54" s="4"/>
      <c r="BEC54" s="4"/>
      <c r="BED54" s="4"/>
      <c r="BEE54" s="4"/>
      <c r="BEF54" s="4"/>
      <c r="BEG54" s="4"/>
      <c r="BEH54" s="4"/>
      <c r="BEI54" s="4"/>
      <c r="BEJ54" s="4"/>
      <c r="BEK54" s="4"/>
      <c r="BEL54" s="4"/>
      <c r="BEM54" s="4"/>
      <c r="BEN54" s="4"/>
      <c r="BEO54" s="4"/>
      <c r="BEP54" s="4"/>
      <c r="BEQ54" s="4"/>
      <c r="BER54" s="4"/>
      <c r="BES54" s="4"/>
      <c r="BET54" s="4"/>
      <c r="BEU54" s="4"/>
      <c r="BEV54" s="4"/>
      <c r="BEW54" s="4"/>
      <c r="BEX54" s="4"/>
      <c r="BEY54" s="4"/>
      <c r="BEZ54" s="4"/>
      <c r="BFA54" s="4"/>
      <c r="BFB54" s="4"/>
      <c r="BFC54" s="4"/>
      <c r="BFD54" s="4"/>
      <c r="BFE54" s="4"/>
      <c r="BFF54" s="4"/>
      <c r="BFG54" s="4"/>
      <c r="BFH54" s="4"/>
      <c r="BFI54" s="4"/>
      <c r="BFJ54" s="4"/>
      <c r="BFK54" s="4"/>
      <c r="BFL54" s="4"/>
      <c r="BFM54" s="4"/>
      <c r="BFN54" s="4"/>
      <c r="BFO54" s="4"/>
      <c r="BFP54" s="4"/>
      <c r="BFQ54" s="4"/>
      <c r="BFR54" s="4"/>
      <c r="BFS54" s="4"/>
      <c r="BFT54" s="4"/>
      <c r="BFU54" s="4"/>
      <c r="BFV54" s="4"/>
      <c r="BFW54" s="4"/>
      <c r="BFX54" s="4"/>
      <c r="BFY54" s="4"/>
      <c r="BFZ54" s="4"/>
      <c r="BGA54" s="4"/>
      <c r="BGB54" s="4"/>
      <c r="BGC54" s="4"/>
      <c r="BGD54" s="4"/>
      <c r="BGE54" s="4"/>
      <c r="BGF54" s="4"/>
      <c r="BGG54" s="4"/>
      <c r="BGH54" s="4"/>
      <c r="BGI54" s="4"/>
      <c r="BGJ54" s="4"/>
      <c r="BGK54" s="4"/>
      <c r="BGL54" s="4"/>
      <c r="BGM54" s="4"/>
      <c r="BGN54" s="4"/>
      <c r="BGO54" s="4"/>
      <c r="BGP54" s="4"/>
      <c r="BGQ54" s="4"/>
      <c r="BGR54" s="4"/>
      <c r="BGS54" s="4"/>
      <c r="BGT54" s="4"/>
      <c r="BGU54" s="4"/>
      <c r="BGV54" s="4"/>
      <c r="BGW54" s="4"/>
      <c r="BGX54" s="4"/>
      <c r="BGY54" s="4"/>
      <c r="BGZ54" s="4"/>
      <c r="BHA54" s="4"/>
      <c r="BHB54" s="4"/>
      <c r="BHC54" s="4"/>
      <c r="BHD54" s="4"/>
      <c r="BHE54" s="4"/>
      <c r="BHF54" s="4"/>
      <c r="BHG54" s="4"/>
      <c r="BHH54" s="4"/>
      <c r="BHI54" s="4"/>
      <c r="BHJ54" s="4"/>
      <c r="BHK54" s="4"/>
      <c r="BHL54" s="4"/>
      <c r="BHM54" s="4"/>
      <c r="BHN54" s="4"/>
      <c r="BHO54" s="4"/>
      <c r="BHP54" s="4"/>
      <c r="BHQ54" s="4"/>
      <c r="BHR54" s="4"/>
      <c r="BHS54" s="4"/>
      <c r="BHT54" s="4"/>
      <c r="BHU54" s="4"/>
      <c r="BHV54" s="4"/>
      <c r="BHW54" s="4"/>
      <c r="BHX54" s="4"/>
      <c r="BHY54" s="4"/>
      <c r="BHZ54" s="4"/>
      <c r="BIA54" s="4"/>
      <c r="BIB54" s="4"/>
      <c r="BIC54" s="4"/>
      <c r="BID54" s="4"/>
      <c r="BIE54" s="4"/>
      <c r="BIF54" s="4"/>
      <c r="BIG54" s="4"/>
      <c r="BIH54" s="4"/>
      <c r="BII54" s="4"/>
      <c r="BIJ54" s="4"/>
      <c r="BIK54" s="4"/>
      <c r="BIL54" s="4"/>
      <c r="BIM54" s="4"/>
      <c r="BIN54" s="4"/>
      <c r="BIO54" s="4"/>
      <c r="BIP54" s="4"/>
      <c r="BIQ54" s="4"/>
      <c r="BIR54" s="4"/>
      <c r="BIS54" s="4"/>
      <c r="BIT54" s="4"/>
      <c r="BIU54" s="4"/>
      <c r="BIV54" s="4"/>
      <c r="BIW54" s="4"/>
      <c r="BIX54" s="4"/>
      <c r="BIY54" s="4"/>
      <c r="BIZ54" s="4"/>
      <c r="BJA54" s="4"/>
      <c r="BJB54" s="4"/>
      <c r="BJC54" s="4"/>
      <c r="BJD54" s="4"/>
      <c r="BJE54" s="4"/>
      <c r="BJF54" s="4"/>
      <c r="BJG54" s="4"/>
      <c r="BJH54" s="4"/>
      <c r="BJI54" s="4"/>
      <c r="BJJ54" s="4"/>
      <c r="BJK54" s="4"/>
      <c r="BJL54" s="4"/>
      <c r="BJM54" s="4"/>
      <c r="BJN54" s="4"/>
      <c r="BJO54" s="4"/>
      <c r="BJP54" s="4"/>
      <c r="BJQ54" s="4"/>
      <c r="BJR54" s="4"/>
      <c r="BJS54" s="4"/>
      <c r="BJT54" s="4"/>
      <c r="BJU54" s="4"/>
      <c r="BJV54" s="4"/>
      <c r="BJW54" s="4"/>
      <c r="BJX54" s="4"/>
      <c r="BJY54" s="4"/>
      <c r="BJZ54" s="4"/>
      <c r="BKA54" s="4"/>
      <c r="BKB54" s="4"/>
      <c r="BKC54" s="4"/>
      <c r="BKD54" s="4"/>
      <c r="BKE54" s="4"/>
      <c r="BKF54" s="4"/>
      <c r="BKG54" s="4"/>
      <c r="BKH54" s="4"/>
      <c r="BKI54" s="4"/>
      <c r="BKJ54" s="4"/>
      <c r="BKK54" s="4"/>
      <c r="BKL54" s="4"/>
      <c r="BKM54" s="4"/>
      <c r="BKN54" s="4"/>
      <c r="BKO54" s="4"/>
      <c r="BKP54" s="4"/>
      <c r="BKQ54" s="4"/>
      <c r="BKR54" s="4"/>
      <c r="BKS54" s="4"/>
      <c r="BKT54" s="4"/>
      <c r="BKU54" s="4"/>
      <c r="BKV54" s="4"/>
      <c r="BKW54" s="4"/>
      <c r="BKX54" s="4"/>
      <c r="BKY54" s="4"/>
      <c r="BKZ54" s="4"/>
      <c r="BLA54" s="4"/>
      <c r="BLB54" s="4"/>
      <c r="BLC54" s="4"/>
      <c r="BLD54" s="4"/>
      <c r="BLE54" s="4"/>
      <c r="BLF54" s="4"/>
      <c r="BLG54" s="4"/>
      <c r="BLH54" s="4"/>
      <c r="BLI54" s="4"/>
      <c r="BLJ54" s="4"/>
      <c r="BLK54" s="4"/>
      <c r="BLL54" s="4"/>
      <c r="BLM54" s="4"/>
      <c r="BLN54" s="4"/>
      <c r="BLO54" s="4"/>
      <c r="BLP54" s="4"/>
      <c r="BLQ54" s="4"/>
      <c r="BLR54" s="4"/>
      <c r="BLS54" s="4"/>
      <c r="BLT54" s="4"/>
      <c r="BLU54" s="4"/>
      <c r="BLV54" s="4"/>
      <c r="BLW54" s="4"/>
      <c r="BLX54" s="4"/>
      <c r="BLY54" s="4"/>
      <c r="BLZ54" s="4"/>
      <c r="BMA54" s="4"/>
      <c r="BMB54" s="4"/>
      <c r="BMC54" s="4"/>
      <c r="BMD54" s="4"/>
      <c r="BME54" s="4"/>
      <c r="BMF54" s="4"/>
      <c r="BMG54" s="4"/>
      <c r="BMH54" s="4"/>
      <c r="BMI54" s="4"/>
      <c r="BMJ54" s="4"/>
      <c r="BMK54" s="4"/>
      <c r="BML54" s="4"/>
      <c r="BMM54" s="4"/>
      <c r="BMN54" s="4"/>
      <c r="BMO54" s="4"/>
      <c r="BMP54" s="4"/>
      <c r="BMQ54" s="4"/>
      <c r="BMR54" s="4"/>
      <c r="BMS54" s="4"/>
      <c r="BMT54" s="4"/>
      <c r="BMU54" s="4"/>
      <c r="BMV54" s="4"/>
      <c r="BMW54" s="4"/>
      <c r="BMX54" s="4"/>
      <c r="BMY54" s="4"/>
      <c r="BMZ54" s="4"/>
      <c r="BNA54" s="4"/>
      <c r="BNB54" s="4"/>
      <c r="BNC54" s="4"/>
      <c r="BND54" s="4"/>
      <c r="BNE54" s="4"/>
      <c r="BNF54" s="4"/>
      <c r="BNG54" s="4"/>
      <c r="BNH54" s="4"/>
      <c r="BNI54" s="4"/>
      <c r="BNJ54" s="4"/>
      <c r="BNK54" s="4"/>
      <c r="BNL54" s="4"/>
      <c r="BNM54" s="4"/>
      <c r="BNN54" s="4"/>
      <c r="BNO54" s="4"/>
      <c r="BNP54" s="4"/>
      <c r="BNQ54" s="4"/>
      <c r="BNR54" s="4"/>
      <c r="BNS54" s="4"/>
      <c r="BNT54" s="4"/>
      <c r="BNU54" s="4"/>
      <c r="BNV54" s="4"/>
      <c r="BNW54" s="4"/>
      <c r="BNX54" s="4"/>
      <c r="BNY54" s="4"/>
      <c r="BNZ54" s="4"/>
      <c r="BOA54" s="4"/>
      <c r="BOB54" s="4"/>
      <c r="BOC54" s="4"/>
      <c r="BOD54" s="4"/>
      <c r="BOE54" s="4"/>
      <c r="BOF54" s="4"/>
      <c r="BOG54" s="4"/>
      <c r="BOH54" s="4"/>
      <c r="BOI54" s="4"/>
      <c r="BOJ54" s="4"/>
      <c r="BOK54" s="4"/>
      <c r="BOL54" s="4"/>
      <c r="BOM54" s="4"/>
      <c r="BON54" s="4"/>
      <c r="BOO54" s="4"/>
      <c r="BOP54" s="4"/>
      <c r="BOQ54" s="4"/>
      <c r="BOR54" s="4"/>
      <c r="BOS54" s="4"/>
      <c r="BOT54" s="4"/>
      <c r="BOU54" s="4"/>
      <c r="BOV54" s="4"/>
      <c r="BOW54" s="4"/>
      <c r="BOX54" s="4"/>
      <c r="BOY54" s="4"/>
      <c r="BOZ54" s="4"/>
      <c r="BPA54" s="4"/>
      <c r="BPB54" s="4"/>
      <c r="BPC54" s="4"/>
      <c r="BPD54" s="4"/>
      <c r="BPE54" s="4"/>
      <c r="BPF54" s="4"/>
      <c r="BPG54" s="4"/>
      <c r="BPH54" s="4"/>
      <c r="BPI54" s="4"/>
      <c r="BPJ54" s="4"/>
      <c r="BPK54" s="4"/>
      <c r="BPL54" s="4"/>
      <c r="BPM54" s="4"/>
      <c r="BPN54" s="4"/>
      <c r="BPO54" s="4"/>
      <c r="BPP54" s="4"/>
      <c r="BPQ54" s="4"/>
      <c r="BPR54" s="4"/>
      <c r="BPS54" s="4"/>
      <c r="BPT54" s="4"/>
      <c r="BPU54" s="4"/>
      <c r="BPV54" s="4"/>
      <c r="BPW54" s="4"/>
      <c r="BPX54" s="4"/>
      <c r="BPY54" s="4"/>
      <c r="BPZ54" s="4"/>
      <c r="BQA54" s="4"/>
      <c r="BQB54" s="4"/>
      <c r="BQC54" s="4"/>
      <c r="BQD54" s="4"/>
      <c r="BQE54" s="4"/>
      <c r="BQF54" s="4"/>
      <c r="BQG54" s="4"/>
      <c r="BQH54" s="4"/>
      <c r="BQI54" s="4"/>
      <c r="BQJ54" s="4"/>
      <c r="BQK54" s="4"/>
      <c r="BQL54" s="4"/>
      <c r="BQM54" s="4"/>
      <c r="BQN54" s="4"/>
      <c r="BQO54" s="4"/>
      <c r="BQP54" s="4"/>
      <c r="BQQ54" s="4"/>
      <c r="BQR54" s="4"/>
      <c r="BQS54" s="4"/>
      <c r="BQT54" s="4"/>
      <c r="BQU54" s="4"/>
      <c r="BQV54" s="4"/>
      <c r="BQW54" s="4"/>
      <c r="BQX54" s="4"/>
      <c r="BQY54" s="4"/>
      <c r="BQZ54" s="4"/>
      <c r="BRA54" s="4"/>
      <c r="BRB54" s="4"/>
      <c r="BRC54" s="4"/>
      <c r="BRD54" s="4"/>
      <c r="BRE54" s="4"/>
      <c r="BRF54" s="4"/>
      <c r="BRG54" s="4"/>
      <c r="BRH54" s="4"/>
      <c r="BRI54" s="4"/>
      <c r="BRJ54" s="4"/>
      <c r="BRK54" s="4"/>
      <c r="BRL54" s="4"/>
      <c r="BRM54" s="4"/>
      <c r="BRN54" s="4"/>
      <c r="BRO54" s="4"/>
      <c r="BRP54" s="4"/>
      <c r="BRQ54" s="4"/>
      <c r="BRR54" s="4"/>
      <c r="BRS54" s="4"/>
      <c r="BRT54" s="4"/>
      <c r="BRU54" s="4"/>
      <c r="BRV54" s="4"/>
      <c r="BRW54" s="4"/>
      <c r="BRX54" s="4"/>
      <c r="BRY54" s="4"/>
      <c r="BRZ54" s="4"/>
      <c r="BSA54" s="4"/>
      <c r="BSB54" s="4"/>
      <c r="BSC54" s="4"/>
      <c r="BSD54" s="4"/>
      <c r="BSE54" s="4"/>
      <c r="BSF54" s="4"/>
      <c r="BSG54" s="4"/>
      <c r="BSH54" s="4"/>
      <c r="BSI54" s="4"/>
      <c r="BSJ54" s="4"/>
      <c r="BSK54" s="4"/>
      <c r="BSL54" s="4"/>
      <c r="BSM54" s="4"/>
      <c r="BSN54" s="4"/>
      <c r="BSO54" s="4"/>
      <c r="BSP54" s="4"/>
      <c r="BSQ54" s="4"/>
      <c r="BSR54" s="4"/>
      <c r="BSS54" s="4"/>
      <c r="BST54" s="4"/>
      <c r="BSU54" s="4"/>
      <c r="BSV54" s="4"/>
      <c r="BSW54" s="4"/>
      <c r="BSX54" s="4"/>
      <c r="BSY54" s="4"/>
      <c r="BSZ54" s="4"/>
      <c r="BTA54" s="4"/>
      <c r="BTB54" s="4"/>
      <c r="BTC54" s="4"/>
      <c r="BTD54" s="4"/>
      <c r="BTE54" s="4"/>
      <c r="BTF54" s="4"/>
      <c r="BTG54" s="4"/>
      <c r="BTH54" s="4"/>
      <c r="BTI54" s="4"/>
      <c r="BTJ54" s="4"/>
      <c r="BTK54" s="4"/>
      <c r="BTL54" s="4"/>
      <c r="BTM54" s="4"/>
      <c r="BTN54" s="4"/>
      <c r="BTO54" s="4"/>
      <c r="BTP54" s="4"/>
      <c r="BTQ54" s="4"/>
      <c r="BTR54" s="4"/>
      <c r="BTS54" s="4"/>
      <c r="BTT54" s="4"/>
      <c r="BTU54" s="4"/>
      <c r="BTV54" s="4"/>
      <c r="BTW54" s="4"/>
      <c r="BTX54" s="4"/>
      <c r="BTY54" s="4"/>
      <c r="BTZ54" s="4"/>
      <c r="BUA54" s="4"/>
      <c r="BUB54" s="4"/>
      <c r="BUC54" s="4"/>
      <c r="BUD54" s="4"/>
      <c r="BUE54" s="4"/>
      <c r="BUF54" s="4"/>
      <c r="BUG54" s="4"/>
      <c r="BUH54" s="4"/>
      <c r="BUI54" s="4"/>
      <c r="BUJ54" s="4"/>
      <c r="BUK54" s="4"/>
      <c r="BUL54" s="4"/>
      <c r="BUM54" s="4"/>
      <c r="BUN54" s="4"/>
      <c r="BUO54" s="4"/>
      <c r="BUP54" s="4"/>
      <c r="BUQ54" s="4"/>
      <c r="BUR54" s="4"/>
      <c r="BUS54" s="4"/>
      <c r="BUT54" s="4"/>
      <c r="BUU54" s="4"/>
      <c r="BUV54" s="4"/>
      <c r="BUW54" s="4"/>
      <c r="BUX54" s="4"/>
      <c r="BUY54" s="4"/>
      <c r="BUZ54" s="4"/>
      <c r="BVA54" s="4"/>
      <c r="BVB54" s="4"/>
      <c r="BVC54" s="4"/>
      <c r="BVD54" s="4"/>
      <c r="BVE54" s="4"/>
      <c r="BVF54" s="4"/>
      <c r="BVG54" s="4"/>
      <c r="BVH54" s="4"/>
      <c r="BVI54" s="4"/>
      <c r="BVJ54" s="4"/>
      <c r="BVK54" s="4"/>
      <c r="BVL54" s="4"/>
      <c r="BVM54" s="4"/>
      <c r="BVN54" s="4"/>
      <c r="BVO54" s="4"/>
      <c r="BVP54" s="4"/>
      <c r="BVQ54" s="4"/>
      <c r="BVR54" s="4"/>
      <c r="BVS54" s="4"/>
      <c r="BVT54" s="4"/>
      <c r="BVU54" s="4"/>
      <c r="BVV54" s="4"/>
      <c r="BVW54" s="4"/>
      <c r="BVX54" s="4"/>
      <c r="BVY54" s="4"/>
      <c r="BVZ54" s="4"/>
      <c r="BWA54" s="4"/>
      <c r="BWB54" s="4"/>
      <c r="BWC54" s="4"/>
      <c r="BWD54" s="4"/>
      <c r="BWE54" s="4"/>
      <c r="BWF54" s="4"/>
      <c r="BWG54" s="4"/>
      <c r="BWH54" s="4"/>
      <c r="BWI54" s="4"/>
      <c r="BWJ54" s="4"/>
      <c r="BWK54" s="4"/>
      <c r="BWL54" s="4"/>
      <c r="BWM54" s="4"/>
      <c r="BWN54" s="4"/>
      <c r="BWO54" s="4"/>
      <c r="BWP54" s="4"/>
      <c r="BWQ54" s="4"/>
      <c r="BWR54" s="4"/>
      <c r="BWS54" s="4"/>
      <c r="BWT54" s="4"/>
      <c r="BWU54" s="4"/>
      <c r="BWV54" s="4"/>
      <c r="BWW54" s="4"/>
      <c r="BWX54" s="4"/>
      <c r="BWY54" s="4"/>
      <c r="BWZ54" s="4"/>
      <c r="BXA54" s="4"/>
      <c r="BXB54" s="4"/>
      <c r="BXC54" s="4"/>
      <c r="BXD54" s="4"/>
      <c r="BXE54" s="4"/>
      <c r="BXF54" s="4"/>
      <c r="BXG54" s="4"/>
      <c r="BXH54" s="4"/>
      <c r="BXI54" s="4"/>
      <c r="BXJ54" s="4"/>
      <c r="BXK54" s="4"/>
      <c r="BXL54" s="4"/>
      <c r="BXM54" s="4"/>
      <c r="BXN54" s="4"/>
      <c r="BXO54" s="4"/>
      <c r="BXP54" s="4"/>
      <c r="BXQ54" s="4"/>
      <c r="BXR54" s="4"/>
      <c r="BXS54" s="4"/>
      <c r="BXT54" s="4"/>
      <c r="BXU54" s="4"/>
      <c r="BXV54" s="4"/>
      <c r="BXW54" s="4"/>
      <c r="BXX54" s="4"/>
      <c r="BXY54" s="4"/>
      <c r="BXZ54" s="4"/>
      <c r="BYA54" s="4"/>
      <c r="BYB54" s="4"/>
      <c r="BYC54" s="4"/>
      <c r="BYD54" s="4"/>
      <c r="BYE54" s="4"/>
      <c r="BYF54" s="4"/>
      <c r="BYG54" s="4"/>
      <c r="BYH54" s="4"/>
      <c r="BYI54" s="4"/>
      <c r="BYJ54" s="4"/>
      <c r="BYK54" s="4"/>
      <c r="BYL54" s="4"/>
      <c r="BYM54" s="4"/>
      <c r="BYN54" s="4"/>
      <c r="BYO54" s="4"/>
      <c r="BYP54" s="4"/>
      <c r="BYQ54" s="4"/>
      <c r="BYR54" s="4"/>
      <c r="BYS54" s="4"/>
      <c r="BYT54" s="4"/>
      <c r="BYU54" s="4"/>
      <c r="BYV54" s="4"/>
      <c r="BYW54" s="4"/>
      <c r="BYX54" s="4"/>
      <c r="BYY54" s="4"/>
      <c r="BYZ54" s="4"/>
      <c r="BZA54" s="4"/>
      <c r="BZB54" s="4"/>
      <c r="BZC54" s="4"/>
      <c r="BZD54" s="4"/>
      <c r="BZE54" s="4"/>
      <c r="BZF54" s="4"/>
      <c r="BZG54" s="4"/>
      <c r="BZH54" s="4"/>
      <c r="BZI54" s="4"/>
      <c r="BZJ54" s="4"/>
      <c r="BZK54" s="4"/>
      <c r="BZL54" s="4"/>
      <c r="BZM54" s="4"/>
      <c r="BZN54" s="4"/>
      <c r="BZO54" s="4"/>
      <c r="BZP54" s="4"/>
      <c r="BZQ54" s="4"/>
      <c r="BZR54" s="4"/>
      <c r="BZS54" s="4"/>
      <c r="BZT54" s="4"/>
      <c r="BZU54" s="4"/>
      <c r="BZV54" s="4"/>
      <c r="BZW54" s="4"/>
      <c r="BZX54" s="4"/>
      <c r="BZY54" s="4"/>
      <c r="BZZ54" s="4"/>
      <c r="CAA54" s="4"/>
      <c r="CAB54" s="4"/>
      <c r="CAC54" s="4"/>
      <c r="CAD54" s="4"/>
      <c r="CAE54" s="4"/>
      <c r="CAF54" s="4"/>
      <c r="CAG54" s="4"/>
      <c r="CAH54" s="4"/>
      <c r="CAI54" s="4"/>
      <c r="CAJ54" s="4"/>
      <c r="CAK54" s="4"/>
      <c r="CAL54" s="4"/>
      <c r="CAM54" s="4"/>
      <c r="CAN54" s="4"/>
      <c r="CAO54" s="4"/>
      <c r="CAP54" s="4"/>
      <c r="CAQ54" s="4"/>
      <c r="CAR54" s="4"/>
      <c r="CAS54" s="4"/>
      <c r="CAT54" s="4"/>
      <c r="CAU54" s="4"/>
      <c r="CAV54" s="4"/>
      <c r="CAW54" s="4"/>
      <c r="CAX54" s="4"/>
      <c r="CAY54" s="4"/>
      <c r="CAZ54" s="4"/>
      <c r="CBA54" s="4"/>
      <c r="CBB54" s="4"/>
      <c r="CBC54" s="4"/>
      <c r="CBD54" s="4"/>
      <c r="CBE54" s="4"/>
      <c r="CBF54" s="4"/>
      <c r="CBG54" s="4"/>
      <c r="CBH54" s="4"/>
      <c r="CBI54" s="4"/>
      <c r="CBJ54" s="4"/>
      <c r="CBK54" s="4"/>
      <c r="CBL54" s="4"/>
      <c r="CBM54" s="4"/>
      <c r="CBN54" s="4"/>
      <c r="CBO54" s="4"/>
      <c r="CBP54" s="4"/>
      <c r="CBQ54" s="4"/>
      <c r="CBR54" s="4"/>
      <c r="CBS54" s="4"/>
      <c r="CBT54" s="4"/>
      <c r="CBU54" s="4"/>
      <c r="CBV54" s="4"/>
      <c r="CBW54" s="4"/>
      <c r="CBX54" s="4"/>
      <c r="CBY54" s="4"/>
      <c r="CBZ54" s="4"/>
      <c r="CCA54" s="4"/>
      <c r="CCB54" s="4"/>
      <c r="CCC54" s="4"/>
      <c r="CCD54" s="4"/>
      <c r="CCE54" s="4"/>
      <c r="CCF54" s="4"/>
      <c r="CCG54" s="4"/>
      <c r="CCH54" s="4"/>
      <c r="CCI54" s="4"/>
      <c r="CCJ54" s="4"/>
      <c r="CCK54" s="4"/>
      <c r="CCL54" s="4"/>
      <c r="CCM54" s="4"/>
      <c r="CCN54" s="4"/>
      <c r="CCO54" s="4"/>
      <c r="CCP54" s="4"/>
      <c r="CCQ54" s="4"/>
      <c r="CCR54" s="4"/>
      <c r="CCS54" s="4"/>
      <c r="CCT54" s="4"/>
      <c r="CCU54" s="4"/>
      <c r="CCV54" s="4"/>
      <c r="CCW54" s="4"/>
      <c r="CCX54" s="4"/>
      <c r="CCY54" s="4"/>
      <c r="CCZ54" s="4"/>
      <c r="CDA54" s="4"/>
      <c r="CDB54" s="4"/>
      <c r="CDC54" s="4"/>
      <c r="CDD54" s="4"/>
      <c r="CDE54" s="4"/>
      <c r="CDF54" s="4"/>
      <c r="CDG54" s="4"/>
      <c r="CDH54" s="4"/>
      <c r="CDI54" s="4"/>
      <c r="CDJ54" s="4"/>
      <c r="CDK54" s="4"/>
      <c r="CDL54" s="4"/>
      <c r="CDM54" s="4"/>
      <c r="CDN54" s="4"/>
      <c r="CDO54" s="4"/>
      <c r="CDP54" s="4"/>
      <c r="CDQ54" s="4"/>
      <c r="CDR54" s="4"/>
      <c r="CDS54" s="4"/>
      <c r="CDT54" s="4"/>
      <c r="CDU54" s="4"/>
      <c r="CDV54" s="4"/>
      <c r="CDW54" s="4"/>
      <c r="CDX54" s="4"/>
      <c r="CDY54" s="4"/>
      <c r="CDZ54" s="4"/>
      <c r="CEA54" s="4"/>
      <c r="CEB54" s="4"/>
      <c r="CEC54" s="4"/>
      <c r="CED54" s="4"/>
      <c r="CEE54" s="4"/>
      <c r="CEF54" s="4"/>
      <c r="CEG54" s="4"/>
      <c r="CEH54" s="4"/>
      <c r="CEI54" s="4"/>
      <c r="CEJ54" s="4"/>
      <c r="CEK54" s="4"/>
      <c r="CEL54" s="4"/>
      <c r="CEM54" s="4"/>
      <c r="CEN54" s="4"/>
      <c r="CEO54" s="4"/>
      <c r="CEP54" s="4"/>
      <c r="CEQ54" s="4"/>
      <c r="CER54" s="4"/>
      <c r="CES54" s="4"/>
      <c r="CET54" s="4"/>
      <c r="CEU54" s="4"/>
      <c r="CEV54" s="4"/>
      <c r="CEW54" s="4"/>
      <c r="CEX54" s="4"/>
      <c r="CEY54" s="4"/>
      <c r="CEZ54" s="4"/>
      <c r="CFA54" s="4"/>
      <c r="CFB54" s="4"/>
      <c r="CFC54" s="4"/>
      <c r="CFD54" s="4"/>
      <c r="CFE54" s="4"/>
      <c r="CFF54" s="4"/>
      <c r="CFG54" s="4"/>
      <c r="CFH54" s="4"/>
      <c r="CFI54" s="4"/>
      <c r="CFJ54" s="4"/>
      <c r="CFK54" s="4"/>
      <c r="CFL54" s="4"/>
      <c r="CFM54" s="4"/>
      <c r="CFN54" s="4"/>
      <c r="CFO54" s="4"/>
      <c r="CFP54" s="4"/>
      <c r="CFQ54" s="4"/>
      <c r="CFR54" s="4"/>
      <c r="CFS54" s="4"/>
      <c r="CFT54" s="4"/>
      <c r="CFU54" s="4"/>
      <c r="CFV54" s="4"/>
      <c r="CFW54" s="4"/>
      <c r="CFX54" s="4"/>
      <c r="CFY54" s="4"/>
      <c r="CFZ54" s="4"/>
      <c r="CGA54" s="4"/>
      <c r="CGB54" s="4"/>
      <c r="CGC54" s="4"/>
      <c r="CGD54" s="4"/>
      <c r="CGE54" s="4"/>
      <c r="CGF54" s="4"/>
      <c r="CGG54" s="4"/>
      <c r="CGH54" s="4"/>
      <c r="CGI54" s="4"/>
      <c r="CGJ54" s="4"/>
      <c r="CGK54" s="4"/>
      <c r="CGL54" s="4"/>
      <c r="CGM54" s="4"/>
      <c r="CGN54" s="4"/>
      <c r="CGO54" s="4"/>
      <c r="CGP54" s="4"/>
      <c r="CGQ54" s="4"/>
      <c r="CGR54" s="4"/>
      <c r="CGS54" s="4"/>
      <c r="CGT54" s="4"/>
      <c r="CGU54" s="4"/>
      <c r="CGV54" s="4"/>
      <c r="CGW54" s="4"/>
      <c r="CGX54" s="4"/>
      <c r="CGY54" s="4"/>
      <c r="CGZ54" s="4"/>
      <c r="CHA54" s="4"/>
      <c r="CHB54" s="4"/>
      <c r="CHC54" s="4"/>
      <c r="CHD54" s="4"/>
      <c r="CHE54" s="4"/>
      <c r="CHF54" s="4"/>
      <c r="CHG54" s="4"/>
      <c r="CHH54" s="4"/>
      <c r="CHI54" s="4"/>
      <c r="CHJ54" s="4"/>
      <c r="CHK54" s="4"/>
      <c r="CHL54" s="4"/>
      <c r="CHM54" s="4"/>
      <c r="CHN54" s="4"/>
      <c r="CHO54" s="4"/>
      <c r="CHP54" s="4"/>
      <c r="CHQ54" s="4"/>
      <c r="CHR54" s="4"/>
      <c r="CHS54" s="4"/>
      <c r="CHT54" s="4"/>
      <c r="CHU54" s="4"/>
      <c r="CHV54" s="4"/>
      <c r="CHW54" s="4"/>
      <c r="CHX54" s="4"/>
      <c r="CHY54" s="4"/>
      <c r="CHZ54" s="4"/>
      <c r="CIA54" s="4"/>
      <c r="CIB54" s="4"/>
      <c r="CIC54" s="4"/>
      <c r="CID54" s="4"/>
      <c r="CIE54" s="4"/>
      <c r="CIF54" s="4"/>
      <c r="CIG54" s="4"/>
      <c r="CIH54" s="4"/>
      <c r="CII54" s="4"/>
      <c r="CIJ54" s="4"/>
      <c r="CIK54" s="4"/>
      <c r="CIL54" s="4"/>
      <c r="CIM54" s="4"/>
      <c r="CIN54" s="4"/>
      <c r="CIO54" s="4"/>
      <c r="CIP54" s="4"/>
      <c r="CIQ54" s="4"/>
      <c r="CIR54" s="4"/>
      <c r="CIS54" s="4"/>
      <c r="CIT54" s="4"/>
      <c r="CIU54" s="4"/>
      <c r="CIV54" s="4"/>
      <c r="CIW54" s="4"/>
      <c r="CIX54" s="4"/>
      <c r="CIY54" s="4"/>
      <c r="CIZ54" s="4"/>
      <c r="CJA54" s="4"/>
      <c r="CJB54" s="4"/>
      <c r="CJC54" s="4"/>
      <c r="CJD54" s="4"/>
      <c r="CJE54" s="4"/>
      <c r="CJF54" s="4"/>
      <c r="CJG54" s="4"/>
      <c r="CJH54" s="4"/>
      <c r="CJI54" s="4"/>
      <c r="CJJ54" s="4"/>
      <c r="CJK54" s="4"/>
      <c r="CJL54" s="4"/>
      <c r="CJM54" s="4"/>
      <c r="CJN54" s="4"/>
      <c r="CJO54" s="4"/>
      <c r="CJP54" s="4"/>
      <c r="CJQ54" s="4"/>
      <c r="CJR54" s="4"/>
      <c r="CJS54" s="4"/>
      <c r="CJT54" s="4"/>
      <c r="CJU54" s="4"/>
      <c r="CJV54" s="4"/>
      <c r="CJW54" s="4"/>
      <c r="CJX54" s="4"/>
      <c r="CJY54" s="4"/>
      <c r="CJZ54" s="4"/>
      <c r="CKA54" s="4"/>
      <c r="CKB54" s="4"/>
      <c r="CKC54" s="4"/>
      <c r="CKD54" s="4"/>
      <c r="CKE54" s="4"/>
      <c r="CKF54" s="4"/>
      <c r="CKG54" s="4"/>
      <c r="CKH54" s="4"/>
      <c r="CKI54" s="4"/>
      <c r="CKJ54" s="4"/>
      <c r="CKK54" s="4"/>
      <c r="CKL54" s="4"/>
      <c r="CKM54" s="4"/>
      <c r="CKN54" s="4"/>
      <c r="CKO54" s="4"/>
      <c r="CKP54" s="4"/>
      <c r="CKQ54" s="4"/>
      <c r="CKR54" s="4"/>
      <c r="CKS54" s="4"/>
      <c r="CKT54" s="4"/>
      <c r="CKU54" s="4"/>
      <c r="CKV54" s="4"/>
      <c r="CKW54" s="4"/>
      <c r="CKX54" s="4"/>
      <c r="CKY54" s="4"/>
      <c r="CKZ54" s="4"/>
      <c r="CLA54" s="4"/>
      <c r="CLB54" s="4"/>
      <c r="CLC54" s="4"/>
      <c r="CLD54" s="4"/>
      <c r="CLE54" s="4"/>
      <c r="CLF54" s="4"/>
      <c r="CLG54" s="4"/>
      <c r="CLH54" s="4"/>
      <c r="CLI54" s="4"/>
      <c r="CLJ54" s="4"/>
      <c r="CLK54" s="4"/>
      <c r="CLL54" s="4"/>
      <c r="CLM54" s="4"/>
      <c r="CLN54" s="4"/>
      <c r="CLO54" s="4"/>
      <c r="CLP54" s="4"/>
      <c r="CLQ54" s="4"/>
      <c r="CLR54" s="4"/>
      <c r="CLS54" s="4"/>
      <c r="CLT54" s="4"/>
      <c r="CLU54" s="4"/>
      <c r="CLV54" s="4"/>
      <c r="CLW54" s="4"/>
      <c r="CLX54" s="4"/>
      <c r="CLY54" s="4"/>
      <c r="CLZ54" s="4"/>
      <c r="CMA54" s="4"/>
      <c r="CMB54" s="4"/>
      <c r="CMC54" s="4"/>
      <c r="CMD54" s="4"/>
      <c r="CME54" s="4"/>
      <c r="CMF54" s="4"/>
      <c r="CMG54" s="4"/>
      <c r="CMH54" s="4"/>
      <c r="CMI54" s="4"/>
      <c r="CMJ54" s="4"/>
      <c r="CMK54" s="4"/>
      <c r="CML54" s="4"/>
      <c r="CMM54" s="4"/>
      <c r="CMN54" s="4"/>
      <c r="CMO54" s="4"/>
      <c r="CMP54" s="4"/>
      <c r="CMQ54" s="4"/>
      <c r="CMR54" s="4"/>
      <c r="CMS54" s="4"/>
      <c r="CMT54" s="4"/>
      <c r="CMU54" s="4"/>
      <c r="CMV54" s="4"/>
      <c r="CMW54" s="4"/>
      <c r="CMX54" s="4"/>
      <c r="CMY54" s="4"/>
      <c r="CMZ54" s="4"/>
      <c r="CNA54" s="4"/>
      <c r="CNB54" s="4"/>
      <c r="CNC54" s="4"/>
      <c r="CND54" s="4"/>
      <c r="CNE54" s="4"/>
      <c r="CNF54" s="4"/>
      <c r="CNG54" s="4"/>
      <c r="CNH54" s="4"/>
      <c r="CNI54" s="4"/>
      <c r="CNJ54" s="4"/>
      <c r="CNK54" s="4"/>
      <c r="CNL54" s="4"/>
      <c r="CNM54" s="4"/>
      <c r="CNN54" s="4"/>
      <c r="CNO54" s="4"/>
      <c r="CNP54" s="4"/>
      <c r="CNQ54" s="4"/>
      <c r="CNR54" s="4"/>
      <c r="CNS54" s="4"/>
      <c r="CNT54" s="4"/>
      <c r="CNU54" s="4"/>
      <c r="CNV54" s="4"/>
      <c r="CNW54" s="4"/>
      <c r="CNX54" s="4"/>
      <c r="CNY54" s="4"/>
      <c r="CNZ54" s="4"/>
      <c r="COA54" s="4"/>
      <c r="COB54" s="4"/>
      <c r="COC54" s="4"/>
      <c r="COD54" s="4"/>
      <c r="COE54" s="4"/>
      <c r="COF54" s="4"/>
      <c r="COG54" s="4"/>
      <c r="COH54" s="4"/>
      <c r="COI54" s="4"/>
      <c r="COJ54" s="4"/>
      <c r="COK54" s="4"/>
      <c r="COL54" s="4"/>
      <c r="COM54" s="4"/>
      <c r="CON54" s="4"/>
      <c r="COO54" s="4"/>
      <c r="COP54" s="4"/>
      <c r="COQ54" s="4"/>
      <c r="COR54" s="4"/>
      <c r="COS54" s="4"/>
      <c r="COT54" s="4"/>
      <c r="COU54" s="4"/>
      <c r="COV54" s="4"/>
      <c r="COW54" s="4"/>
      <c r="COX54" s="4"/>
      <c r="COY54" s="4"/>
      <c r="COZ54" s="4"/>
      <c r="CPA54" s="4"/>
      <c r="CPB54" s="4"/>
      <c r="CPC54" s="4"/>
      <c r="CPD54" s="4"/>
      <c r="CPE54" s="4"/>
      <c r="CPF54" s="4"/>
      <c r="CPG54" s="4"/>
      <c r="CPH54" s="4"/>
      <c r="CPI54" s="4"/>
      <c r="CPJ54" s="4"/>
      <c r="CPK54" s="4"/>
      <c r="CPL54" s="4"/>
      <c r="CPM54" s="4"/>
      <c r="CPN54" s="4"/>
      <c r="CPO54" s="4"/>
      <c r="CPP54" s="4"/>
      <c r="CPQ54" s="4"/>
      <c r="CPR54" s="4"/>
      <c r="CPS54" s="4"/>
      <c r="CPT54" s="4"/>
      <c r="CPU54" s="4"/>
      <c r="CPV54" s="4"/>
      <c r="CPW54" s="4"/>
      <c r="CPX54" s="4"/>
      <c r="CPY54" s="4"/>
      <c r="CPZ54" s="4"/>
      <c r="CQA54" s="4"/>
      <c r="CQB54" s="4"/>
      <c r="CQC54" s="4"/>
      <c r="CQD54" s="4"/>
      <c r="CQE54" s="4"/>
      <c r="CQF54" s="4"/>
      <c r="CQG54" s="4"/>
      <c r="CQH54" s="4"/>
      <c r="CQI54" s="4"/>
      <c r="CQJ54" s="4"/>
      <c r="CQK54" s="4"/>
      <c r="CQL54" s="4"/>
      <c r="CQM54" s="4"/>
      <c r="CQN54" s="4"/>
      <c r="CQO54" s="4"/>
      <c r="CQP54" s="4"/>
      <c r="CQQ54" s="4"/>
      <c r="CQR54" s="4"/>
      <c r="CQS54" s="4"/>
      <c r="CQT54" s="4"/>
      <c r="CQU54" s="4"/>
      <c r="CQV54" s="4"/>
      <c r="CQW54" s="4"/>
      <c r="CQX54" s="4"/>
      <c r="CQY54" s="4"/>
      <c r="CQZ54" s="4"/>
      <c r="CRA54" s="4"/>
      <c r="CRB54" s="4"/>
      <c r="CRC54" s="4"/>
      <c r="CRD54" s="4"/>
      <c r="CRE54" s="4"/>
      <c r="CRF54" s="4"/>
      <c r="CRG54" s="4"/>
      <c r="CRH54" s="4"/>
      <c r="CRI54" s="4"/>
      <c r="CRJ54" s="4"/>
      <c r="CRK54" s="4"/>
      <c r="CRL54" s="4"/>
      <c r="CRM54" s="4"/>
      <c r="CRN54" s="4"/>
      <c r="CRO54" s="4"/>
      <c r="CRP54" s="4"/>
      <c r="CRQ54" s="4"/>
      <c r="CRR54" s="4"/>
      <c r="CRS54" s="4"/>
      <c r="CRT54" s="4"/>
      <c r="CRU54" s="4"/>
      <c r="CRV54" s="4"/>
      <c r="CRW54" s="4"/>
      <c r="CRX54" s="4"/>
      <c r="CRY54" s="4"/>
      <c r="CRZ54" s="4"/>
      <c r="CSA54" s="4"/>
      <c r="CSB54" s="4"/>
      <c r="CSC54" s="4"/>
      <c r="CSD54" s="4"/>
      <c r="CSE54" s="4"/>
      <c r="CSF54" s="4"/>
      <c r="CSG54" s="4"/>
      <c r="CSH54" s="4"/>
      <c r="CSI54" s="4"/>
      <c r="CSJ54" s="4"/>
      <c r="CSK54" s="4"/>
      <c r="CSL54" s="4"/>
      <c r="CSM54" s="4"/>
      <c r="CSN54" s="4"/>
      <c r="CSO54" s="4"/>
      <c r="CSP54" s="4"/>
      <c r="CSQ54" s="4"/>
      <c r="CSR54" s="4"/>
      <c r="CSS54" s="4"/>
      <c r="CST54" s="4"/>
      <c r="CSU54" s="4"/>
      <c r="CSV54" s="4"/>
      <c r="CSW54" s="4"/>
      <c r="CSX54" s="4"/>
      <c r="CSY54" s="4"/>
      <c r="CSZ54" s="4"/>
      <c r="CTA54" s="4"/>
      <c r="CTB54" s="4"/>
      <c r="CTC54" s="4"/>
      <c r="CTD54" s="4"/>
      <c r="CTE54" s="4"/>
      <c r="CTF54" s="4"/>
      <c r="CTG54" s="4"/>
      <c r="CTH54" s="4"/>
      <c r="CTI54" s="4"/>
      <c r="CTJ54" s="4"/>
      <c r="CTK54" s="4"/>
      <c r="CTL54" s="4"/>
      <c r="CTM54" s="4"/>
      <c r="CTN54" s="4"/>
      <c r="CTO54" s="4"/>
      <c r="CTP54" s="4"/>
      <c r="CTQ54" s="4"/>
      <c r="CTR54" s="4"/>
      <c r="CTS54" s="4"/>
      <c r="CTT54" s="4"/>
      <c r="CTU54" s="4"/>
      <c r="CTV54" s="4"/>
      <c r="CTW54" s="4"/>
      <c r="CTX54" s="4"/>
      <c r="CTY54" s="4"/>
      <c r="CTZ54" s="4"/>
      <c r="CUA54" s="4"/>
      <c r="CUB54" s="4"/>
      <c r="CUC54" s="4"/>
      <c r="CUD54" s="4"/>
      <c r="CUE54" s="4"/>
      <c r="CUF54" s="4"/>
      <c r="CUG54" s="4"/>
      <c r="CUH54" s="4"/>
      <c r="CUI54" s="4"/>
      <c r="CUJ54" s="4"/>
      <c r="CUK54" s="4"/>
      <c r="CUL54" s="4"/>
      <c r="CUM54" s="4"/>
      <c r="CUN54" s="4"/>
      <c r="CUO54" s="4"/>
      <c r="CUP54" s="4"/>
      <c r="CUQ54" s="4"/>
      <c r="CUR54" s="4"/>
      <c r="CUS54" s="4"/>
      <c r="CUT54" s="4"/>
      <c r="CUU54" s="4"/>
      <c r="CUV54" s="4"/>
      <c r="CUW54" s="4"/>
      <c r="CUX54" s="4"/>
      <c r="CUY54" s="4"/>
      <c r="CUZ54" s="4"/>
      <c r="CVA54" s="4"/>
      <c r="CVB54" s="4"/>
      <c r="CVC54" s="4"/>
      <c r="CVD54" s="4"/>
      <c r="CVE54" s="4"/>
      <c r="CVF54" s="4"/>
      <c r="CVG54" s="4"/>
      <c r="CVH54" s="4"/>
      <c r="CVI54" s="4"/>
      <c r="CVJ54" s="4"/>
      <c r="CVK54" s="4"/>
      <c r="CVL54" s="4"/>
      <c r="CVM54" s="4"/>
      <c r="CVN54" s="4"/>
      <c r="CVO54" s="4"/>
      <c r="CVP54" s="4"/>
      <c r="CVQ54" s="4"/>
      <c r="CVR54" s="4"/>
      <c r="CVS54" s="4"/>
      <c r="CVT54" s="4"/>
      <c r="CVU54" s="4"/>
      <c r="CVV54" s="4"/>
      <c r="CVW54" s="4"/>
      <c r="CVX54" s="4"/>
      <c r="CVY54" s="4"/>
      <c r="CVZ54" s="4"/>
      <c r="CWA54" s="4"/>
      <c r="CWB54" s="4"/>
      <c r="CWC54" s="4"/>
      <c r="CWD54" s="4"/>
      <c r="CWE54" s="4"/>
      <c r="CWF54" s="4"/>
      <c r="CWG54" s="4"/>
      <c r="CWH54" s="4"/>
      <c r="CWI54" s="4"/>
      <c r="CWJ54" s="4"/>
      <c r="CWK54" s="4"/>
      <c r="CWL54" s="4"/>
      <c r="CWM54" s="4"/>
      <c r="CWN54" s="4"/>
      <c r="CWO54" s="4"/>
      <c r="CWP54" s="4"/>
      <c r="CWQ54" s="4"/>
      <c r="CWR54" s="4"/>
      <c r="CWS54" s="4"/>
      <c r="CWT54" s="4"/>
      <c r="CWU54" s="4"/>
      <c r="CWV54" s="4"/>
      <c r="CWW54" s="4"/>
      <c r="CWX54" s="4"/>
      <c r="CWY54" s="4"/>
      <c r="CWZ54" s="4"/>
      <c r="CXA54" s="4"/>
      <c r="CXB54" s="4"/>
      <c r="CXC54" s="4"/>
      <c r="CXD54" s="4"/>
      <c r="CXE54" s="4"/>
      <c r="CXF54" s="4"/>
      <c r="CXG54" s="4"/>
      <c r="CXH54" s="4"/>
      <c r="CXI54" s="4"/>
      <c r="CXJ54" s="4"/>
      <c r="CXK54" s="4"/>
      <c r="CXL54" s="4"/>
      <c r="CXM54" s="4"/>
      <c r="CXN54" s="4"/>
      <c r="CXO54" s="4"/>
      <c r="CXP54" s="4"/>
      <c r="CXQ54" s="4"/>
      <c r="CXR54" s="4"/>
      <c r="CXS54" s="4"/>
      <c r="CXT54" s="4"/>
      <c r="CXU54" s="4"/>
      <c r="CXV54" s="4"/>
      <c r="CXW54" s="4"/>
      <c r="CXX54" s="4"/>
      <c r="CXY54" s="4"/>
      <c r="CXZ54" s="4"/>
      <c r="CYA54" s="4"/>
      <c r="CYB54" s="4"/>
      <c r="CYC54" s="4"/>
      <c r="CYD54" s="4"/>
      <c r="CYE54" s="4"/>
      <c r="CYF54" s="4"/>
      <c r="CYG54" s="4"/>
      <c r="CYH54" s="4"/>
      <c r="CYI54" s="4"/>
      <c r="CYJ54" s="4"/>
      <c r="CYK54" s="4"/>
      <c r="CYL54" s="4"/>
      <c r="CYM54" s="4"/>
      <c r="CYN54" s="4"/>
      <c r="CYO54" s="4"/>
      <c r="CYP54" s="4"/>
      <c r="CYQ54" s="4"/>
      <c r="CYR54" s="4"/>
      <c r="CYS54" s="4"/>
      <c r="CYT54" s="4"/>
      <c r="CYU54" s="4"/>
      <c r="CYV54" s="4"/>
      <c r="CYW54" s="4"/>
      <c r="CYX54" s="4"/>
      <c r="CYY54" s="4"/>
      <c r="CYZ54" s="4"/>
      <c r="CZA54" s="4"/>
      <c r="CZB54" s="4"/>
      <c r="CZC54" s="4"/>
      <c r="CZD54" s="4"/>
      <c r="CZE54" s="4"/>
      <c r="CZF54" s="4"/>
      <c r="CZG54" s="4"/>
      <c r="CZH54" s="4"/>
      <c r="CZI54" s="4"/>
      <c r="CZJ54" s="4"/>
      <c r="CZK54" s="4"/>
      <c r="CZL54" s="4"/>
      <c r="CZM54" s="4"/>
      <c r="CZN54" s="4"/>
      <c r="CZO54" s="4"/>
      <c r="CZP54" s="4"/>
      <c r="CZQ54" s="4"/>
      <c r="CZR54" s="4"/>
      <c r="CZS54" s="4"/>
      <c r="CZT54" s="4"/>
      <c r="CZU54" s="4"/>
      <c r="CZV54" s="4"/>
      <c r="CZW54" s="4"/>
      <c r="CZX54" s="4"/>
      <c r="CZY54" s="4"/>
      <c r="CZZ54" s="4"/>
      <c r="DAA54" s="4"/>
      <c r="DAB54" s="4"/>
      <c r="DAC54" s="4"/>
      <c r="DAD54" s="4"/>
      <c r="DAE54" s="4"/>
      <c r="DAF54" s="4"/>
      <c r="DAG54" s="4"/>
      <c r="DAH54" s="4"/>
      <c r="DAI54" s="4"/>
      <c r="DAJ54" s="4"/>
      <c r="DAK54" s="4"/>
      <c r="DAL54" s="4"/>
      <c r="DAM54" s="4"/>
      <c r="DAN54" s="4"/>
      <c r="DAO54" s="4"/>
      <c r="DAP54" s="4"/>
      <c r="DAQ54" s="4"/>
      <c r="DAR54" s="4"/>
      <c r="DAS54" s="4"/>
      <c r="DAT54" s="4"/>
      <c r="DAU54" s="4"/>
      <c r="DAV54" s="4"/>
      <c r="DAW54" s="4"/>
      <c r="DAX54" s="4"/>
      <c r="DAY54" s="4"/>
      <c r="DAZ54" s="4"/>
      <c r="DBA54" s="4"/>
      <c r="DBB54" s="4"/>
      <c r="DBC54" s="4"/>
      <c r="DBD54" s="4"/>
      <c r="DBE54" s="4"/>
      <c r="DBF54" s="4"/>
      <c r="DBG54" s="4"/>
      <c r="DBH54" s="4"/>
      <c r="DBI54" s="4"/>
      <c r="DBJ54" s="4"/>
      <c r="DBK54" s="4"/>
      <c r="DBL54" s="4"/>
      <c r="DBM54" s="4"/>
      <c r="DBN54" s="4"/>
      <c r="DBO54" s="4"/>
      <c r="DBP54" s="4"/>
      <c r="DBQ54" s="4"/>
      <c r="DBR54" s="4"/>
      <c r="DBS54" s="4"/>
      <c r="DBT54" s="4"/>
      <c r="DBU54" s="4"/>
      <c r="DBV54" s="4"/>
      <c r="DBW54" s="4"/>
      <c r="DBX54" s="4"/>
      <c r="DBY54" s="4"/>
      <c r="DBZ54" s="4"/>
      <c r="DCA54" s="4"/>
      <c r="DCB54" s="4"/>
      <c r="DCC54" s="4"/>
      <c r="DCD54" s="4"/>
      <c r="DCE54" s="4"/>
      <c r="DCF54" s="4"/>
      <c r="DCG54" s="4"/>
      <c r="DCH54" s="4"/>
      <c r="DCI54" s="4"/>
      <c r="DCJ54" s="4"/>
      <c r="DCK54" s="4"/>
      <c r="DCL54" s="4"/>
      <c r="DCM54" s="4"/>
      <c r="DCN54" s="4"/>
      <c r="DCO54" s="4"/>
      <c r="DCP54" s="4"/>
      <c r="DCQ54" s="4"/>
      <c r="DCR54" s="4"/>
      <c r="DCS54" s="4"/>
      <c r="DCT54" s="4"/>
      <c r="DCU54" s="4"/>
      <c r="DCV54" s="4"/>
      <c r="DCW54" s="4"/>
      <c r="DCX54" s="4"/>
      <c r="DCY54" s="4"/>
      <c r="DCZ54" s="4"/>
      <c r="DDA54" s="4"/>
      <c r="DDB54" s="4"/>
      <c r="DDC54" s="4"/>
      <c r="DDD54" s="4"/>
      <c r="DDE54" s="4"/>
      <c r="DDF54" s="4"/>
      <c r="DDG54" s="4"/>
      <c r="DDH54" s="4"/>
      <c r="DDI54" s="4"/>
      <c r="DDJ54" s="4"/>
      <c r="DDK54" s="4"/>
      <c r="DDL54" s="4"/>
      <c r="DDM54" s="4"/>
      <c r="DDN54" s="4"/>
      <c r="DDO54" s="4"/>
      <c r="DDP54" s="4"/>
      <c r="DDQ54" s="4"/>
      <c r="DDR54" s="4"/>
      <c r="DDS54" s="4"/>
      <c r="DDT54" s="4"/>
      <c r="DDU54" s="4"/>
      <c r="DDV54" s="4"/>
      <c r="DDW54" s="4"/>
      <c r="DDX54" s="4"/>
      <c r="DDY54" s="4"/>
      <c r="DDZ54" s="4"/>
      <c r="DEA54" s="4"/>
      <c r="DEB54" s="4"/>
      <c r="DEC54" s="4"/>
      <c r="DED54" s="4"/>
      <c r="DEE54" s="4"/>
      <c r="DEF54" s="4"/>
      <c r="DEG54" s="4"/>
      <c r="DEH54" s="4"/>
      <c r="DEI54" s="4"/>
      <c r="DEJ54" s="4"/>
      <c r="DEK54" s="4"/>
      <c r="DEL54" s="4"/>
      <c r="DEM54" s="4"/>
      <c r="DEN54" s="4"/>
      <c r="DEO54" s="4"/>
      <c r="DEP54" s="4"/>
      <c r="DEQ54" s="4"/>
      <c r="DER54" s="4"/>
      <c r="DES54" s="4"/>
      <c r="DET54" s="4"/>
      <c r="DEU54" s="4"/>
      <c r="DEV54" s="4"/>
      <c r="DEW54" s="4"/>
      <c r="DEX54" s="4"/>
      <c r="DEY54" s="4"/>
      <c r="DEZ54" s="4"/>
      <c r="DFA54" s="4"/>
      <c r="DFB54" s="4"/>
      <c r="DFC54" s="4"/>
      <c r="DFD54" s="4"/>
      <c r="DFE54" s="4"/>
      <c r="DFF54" s="4"/>
      <c r="DFG54" s="4"/>
      <c r="DFH54" s="4"/>
      <c r="DFI54" s="4"/>
      <c r="DFJ54" s="4"/>
      <c r="DFK54" s="4"/>
      <c r="DFL54" s="4"/>
      <c r="DFM54" s="4"/>
      <c r="DFN54" s="4"/>
      <c r="DFO54" s="4"/>
      <c r="DFP54" s="4"/>
      <c r="DFQ54" s="4"/>
      <c r="DFR54" s="4"/>
      <c r="DFS54" s="4"/>
      <c r="DFT54" s="4"/>
      <c r="DFU54" s="4"/>
      <c r="DFV54" s="4"/>
      <c r="DFW54" s="4"/>
      <c r="DFX54" s="4"/>
      <c r="DFY54" s="4"/>
      <c r="DFZ54" s="4"/>
      <c r="DGA54" s="4"/>
      <c r="DGB54" s="4"/>
      <c r="DGC54" s="4"/>
      <c r="DGD54" s="4"/>
      <c r="DGE54" s="4"/>
      <c r="DGF54" s="4"/>
      <c r="DGG54" s="4"/>
      <c r="DGH54" s="4"/>
      <c r="DGI54" s="4"/>
      <c r="DGJ54" s="4"/>
      <c r="DGK54" s="4"/>
      <c r="DGL54" s="4"/>
      <c r="DGM54" s="4"/>
      <c r="DGN54" s="4"/>
      <c r="DGO54" s="4"/>
      <c r="DGP54" s="4"/>
      <c r="DGQ54" s="4"/>
      <c r="DGR54" s="4"/>
      <c r="DGS54" s="4"/>
      <c r="DGT54" s="4"/>
      <c r="DGU54" s="4"/>
      <c r="DGV54" s="4"/>
      <c r="DGW54" s="4"/>
      <c r="DGX54" s="4"/>
      <c r="DGY54" s="4"/>
      <c r="DGZ54" s="4"/>
      <c r="DHA54" s="4"/>
      <c r="DHB54" s="4"/>
      <c r="DHC54" s="4"/>
      <c r="DHD54" s="4"/>
      <c r="DHE54" s="4"/>
      <c r="DHF54" s="4"/>
      <c r="DHG54" s="4"/>
      <c r="DHH54" s="4"/>
      <c r="DHI54" s="4"/>
      <c r="DHJ54" s="4"/>
      <c r="DHK54" s="4"/>
      <c r="DHL54" s="4"/>
      <c r="DHM54" s="4"/>
      <c r="DHN54" s="4"/>
      <c r="DHO54" s="4"/>
      <c r="DHP54" s="4"/>
      <c r="DHQ54" s="4"/>
      <c r="DHR54" s="4"/>
      <c r="DHS54" s="4"/>
      <c r="DHT54" s="4"/>
      <c r="DHU54" s="4"/>
      <c r="DHV54" s="4"/>
      <c r="DHW54" s="4"/>
      <c r="DHX54" s="4"/>
      <c r="DHY54" s="4"/>
      <c r="DHZ54" s="4"/>
      <c r="DIA54" s="4"/>
      <c r="DIB54" s="4"/>
      <c r="DIC54" s="4"/>
      <c r="DID54" s="4"/>
      <c r="DIE54" s="4"/>
      <c r="DIF54" s="4"/>
      <c r="DIG54" s="4"/>
      <c r="DIH54" s="4"/>
      <c r="DII54" s="4"/>
      <c r="DIJ54" s="4"/>
      <c r="DIK54" s="4"/>
      <c r="DIL54" s="4"/>
      <c r="DIM54" s="4"/>
      <c r="DIN54" s="4"/>
      <c r="DIO54" s="4"/>
      <c r="DIP54" s="4"/>
      <c r="DIQ54" s="4"/>
      <c r="DIR54" s="4"/>
      <c r="DIS54" s="4"/>
      <c r="DIT54" s="4"/>
      <c r="DIU54" s="4"/>
      <c r="DIV54" s="4"/>
      <c r="DIW54" s="4"/>
      <c r="DIX54" s="4"/>
      <c r="DIY54" s="4"/>
      <c r="DIZ54" s="4"/>
      <c r="DJA54" s="4"/>
      <c r="DJB54" s="4"/>
      <c r="DJC54" s="4"/>
      <c r="DJD54" s="4"/>
      <c r="DJE54" s="4"/>
      <c r="DJF54" s="4"/>
      <c r="DJG54" s="4"/>
      <c r="DJH54" s="4"/>
      <c r="DJI54" s="4"/>
      <c r="DJJ54" s="4"/>
      <c r="DJK54" s="4"/>
      <c r="DJL54" s="4"/>
      <c r="DJM54" s="4"/>
      <c r="DJN54" s="4"/>
      <c r="DJO54" s="4"/>
      <c r="DJP54" s="4"/>
      <c r="DJQ54" s="4"/>
      <c r="DJR54" s="4"/>
      <c r="DJS54" s="4"/>
      <c r="DJT54" s="4"/>
      <c r="DJU54" s="4"/>
      <c r="DJV54" s="4"/>
      <c r="DJW54" s="4"/>
      <c r="DJX54" s="4"/>
      <c r="DJY54" s="4"/>
      <c r="DJZ54" s="4"/>
      <c r="DKA54" s="4"/>
      <c r="DKB54" s="4"/>
      <c r="DKC54" s="4"/>
      <c r="DKD54" s="4"/>
      <c r="DKE54" s="4"/>
      <c r="DKF54" s="4"/>
      <c r="DKG54" s="4"/>
      <c r="DKH54" s="4"/>
      <c r="DKI54" s="4"/>
      <c r="DKJ54" s="4"/>
      <c r="DKK54" s="4"/>
      <c r="DKL54" s="4"/>
      <c r="DKM54" s="4"/>
      <c r="DKN54" s="4"/>
      <c r="DKO54" s="4"/>
      <c r="DKP54" s="4"/>
      <c r="DKQ54" s="4"/>
      <c r="DKR54" s="4"/>
      <c r="DKS54" s="4"/>
      <c r="DKT54" s="4"/>
      <c r="DKU54" s="4"/>
      <c r="DKV54" s="4"/>
      <c r="DKW54" s="4"/>
      <c r="DKX54" s="4"/>
      <c r="DKY54" s="4"/>
      <c r="DKZ54" s="4"/>
      <c r="DLA54" s="4"/>
      <c r="DLB54" s="4"/>
      <c r="DLC54" s="4"/>
      <c r="DLD54" s="4"/>
      <c r="DLE54" s="4"/>
      <c r="DLF54" s="4"/>
      <c r="DLG54" s="4"/>
      <c r="DLH54" s="4"/>
      <c r="DLI54" s="4"/>
      <c r="DLJ54" s="4"/>
      <c r="DLK54" s="4"/>
      <c r="DLL54" s="4"/>
      <c r="DLM54" s="4"/>
      <c r="DLN54" s="4"/>
      <c r="DLO54" s="4"/>
      <c r="DLP54" s="4"/>
      <c r="DLQ54" s="4"/>
      <c r="DLR54" s="4"/>
      <c r="DLS54" s="4"/>
      <c r="DLT54" s="4"/>
      <c r="DLU54" s="4"/>
      <c r="DLV54" s="4"/>
      <c r="DLW54" s="4"/>
      <c r="DLX54" s="4"/>
      <c r="DLY54" s="4"/>
      <c r="DLZ54" s="4"/>
      <c r="DMA54" s="4"/>
      <c r="DMB54" s="4"/>
      <c r="DMC54" s="4"/>
      <c r="DMD54" s="4"/>
      <c r="DME54" s="4"/>
      <c r="DMF54" s="4"/>
      <c r="DMG54" s="4"/>
      <c r="DMH54" s="4"/>
      <c r="DMI54" s="4"/>
      <c r="DMJ54" s="4"/>
      <c r="DMK54" s="4"/>
      <c r="DML54" s="4"/>
      <c r="DMM54" s="4"/>
      <c r="DMN54" s="4"/>
      <c r="DMO54" s="4"/>
      <c r="DMP54" s="4"/>
      <c r="DMQ54" s="4"/>
      <c r="DMR54" s="4"/>
      <c r="DMS54" s="4"/>
      <c r="DMT54" s="4"/>
      <c r="DMU54" s="4"/>
      <c r="DMV54" s="4"/>
      <c r="DMW54" s="4"/>
      <c r="DMX54" s="4"/>
      <c r="DMY54" s="4"/>
      <c r="DMZ54" s="4"/>
      <c r="DNA54" s="4"/>
      <c r="DNB54" s="4"/>
      <c r="DNC54" s="4"/>
      <c r="DND54" s="4"/>
      <c r="DNE54" s="4"/>
      <c r="DNF54" s="4"/>
      <c r="DNG54" s="4"/>
      <c r="DNH54" s="4"/>
      <c r="DNI54" s="4"/>
      <c r="DNJ54" s="4"/>
      <c r="DNK54" s="4"/>
      <c r="DNL54" s="4"/>
      <c r="DNM54" s="4"/>
      <c r="DNN54" s="4"/>
      <c r="DNO54" s="4"/>
      <c r="DNP54" s="4"/>
      <c r="DNQ54" s="4"/>
      <c r="DNR54" s="4"/>
      <c r="DNS54" s="4"/>
      <c r="DNT54" s="4"/>
      <c r="DNU54" s="4"/>
      <c r="DNV54" s="4"/>
      <c r="DNW54" s="4"/>
      <c r="DNX54" s="4"/>
      <c r="DNY54" s="4"/>
      <c r="DNZ54" s="4"/>
      <c r="DOA54" s="4"/>
      <c r="DOB54" s="4"/>
      <c r="DOC54" s="4"/>
      <c r="DOD54" s="4"/>
      <c r="DOE54" s="4"/>
      <c r="DOF54" s="4"/>
      <c r="DOG54" s="4"/>
      <c r="DOH54" s="4"/>
      <c r="DOI54" s="4"/>
      <c r="DOJ54" s="4"/>
      <c r="DOK54" s="4"/>
      <c r="DOL54" s="4"/>
      <c r="DOM54" s="4"/>
      <c r="DON54" s="4"/>
      <c r="DOO54" s="4"/>
      <c r="DOP54" s="4"/>
      <c r="DOQ54" s="4"/>
      <c r="DOR54" s="4"/>
      <c r="DOS54" s="4"/>
      <c r="DOT54" s="4"/>
      <c r="DOU54" s="4"/>
      <c r="DOV54" s="4"/>
      <c r="DOW54" s="4"/>
      <c r="DOX54" s="4"/>
      <c r="DOY54" s="4"/>
      <c r="DOZ54" s="4"/>
      <c r="DPA54" s="4"/>
      <c r="DPB54" s="4"/>
      <c r="DPC54" s="4"/>
      <c r="DPD54" s="4"/>
      <c r="DPE54" s="4"/>
      <c r="DPF54" s="4"/>
      <c r="DPG54" s="4"/>
      <c r="DPH54" s="4"/>
      <c r="DPI54" s="4"/>
      <c r="DPJ54" s="4"/>
      <c r="DPK54" s="4"/>
      <c r="DPL54" s="4"/>
      <c r="DPM54" s="4"/>
      <c r="DPN54" s="4"/>
      <c r="DPO54" s="4"/>
      <c r="DPP54" s="4"/>
      <c r="DPQ54" s="4"/>
      <c r="DPR54" s="4"/>
      <c r="DPS54" s="4"/>
      <c r="DPT54" s="4"/>
      <c r="DPU54" s="4"/>
      <c r="DPV54" s="4"/>
      <c r="DPW54" s="4"/>
      <c r="DPX54" s="4"/>
      <c r="DPY54" s="4"/>
      <c r="DPZ54" s="4"/>
      <c r="DQA54" s="4"/>
      <c r="DQB54" s="4"/>
      <c r="DQC54" s="4"/>
      <c r="DQD54" s="4"/>
      <c r="DQE54" s="4"/>
      <c r="DQF54" s="4"/>
      <c r="DQG54" s="4"/>
      <c r="DQH54" s="4"/>
      <c r="DQI54" s="4"/>
      <c r="DQJ54" s="4"/>
      <c r="DQK54" s="4"/>
      <c r="DQL54" s="4"/>
      <c r="DQM54" s="4"/>
      <c r="DQN54" s="4"/>
      <c r="DQO54" s="4"/>
      <c r="DQP54" s="4"/>
      <c r="DQQ54" s="4"/>
      <c r="DQR54" s="4"/>
      <c r="DQS54" s="4"/>
      <c r="DQT54" s="4"/>
      <c r="DQU54" s="4"/>
      <c r="DQV54" s="4"/>
      <c r="DQW54" s="4"/>
      <c r="DQX54" s="4"/>
      <c r="DQY54" s="4"/>
      <c r="DQZ54" s="4"/>
      <c r="DRA54" s="4"/>
      <c r="DRB54" s="4"/>
      <c r="DRC54" s="4"/>
      <c r="DRD54" s="4"/>
      <c r="DRE54" s="4"/>
      <c r="DRF54" s="4"/>
      <c r="DRG54" s="4"/>
      <c r="DRH54" s="4"/>
      <c r="DRI54" s="4"/>
      <c r="DRJ54" s="4"/>
      <c r="DRK54" s="4"/>
      <c r="DRL54" s="4"/>
      <c r="DRM54" s="4"/>
      <c r="DRN54" s="4"/>
      <c r="DRO54" s="4"/>
      <c r="DRP54" s="4"/>
      <c r="DRQ54" s="4"/>
      <c r="DRR54" s="4"/>
      <c r="DRS54" s="4"/>
      <c r="DRT54" s="4"/>
      <c r="DRU54" s="4"/>
      <c r="DRV54" s="4"/>
      <c r="DRW54" s="4"/>
      <c r="DRX54" s="4"/>
      <c r="DRY54" s="4"/>
      <c r="DRZ54" s="4"/>
      <c r="DSA54" s="4"/>
      <c r="DSB54" s="4"/>
      <c r="DSC54" s="4"/>
      <c r="DSD54" s="4"/>
      <c r="DSE54" s="4"/>
      <c r="DSF54" s="4"/>
      <c r="DSG54" s="4"/>
      <c r="DSH54" s="4"/>
      <c r="DSI54" s="4"/>
      <c r="DSJ54" s="4"/>
      <c r="DSK54" s="4"/>
      <c r="DSL54" s="4"/>
      <c r="DSM54" s="4"/>
      <c r="DSN54" s="4"/>
      <c r="DSO54" s="4"/>
      <c r="DSP54" s="4"/>
      <c r="DSQ54" s="4"/>
      <c r="DSR54" s="4"/>
      <c r="DSS54" s="4"/>
      <c r="DST54" s="4"/>
      <c r="DSU54" s="4"/>
      <c r="DSV54" s="4"/>
      <c r="DSW54" s="4"/>
      <c r="DSX54" s="4"/>
      <c r="DSY54" s="4"/>
      <c r="DSZ54" s="4"/>
      <c r="DTA54" s="4"/>
      <c r="DTB54" s="4"/>
      <c r="DTC54" s="4"/>
      <c r="DTD54" s="4"/>
      <c r="DTE54" s="4"/>
      <c r="DTF54" s="4"/>
      <c r="DTG54" s="4"/>
      <c r="DTH54" s="4"/>
      <c r="DTI54" s="4"/>
      <c r="DTJ54" s="4"/>
      <c r="DTK54" s="4"/>
      <c r="DTL54" s="4"/>
      <c r="DTM54" s="4"/>
      <c r="DTN54" s="4"/>
      <c r="DTO54" s="4"/>
      <c r="DTP54" s="4"/>
      <c r="DTQ54" s="4"/>
      <c r="DTR54" s="4"/>
      <c r="DTS54" s="4"/>
      <c r="DTT54" s="4"/>
      <c r="DTU54" s="4"/>
      <c r="DTV54" s="4"/>
      <c r="DTW54" s="4"/>
      <c r="DTX54" s="4"/>
      <c r="DTY54" s="4"/>
      <c r="DTZ54" s="4"/>
      <c r="DUA54" s="4"/>
      <c r="DUB54" s="4"/>
      <c r="DUC54" s="4"/>
      <c r="DUD54" s="4"/>
      <c r="DUE54" s="4"/>
      <c r="DUF54" s="4"/>
      <c r="DUG54" s="4"/>
      <c r="DUH54" s="4"/>
      <c r="DUI54" s="4"/>
      <c r="DUJ54" s="4"/>
      <c r="DUK54" s="4"/>
      <c r="DUL54" s="4"/>
      <c r="DUM54" s="4"/>
      <c r="DUN54" s="4"/>
      <c r="DUO54" s="4"/>
      <c r="DUP54" s="4"/>
      <c r="DUQ54" s="4"/>
      <c r="DUR54" s="4"/>
      <c r="DUS54" s="4"/>
      <c r="DUT54" s="4"/>
      <c r="DUU54" s="4"/>
      <c r="DUV54" s="4"/>
      <c r="DUW54" s="4"/>
      <c r="DUX54" s="4"/>
      <c r="DUY54" s="4"/>
      <c r="DUZ54" s="4"/>
      <c r="DVA54" s="4"/>
      <c r="DVB54" s="4"/>
      <c r="DVC54" s="4"/>
      <c r="DVD54" s="4"/>
      <c r="DVE54" s="4"/>
      <c r="DVF54" s="4"/>
      <c r="DVG54" s="4"/>
      <c r="DVH54" s="4"/>
      <c r="DVI54" s="4"/>
      <c r="DVJ54" s="4"/>
      <c r="DVK54" s="4"/>
      <c r="DVL54" s="4"/>
      <c r="DVM54" s="4"/>
      <c r="DVN54" s="4"/>
      <c r="DVO54" s="4"/>
      <c r="DVP54" s="4"/>
      <c r="DVQ54" s="4"/>
      <c r="DVR54" s="4"/>
      <c r="DVS54" s="4"/>
      <c r="DVT54" s="4"/>
      <c r="DVU54" s="4"/>
      <c r="DVV54" s="4"/>
      <c r="DVW54" s="4"/>
      <c r="DVX54" s="4"/>
      <c r="DVY54" s="4"/>
      <c r="DVZ54" s="4"/>
      <c r="DWA54" s="4"/>
      <c r="DWB54" s="4"/>
      <c r="DWC54" s="4"/>
      <c r="DWD54" s="4"/>
      <c r="DWE54" s="4"/>
      <c r="DWF54" s="4"/>
      <c r="DWG54" s="4"/>
      <c r="DWH54" s="4"/>
      <c r="DWI54" s="4"/>
      <c r="DWJ54" s="4"/>
      <c r="DWK54" s="4"/>
      <c r="DWL54" s="4"/>
      <c r="DWM54" s="4"/>
      <c r="DWN54" s="4"/>
      <c r="DWO54" s="4"/>
      <c r="DWP54" s="4"/>
      <c r="DWQ54" s="4"/>
      <c r="DWR54" s="4"/>
      <c r="DWS54" s="4"/>
      <c r="DWT54" s="4"/>
      <c r="DWU54" s="4"/>
      <c r="DWV54" s="4"/>
      <c r="DWW54" s="4"/>
      <c r="DWX54" s="4"/>
      <c r="DWY54" s="4"/>
      <c r="DWZ54" s="4"/>
      <c r="DXA54" s="4"/>
      <c r="DXB54" s="4"/>
      <c r="DXC54" s="4"/>
      <c r="DXD54" s="4"/>
      <c r="DXE54" s="4"/>
      <c r="DXF54" s="4"/>
      <c r="DXG54" s="4"/>
      <c r="DXH54" s="4"/>
      <c r="DXI54" s="4"/>
      <c r="DXJ54" s="4"/>
      <c r="DXK54" s="4"/>
      <c r="DXL54" s="4"/>
      <c r="DXM54" s="4"/>
      <c r="DXN54" s="4"/>
      <c r="DXO54" s="4"/>
      <c r="DXP54" s="4"/>
      <c r="DXQ54" s="4"/>
      <c r="DXR54" s="4"/>
      <c r="DXS54" s="4"/>
      <c r="DXT54" s="4"/>
      <c r="DXU54" s="4"/>
      <c r="DXV54" s="4"/>
      <c r="DXW54" s="4"/>
      <c r="DXX54" s="4"/>
      <c r="DXY54" s="4"/>
      <c r="DXZ54" s="4"/>
      <c r="DYA54" s="4"/>
      <c r="DYB54" s="4"/>
      <c r="DYC54" s="4"/>
      <c r="DYD54" s="4"/>
      <c r="DYE54" s="4"/>
      <c r="DYF54" s="4"/>
      <c r="DYG54" s="4"/>
      <c r="DYH54" s="4"/>
      <c r="DYI54" s="4"/>
      <c r="DYJ54" s="4"/>
      <c r="DYK54" s="4"/>
      <c r="DYL54" s="4"/>
      <c r="DYM54" s="4"/>
      <c r="DYN54" s="4"/>
      <c r="DYO54" s="4"/>
      <c r="DYP54" s="4"/>
      <c r="DYQ54" s="4"/>
      <c r="DYR54" s="4"/>
      <c r="DYS54" s="4"/>
      <c r="DYT54" s="4"/>
      <c r="DYU54" s="4"/>
      <c r="DYV54" s="4"/>
      <c r="DYW54" s="4"/>
      <c r="DYX54" s="4"/>
      <c r="DYY54" s="4"/>
      <c r="DYZ54" s="4"/>
      <c r="DZA54" s="4"/>
      <c r="DZB54" s="4"/>
      <c r="DZC54" s="4"/>
      <c r="DZD54" s="4"/>
      <c r="DZE54" s="4"/>
      <c r="DZF54" s="4"/>
      <c r="DZG54" s="4"/>
      <c r="DZH54" s="4"/>
      <c r="DZI54" s="4"/>
      <c r="DZJ54" s="4"/>
      <c r="DZK54" s="4"/>
      <c r="DZL54" s="4"/>
      <c r="DZM54" s="4"/>
      <c r="DZN54" s="4"/>
      <c r="DZO54" s="4"/>
      <c r="DZP54" s="4"/>
      <c r="DZQ54" s="4"/>
      <c r="DZR54" s="4"/>
      <c r="DZS54" s="4"/>
      <c r="DZT54" s="4"/>
      <c r="DZU54" s="4"/>
      <c r="DZV54" s="4"/>
      <c r="DZW54" s="4"/>
      <c r="DZX54" s="4"/>
      <c r="DZY54" s="4"/>
      <c r="DZZ54" s="4"/>
      <c r="EAA54" s="4"/>
      <c r="EAB54" s="4"/>
      <c r="EAC54" s="4"/>
      <c r="EAD54" s="4"/>
      <c r="EAE54" s="4"/>
      <c r="EAF54" s="4"/>
      <c r="EAG54" s="4"/>
      <c r="EAH54" s="4"/>
      <c r="EAI54" s="4"/>
      <c r="EAJ54" s="4"/>
      <c r="EAK54" s="4"/>
      <c r="EAL54" s="4"/>
      <c r="EAM54" s="4"/>
      <c r="EAN54" s="4"/>
      <c r="EAO54" s="4"/>
      <c r="EAP54" s="4"/>
      <c r="EAQ54" s="4"/>
      <c r="EAR54" s="4"/>
      <c r="EAS54" s="4"/>
      <c r="EAT54" s="4"/>
      <c r="EAU54" s="4"/>
      <c r="EAV54" s="4"/>
      <c r="EAW54" s="4"/>
      <c r="EAX54" s="4"/>
      <c r="EAY54" s="4"/>
      <c r="EAZ54" s="4"/>
      <c r="EBA54" s="4"/>
      <c r="EBB54" s="4"/>
      <c r="EBC54" s="4"/>
      <c r="EBD54" s="4"/>
      <c r="EBE54" s="4"/>
      <c r="EBF54" s="4"/>
      <c r="EBG54" s="4"/>
      <c r="EBH54" s="4"/>
      <c r="EBI54" s="4"/>
      <c r="EBJ54" s="4"/>
      <c r="EBK54" s="4"/>
      <c r="EBL54" s="4"/>
      <c r="EBM54" s="4"/>
      <c r="EBN54" s="4"/>
      <c r="EBO54" s="4"/>
      <c r="EBP54" s="4"/>
      <c r="EBQ54" s="4"/>
      <c r="EBR54" s="4"/>
      <c r="EBS54" s="4"/>
      <c r="EBT54" s="4"/>
      <c r="EBU54" s="4"/>
      <c r="EBV54" s="4"/>
      <c r="EBW54" s="4"/>
      <c r="EBX54" s="4"/>
      <c r="EBY54" s="4"/>
      <c r="EBZ54" s="4"/>
      <c r="ECA54" s="4"/>
      <c r="ECB54" s="4"/>
      <c r="ECC54" s="4"/>
      <c r="ECD54" s="4"/>
      <c r="ECE54" s="4"/>
      <c r="ECF54" s="4"/>
      <c r="ECG54" s="4"/>
      <c r="ECH54" s="4"/>
      <c r="ECI54" s="4"/>
      <c r="ECJ54" s="4"/>
      <c r="ECK54" s="4"/>
      <c r="ECL54" s="4"/>
      <c r="ECM54" s="4"/>
      <c r="ECN54" s="4"/>
      <c r="ECO54" s="4"/>
      <c r="ECP54" s="4"/>
      <c r="ECQ54" s="4"/>
      <c r="ECR54" s="4"/>
      <c r="ECS54" s="4"/>
      <c r="ECT54" s="4"/>
      <c r="ECU54" s="4"/>
      <c r="ECV54" s="4"/>
      <c r="ECW54" s="4"/>
      <c r="ECX54" s="4"/>
      <c r="ECY54" s="4"/>
      <c r="ECZ54" s="4"/>
      <c r="EDA54" s="4"/>
      <c r="EDB54" s="4"/>
      <c r="EDC54" s="4"/>
      <c r="EDD54" s="4"/>
      <c r="EDE54" s="4"/>
      <c r="EDF54" s="4"/>
      <c r="EDG54" s="4"/>
      <c r="EDH54" s="4"/>
      <c r="EDI54" s="4"/>
      <c r="EDJ54" s="4"/>
      <c r="EDK54" s="4"/>
      <c r="EDL54" s="4"/>
      <c r="EDM54" s="4"/>
      <c r="EDN54" s="4"/>
      <c r="EDO54" s="4"/>
      <c r="EDP54" s="4"/>
      <c r="EDQ54" s="4"/>
      <c r="EDR54" s="4"/>
      <c r="EDS54" s="4"/>
      <c r="EDT54" s="4"/>
      <c r="EDU54" s="4"/>
      <c r="EDV54" s="4"/>
      <c r="EDW54" s="4"/>
      <c r="EDX54" s="4"/>
      <c r="EDY54" s="4"/>
      <c r="EDZ54" s="4"/>
      <c r="EEA54" s="4"/>
      <c r="EEB54" s="4"/>
      <c r="EEC54" s="4"/>
      <c r="EED54" s="4"/>
      <c r="EEE54" s="4"/>
      <c r="EEF54" s="4"/>
      <c r="EEG54" s="4"/>
      <c r="EEH54" s="4"/>
      <c r="EEI54" s="4"/>
      <c r="EEJ54" s="4"/>
      <c r="EEK54" s="4"/>
      <c r="EEL54" s="4"/>
      <c r="EEM54" s="4"/>
      <c r="EEN54" s="4"/>
      <c r="EEO54" s="4"/>
      <c r="EEP54" s="4"/>
      <c r="EEQ54" s="4"/>
      <c r="EER54" s="4"/>
      <c r="EES54" s="4"/>
      <c r="EET54" s="4"/>
      <c r="EEU54" s="4"/>
      <c r="EEV54" s="4"/>
      <c r="EEW54" s="4"/>
      <c r="EEX54" s="4"/>
      <c r="EEY54" s="4"/>
      <c r="EEZ54" s="4"/>
      <c r="EFA54" s="4"/>
      <c r="EFB54" s="4"/>
      <c r="EFC54" s="4"/>
      <c r="EFD54" s="4"/>
      <c r="EFE54" s="4"/>
      <c r="EFF54" s="4"/>
      <c r="EFG54" s="4"/>
      <c r="EFH54" s="4"/>
      <c r="EFI54" s="4"/>
      <c r="EFJ54" s="4"/>
      <c r="EFK54" s="4"/>
      <c r="EFL54" s="4"/>
      <c r="EFM54" s="4"/>
      <c r="EFN54" s="4"/>
      <c r="EFO54" s="4"/>
      <c r="EFP54" s="4"/>
      <c r="EFQ54" s="4"/>
      <c r="EFR54" s="4"/>
      <c r="EFS54" s="4"/>
      <c r="EFT54" s="4"/>
      <c r="EFU54" s="4"/>
      <c r="EFV54" s="4"/>
      <c r="EFW54" s="4"/>
      <c r="EFX54" s="4"/>
      <c r="EFY54" s="4"/>
      <c r="EFZ54" s="4"/>
      <c r="EGA54" s="4"/>
      <c r="EGB54" s="4"/>
      <c r="EGC54" s="4"/>
      <c r="EGD54" s="4"/>
      <c r="EGE54" s="4"/>
      <c r="EGF54" s="4"/>
      <c r="EGG54" s="4"/>
      <c r="EGH54" s="4"/>
      <c r="EGI54" s="4"/>
      <c r="EGJ54" s="4"/>
      <c r="EGK54" s="4"/>
      <c r="EGL54" s="4"/>
      <c r="EGM54" s="4"/>
      <c r="EGN54" s="4"/>
      <c r="EGO54" s="4"/>
      <c r="EGP54" s="4"/>
      <c r="EGQ54" s="4"/>
      <c r="EGR54" s="4"/>
      <c r="EGS54" s="4"/>
      <c r="EGT54" s="4"/>
      <c r="EGU54" s="4"/>
      <c r="EGV54" s="4"/>
      <c r="EGW54" s="4"/>
      <c r="EGX54" s="4"/>
      <c r="EGY54" s="4"/>
      <c r="EGZ54" s="4"/>
      <c r="EHA54" s="4"/>
      <c r="EHB54" s="4"/>
      <c r="EHC54" s="4"/>
      <c r="EHD54" s="4"/>
      <c r="EHE54" s="4"/>
      <c r="EHF54" s="4"/>
      <c r="EHG54" s="4"/>
      <c r="EHH54" s="4"/>
      <c r="EHI54" s="4"/>
      <c r="EHJ54" s="4"/>
      <c r="EHK54" s="4"/>
      <c r="EHL54" s="4"/>
      <c r="EHM54" s="4"/>
      <c r="EHN54" s="4"/>
      <c r="EHO54" s="4"/>
      <c r="EHP54" s="4"/>
      <c r="EHQ54" s="4"/>
      <c r="EHR54" s="4"/>
      <c r="EHS54" s="4"/>
      <c r="EHT54" s="4"/>
      <c r="EHU54" s="4"/>
      <c r="EHV54" s="4"/>
      <c r="EHW54" s="4"/>
      <c r="EHX54" s="4"/>
      <c r="EHY54" s="4"/>
      <c r="EHZ54" s="4"/>
      <c r="EIA54" s="4"/>
      <c r="EIB54" s="4"/>
      <c r="EIC54" s="4"/>
      <c r="EID54" s="4"/>
      <c r="EIE54" s="4"/>
      <c r="EIF54" s="4"/>
      <c r="EIG54" s="4"/>
      <c r="EIH54" s="4"/>
      <c r="EII54" s="4"/>
      <c r="EIJ54" s="4"/>
      <c r="EIK54" s="4"/>
      <c r="EIL54" s="4"/>
      <c r="EIM54" s="4"/>
      <c r="EIN54" s="4"/>
      <c r="EIO54" s="4"/>
      <c r="EIP54" s="4"/>
      <c r="EIQ54" s="4"/>
      <c r="EIR54" s="4"/>
      <c r="EIS54" s="4"/>
      <c r="EIT54" s="4"/>
      <c r="EIU54" s="4"/>
      <c r="EIV54" s="4"/>
      <c r="EIW54" s="4"/>
      <c r="EIX54" s="4"/>
      <c r="EIY54" s="4"/>
      <c r="EIZ54" s="4"/>
      <c r="EJA54" s="4"/>
      <c r="EJB54" s="4"/>
      <c r="EJC54" s="4"/>
      <c r="EJD54" s="4"/>
      <c r="EJE54" s="4"/>
      <c r="EJF54" s="4"/>
      <c r="EJG54" s="4"/>
      <c r="EJH54" s="4"/>
      <c r="EJI54" s="4"/>
      <c r="EJJ54" s="4"/>
      <c r="EJK54" s="4"/>
      <c r="EJL54" s="4"/>
      <c r="EJM54" s="4"/>
      <c r="EJN54" s="4"/>
      <c r="EJO54" s="4"/>
      <c r="EJP54" s="4"/>
      <c r="EJQ54" s="4"/>
      <c r="EJR54" s="4"/>
      <c r="EJS54" s="4"/>
      <c r="EJT54" s="4"/>
      <c r="EJU54" s="4"/>
      <c r="EJV54" s="4"/>
      <c r="EJW54" s="4"/>
      <c r="EJX54" s="4"/>
      <c r="EJY54" s="4"/>
      <c r="EJZ54" s="4"/>
      <c r="EKA54" s="4"/>
      <c r="EKB54" s="4"/>
      <c r="EKC54" s="4"/>
      <c r="EKD54" s="4"/>
      <c r="EKE54" s="4"/>
      <c r="EKF54" s="4"/>
      <c r="EKG54" s="4"/>
      <c r="EKH54" s="4"/>
      <c r="EKI54" s="4"/>
      <c r="EKJ54" s="4"/>
      <c r="EKK54" s="4"/>
      <c r="EKL54" s="4"/>
      <c r="EKM54" s="4"/>
      <c r="EKN54" s="4"/>
      <c r="EKO54" s="4"/>
      <c r="EKP54" s="4"/>
      <c r="EKQ54" s="4"/>
      <c r="EKR54" s="4"/>
      <c r="EKS54" s="4"/>
      <c r="EKT54" s="4"/>
      <c r="EKU54" s="4"/>
      <c r="EKV54" s="4"/>
      <c r="EKW54" s="4"/>
      <c r="EKX54" s="4"/>
      <c r="EKY54" s="4"/>
      <c r="EKZ54" s="4"/>
      <c r="ELA54" s="4"/>
      <c r="ELB54" s="4"/>
      <c r="ELC54" s="4"/>
      <c r="ELD54" s="4"/>
      <c r="ELE54" s="4"/>
      <c r="ELF54" s="4"/>
      <c r="ELG54" s="4"/>
      <c r="ELH54" s="4"/>
      <c r="ELI54" s="4"/>
      <c r="ELJ54" s="4"/>
      <c r="ELK54" s="4"/>
      <c r="ELL54" s="4"/>
      <c r="ELM54" s="4"/>
      <c r="ELN54" s="4"/>
      <c r="ELO54" s="4"/>
      <c r="ELP54" s="4"/>
      <c r="ELQ54" s="4"/>
      <c r="ELR54" s="4"/>
      <c r="ELS54" s="4"/>
      <c r="ELT54" s="4"/>
      <c r="ELU54" s="4"/>
      <c r="ELV54" s="4"/>
      <c r="ELW54" s="4"/>
      <c r="ELX54" s="4"/>
      <c r="ELY54" s="4"/>
      <c r="ELZ54" s="4"/>
      <c r="EMA54" s="4"/>
      <c r="EMB54" s="4"/>
      <c r="EMC54" s="4"/>
      <c r="EMD54" s="4"/>
      <c r="EME54" s="4"/>
      <c r="EMF54" s="4"/>
      <c r="EMG54" s="4"/>
      <c r="EMH54" s="4"/>
      <c r="EMI54" s="4"/>
      <c r="EMJ54" s="4"/>
      <c r="EMK54" s="4"/>
      <c r="EML54" s="4"/>
      <c r="EMM54" s="4"/>
      <c r="EMN54" s="4"/>
      <c r="EMO54" s="4"/>
      <c r="EMP54" s="4"/>
      <c r="EMQ54" s="4"/>
      <c r="EMR54" s="4"/>
      <c r="EMS54" s="4"/>
      <c r="EMT54" s="4"/>
      <c r="EMU54" s="4"/>
      <c r="EMV54" s="4"/>
      <c r="EMW54" s="4"/>
      <c r="EMX54" s="4"/>
      <c r="EMY54" s="4"/>
      <c r="EMZ54" s="4"/>
      <c r="ENA54" s="4"/>
      <c r="ENB54" s="4"/>
      <c r="ENC54" s="4"/>
      <c r="END54" s="4"/>
      <c r="ENE54" s="4"/>
      <c r="ENF54" s="4"/>
      <c r="ENG54" s="4"/>
      <c r="ENH54" s="4"/>
      <c r="ENI54" s="4"/>
      <c r="ENJ54" s="4"/>
      <c r="ENK54" s="4"/>
      <c r="ENL54" s="4"/>
      <c r="ENM54" s="4"/>
      <c r="ENN54" s="4"/>
      <c r="ENO54" s="4"/>
      <c r="ENP54" s="4"/>
      <c r="ENQ54" s="4"/>
      <c r="ENR54" s="4"/>
      <c r="ENS54" s="4"/>
      <c r="ENT54" s="4"/>
      <c r="ENU54" s="4"/>
      <c r="ENV54" s="4"/>
      <c r="ENW54" s="4"/>
      <c r="ENX54" s="4"/>
      <c r="ENY54" s="4"/>
      <c r="ENZ54" s="4"/>
      <c r="EOA54" s="4"/>
      <c r="EOB54" s="4"/>
      <c r="EOC54" s="4"/>
      <c r="EOD54" s="4"/>
      <c r="EOE54" s="4"/>
      <c r="EOF54" s="4"/>
      <c r="EOG54" s="4"/>
      <c r="EOH54" s="4"/>
      <c r="EOI54" s="4"/>
      <c r="EOJ54" s="4"/>
      <c r="EOK54" s="4"/>
      <c r="EOL54" s="4"/>
      <c r="EOM54" s="4"/>
      <c r="EON54" s="4"/>
      <c r="EOO54" s="4"/>
      <c r="EOP54" s="4"/>
      <c r="EOQ54" s="4"/>
      <c r="EOR54" s="4"/>
      <c r="EOS54" s="4"/>
      <c r="EOT54" s="4"/>
      <c r="EOU54" s="4"/>
      <c r="EOV54" s="4"/>
      <c r="EOW54" s="4"/>
      <c r="EOX54" s="4"/>
      <c r="EOY54" s="4"/>
      <c r="EOZ54" s="4"/>
      <c r="EPA54" s="4"/>
      <c r="EPB54" s="4"/>
      <c r="EPC54" s="4"/>
      <c r="EPD54" s="4"/>
      <c r="EPE54" s="4"/>
      <c r="EPF54" s="4"/>
      <c r="EPG54" s="4"/>
      <c r="EPH54" s="4"/>
      <c r="EPI54" s="4"/>
      <c r="EPJ54" s="4"/>
      <c r="EPK54" s="4"/>
      <c r="EPL54" s="4"/>
      <c r="EPM54" s="4"/>
      <c r="EPN54" s="4"/>
      <c r="EPO54" s="4"/>
      <c r="EPP54" s="4"/>
      <c r="EPQ54" s="4"/>
      <c r="EPR54" s="4"/>
      <c r="EPS54" s="4"/>
      <c r="EPT54" s="4"/>
      <c r="EPU54" s="4"/>
      <c r="EPV54" s="4"/>
      <c r="EPW54" s="4"/>
      <c r="EPX54" s="4"/>
      <c r="EPY54" s="4"/>
      <c r="EPZ54" s="4"/>
      <c r="EQA54" s="4"/>
      <c r="EQB54" s="4"/>
      <c r="EQC54" s="4"/>
      <c r="EQD54" s="4"/>
      <c r="EQE54" s="4"/>
      <c r="EQF54" s="4"/>
      <c r="EQG54" s="4"/>
      <c r="EQH54" s="4"/>
      <c r="EQI54" s="4"/>
      <c r="EQJ54" s="4"/>
      <c r="EQK54" s="4"/>
      <c r="EQL54" s="4"/>
      <c r="EQM54" s="4"/>
      <c r="EQN54" s="4"/>
      <c r="EQO54" s="4"/>
      <c r="EQP54" s="4"/>
      <c r="EQQ54" s="4"/>
      <c r="EQR54" s="4"/>
      <c r="EQS54" s="4"/>
      <c r="EQT54" s="4"/>
      <c r="EQU54" s="4"/>
      <c r="EQV54" s="4"/>
      <c r="EQW54" s="4"/>
      <c r="EQX54" s="4"/>
      <c r="EQY54" s="4"/>
      <c r="EQZ54" s="4"/>
      <c r="ERA54" s="4"/>
      <c r="ERB54" s="4"/>
      <c r="ERC54" s="4"/>
      <c r="ERD54" s="4"/>
      <c r="ERE54" s="4"/>
      <c r="ERF54" s="4"/>
      <c r="ERG54" s="4"/>
      <c r="ERH54" s="4"/>
      <c r="ERI54" s="4"/>
      <c r="ERJ54" s="4"/>
      <c r="ERK54" s="4"/>
      <c r="ERL54" s="4"/>
      <c r="ERM54" s="4"/>
      <c r="ERN54" s="4"/>
      <c r="ERO54" s="4"/>
      <c r="ERP54" s="4"/>
      <c r="ERQ54" s="4"/>
      <c r="ERR54" s="4"/>
      <c r="ERS54" s="4"/>
      <c r="ERT54" s="4"/>
      <c r="ERU54" s="4"/>
      <c r="ERV54" s="4"/>
      <c r="ERW54" s="4"/>
      <c r="ERX54" s="4"/>
      <c r="ERY54" s="4"/>
      <c r="ERZ54" s="4"/>
      <c r="ESA54" s="4"/>
      <c r="ESB54" s="4"/>
      <c r="ESC54" s="4"/>
      <c r="ESD54" s="4"/>
      <c r="ESE54" s="4"/>
      <c r="ESF54" s="4"/>
      <c r="ESG54" s="4"/>
      <c r="ESH54" s="4"/>
      <c r="ESI54" s="4"/>
      <c r="ESJ54" s="4"/>
      <c r="ESK54" s="4"/>
      <c r="ESL54" s="4"/>
      <c r="ESM54" s="4"/>
      <c r="ESN54" s="4"/>
      <c r="ESO54" s="4"/>
      <c r="ESP54" s="4"/>
      <c r="ESQ54" s="4"/>
      <c r="ESR54" s="4"/>
      <c r="ESS54" s="4"/>
      <c r="EST54" s="4"/>
      <c r="ESU54" s="4"/>
      <c r="ESV54" s="4"/>
      <c r="ESW54" s="4"/>
      <c r="ESX54" s="4"/>
      <c r="ESY54" s="4"/>
      <c r="ESZ54" s="4"/>
      <c r="ETA54" s="4"/>
      <c r="ETB54" s="4"/>
      <c r="ETC54" s="4"/>
      <c r="ETD54" s="4"/>
      <c r="ETE54" s="4"/>
      <c r="ETF54" s="4"/>
      <c r="ETG54" s="4"/>
      <c r="ETH54" s="4"/>
      <c r="ETI54" s="4"/>
      <c r="ETJ54" s="4"/>
      <c r="ETK54" s="4"/>
      <c r="ETL54" s="4"/>
      <c r="ETM54" s="4"/>
      <c r="ETN54" s="4"/>
      <c r="ETO54" s="4"/>
      <c r="ETP54" s="4"/>
      <c r="ETQ54" s="4"/>
      <c r="ETR54" s="4"/>
      <c r="ETS54" s="4"/>
      <c r="ETT54" s="4"/>
      <c r="ETU54" s="4"/>
      <c r="ETV54" s="4"/>
      <c r="ETW54" s="4"/>
      <c r="ETX54" s="4"/>
      <c r="ETY54" s="4"/>
      <c r="ETZ54" s="4"/>
      <c r="EUA54" s="4"/>
      <c r="EUB54" s="4"/>
      <c r="EUC54" s="4"/>
      <c r="EUD54" s="4"/>
      <c r="EUE54" s="4"/>
      <c r="EUF54" s="4"/>
      <c r="EUG54" s="4"/>
      <c r="EUH54" s="4"/>
      <c r="EUI54" s="4"/>
      <c r="EUJ54" s="4"/>
      <c r="EUK54" s="4"/>
      <c r="EUL54" s="4"/>
      <c r="EUM54" s="4"/>
      <c r="EUN54" s="4"/>
      <c r="EUO54" s="4"/>
      <c r="EUP54" s="4"/>
      <c r="EUQ54" s="4"/>
      <c r="EUR54" s="4"/>
      <c r="EUS54" s="4"/>
      <c r="EUT54" s="4"/>
      <c r="EUU54" s="4"/>
      <c r="EUV54" s="4"/>
      <c r="EUW54" s="4"/>
      <c r="EUX54" s="4"/>
      <c r="EUY54" s="4"/>
      <c r="EUZ54" s="4"/>
      <c r="EVA54" s="4"/>
      <c r="EVB54" s="4"/>
      <c r="EVC54" s="4"/>
      <c r="EVD54" s="4"/>
      <c r="EVE54" s="4"/>
      <c r="EVF54" s="4"/>
      <c r="EVG54" s="4"/>
      <c r="EVH54" s="4"/>
      <c r="EVI54" s="4"/>
      <c r="EVJ54" s="4"/>
      <c r="EVK54" s="4"/>
      <c r="EVL54" s="4"/>
      <c r="EVM54" s="4"/>
      <c r="EVN54" s="4"/>
      <c r="EVO54" s="4"/>
      <c r="EVP54" s="4"/>
      <c r="EVQ54" s="4"/>
      <c r="EVR54" s="4"/>
      <c r="EVS54" s="4"/>
      <c r="EVT54" s="4"/>
      <c r="EVU54" s="4"/>
      <c r="EVV54" s="4"/>
      <c r="EVW54" s="4"/>
      <c r="EVX54" s="4"/>
      <c r="EVY54" s="4"/>
      <c r="EVZ54" s="4"/>
      <c r="EWA54" s="4"/>
      <c r="EWB54" s="4"/>
      <c r="EWC54" s="4"/>
      <c r="EWD54" s="4"/>
      <c r="EWE54" s="4"/>
      <c r="EWF54" s="4"/>
      <c r="EWG54" s="4"/>
      <c r="EWH54" s="4"/>
      <c r="EWI54" s="4"/>
      <c r="EWJ54" s="4"/>
      <c r="EWK54" s="4"/>
      <c r="EWL54" s="4"/>
      <c r="EWM54" s="4"/>
      <c r="EWN54" s="4"/>
      <c r="EWO54" s="4"/>
      <c r="EWP54" s="4"/>
      <c r="EWQ54" s="4"/>
      <c r="EWR54" s="4"/>
      <c r="EWS54" s="4"/>
      <c r="EWT54" s="4"/>
      <c r="EWU54" s="4"/>
      <c r="EWV54" s="4"/>
      <c r="EWW54" s="4"/>
      <c r="EWX54" s="4"/>
      <c r="EWY54" s="4"/>
      <c r="EWZ54" s="4"/>
      <c r="EXA54" s="4"/>
      <c r="EXB54" s="4"/>
      <c r="EXC54" s="4"/>
      <c r="EXD54" s="4"/>
      <c r="EXE54" s="4"/>
      <c r="EXF54" s="4"/>
      <c r="EXG54" s="4"/>
      <c r="EXH54" s="4"/>
      <c r="EXI54" s="4"/>
      <c r="EXJ54" s="4"/>
      <c r="EXK54" s="4"/>
      <c r="EXL54" s="4"/>
      <c r="EXM54" s="4"/>
      <c r="EXN54" s="4"/>
      <c r="EXO54" s="4"/>
      <c r="EXP54" s="4"/>
      <c r="EXQ54" s="4"/>
      <c r="EXR54" s="4"/>
      <c r="EXS54" s="4"/>
      <c r="EXT54" s="4"/>
      <c r="EXU54" s="4"/>
      <c r="EXV54" s="4"/>
      <c r="EXW54" s="4"/>
      <c r="EXX54" s="4"/>
      <c r="EXY54" s="4"/>
      <c r="EXZ54" s="4"/>
      <c r="EYA54" s="4"/>
      <c r="EYB54" s="4"/>
      <c r="EYC54" s="4"/>
      <c r="EYD54" s="4"/>
      <c r="EYE54" s="4"/>
      <c r="EYF54" s="4"/>
      <c r="EYG54" s="4"/>
      <c r="EYH54" s="4"/>
      <c r="EYI54" s="4"/>
      <c r="EYJ54" s="4"/>
      <c r="EYK54" s="4"/>
      <c r="EYL54" s="4"/>
      <c r="EYM54" s="4"/>
      <c r="EYN54" s="4"/>
      <c r="EYO54" s="4"/>
      <c r="EYP54" s="4"/>
      <c r="EYQ54" s="4"/>
      <c r="EYR54" s="4"/>
      <c r="EYS54" s="4"/>
      <c r="EYT54" s="4"/>
      <c r="EYU54" s="4"/>
      <c r="EYV54" s="4"/>
      <c r="EYW54" s="4"/>
      <c r="EYX54" s="4"/>
      <c r="EYY54" s="4"/>
      <c r="EYZ54" s="4"/>
      <c r="EZA54" s="4"/>
      <c r="EZB54" s="4"/>
      <c r="EZC54" s="4"/>
      <c r="EZD54" s="4"/>
      <c r="EZE54" s="4"/>
      <c r="EZF54" s="4"/>
      <c r="EZG54" s="4"/>
      <c r="EZH54" s="4"/>
      <c r="EZI54" s="4"/>
      <c r="EZJ54" s="4"/>
      <c r="EZK54" s="4"/>
      <c r="EZL54" s="4"/>
      <c r="EZM54" s="4"/>
      <c r="EZN54" s="4"/>
      <c r="EZO54" s="4"/>
      <c r="EZP54" s="4"/>
      <c r="EZQ54" s="4"/>
      <c r="EZR54" s="4"/>
      <c r="EZS54" s="4"/>
      <c r="EZT54" s="4"/>
      <c r="EZU54" s="4"/>
      <c r="EZV54" s="4"/>
      <c r="EZW54" s="4"/>
      <c r="EZX54" s="4"/>
      <c r="EZY54" s="4"/>
      <c r="EZZ54" s="4"/>
      <c r="FAA54" s="4"/>
      <c r="FAB54" s="4"/>
      <c r="FAC54" s="4"/>
      <c r="FAD54" s="4"/>
      <c r="FAE54" s="4"/>
      <c r="FAF54" s="4"/>
      <c r="FAG54" s="4"/>
      <c r="FAH54" s="4"/>
      <c r="FAI54" s="4"/>
      <c r="FAJ54" s="4"/>
      <c r="FAK54" s="4"/>
      <c r="FAL54" s="4"/>
      <c r="FAM54" s="4"/>
      <c r="FAN54" s="4"/>
      <c r="FAO54" s="4"/>
      <c r="FAP54" s="4"/>
      <c r="FAQ54" s="4"/>
      <c r="FAR54" s="4"/>
      <c r="FAS54" s="4"/>
      <c r="FAT54" s="4"/>
      <c r="FAU54" s="4"/>
      <c r="FAV54" s="4"/>
      <c r="FAW54" s="4"/>
      <c r="FAX54" s="4"/>
      <c r="FAY54" s="4"/>
      <c r="FAZ54" s="4"/>
      <c r="FBA54" s="4"/>
      <c r="FBB54" s="4"/>
      <c r="FBC54" s="4"/>
      <c r="FBD54" s="4"/>
      <c r="FBE54" s="4"/>
      <c r="FBF54" s="4"/>
      <c r="FBG54" s="4"/>
      <c r="FBH54" s="4"/>
      <c r="FBI54" s="4"/>
      <c r="FBJ54" s="4"/>
      <c r="FBK54" s="4"/>
      <c r="FBL54" s="4"/>
      <c r="FBM54" s="4"/>
      <c r="FBN54" s="4"/>
      <c r="FBO54" s="4"/>
      <c r="FBP54" s="4"/>
      <c r="FBQ54" s="4"/>
      <c r="FBR54" s="4"/>
      <c r="FBS54" s="4"/>
      <c r="FBT54" s="4"/>
      <c r="FBU54" s="4"/>
      <c r="FBV54" s="4"/>
      <c r="FBW54" s="4"/>
      <c r="FBX54" s="4"/>
      <c r="FBY54" s="4"/>
      <c r="FBZ54" s="4"/>
      <c r="FCA54" s="4"/>
      <c r="FCB54" s="4"/>
      <c r="FCC54" s="4"/>
      <c r="FCD54" s="4"/>
      <c r="FCE54" s="4"/>
      <c r="FCF54" s="4"/>
      <c r="FCG54" s="4"/>
      <c r="FCH54" s="4"/>
      <c r="FCI54" s="4"/>
      <c r="FCJ54" s="4"/>
      <c r="FCK54" s="4"/>
      <c r="FCL54" s="4"/>
      <c r="FCM54" s="4"/>
      <c r="FCN54" s="4"/>
      <c r="FCO54" s="4"/>
      <c r="FCP54" s="4"/>
      <c r="FCQ54" s="4"/>
      <c r="FCR54" s="4"/>
      <c r="FCS54" s="4"/>
      <c r="FCT54" s="4"/>
      <c r="FCU54" s="4"/>
      <c r="FCV54" s="4"/>
      <c r="FCW54" s="4"/>
      <c r="FCX54" s="4"/>
      <c r="FCY54" s="4"/>
      <c r="FCZ54" s="4"/>
      <c r="FDA54" s="4"/>
      <c r="FDB54" s="4"/>
      <c r="FDC54" s="4"/>
      <c r="FDD54" s="4"/>
      <c r="FDE54" s="4"/>
      <c r="FDF54" s="4"/>
      <c r="FDG54" s="4"/>
      <c r="FDH54" s="4"/>
      <c r="FDI54" s="4"/>
      <c r="FDJ54" s="4"/>
      <c r="FDK54" s="4"/>
      <c r="FDL54" s="4"/>
      <c r="FDM54" s="4"/>
      <c r="FDN54" s="4"/>
      <c r="FDO54" s="4"/>
      <c r="FDP54" s="4"/>
      <c r="FDQ54" s="4"/>
      <c r="FDR54" s="4"/>
      <c r="FDS54" s="4"/>
      <c r="FDT54" s="4"/>
      <c r="FDU54" s="4"/>
      <c r="FDV54" s="4"/>
      <c r="FDW54" s="4"/>
      <c r="FDX54" s="4"/>
      <c r="FDY54" s="4"/>
      <c r="FDZ54" s="4"/>
      <c r="FEA54" s="4"/>
      <c r="FEB54" s="4"/>
      <c r="FEC54" s="4"/>
      <c r="FED54" s="4"/>
      <c r="FEE54" s="4"/>
      <c r="FEF54" s="4"/>
      <c r="FEG54" s="4"/>
      <c r="FEH54" s="4"/>
      <c r="FEI54" s="4"/>
      <c r="FEJ54" s="4"/>
      <c r="FEK54" s="4"/>
      <c r="FEL54" s="4"/>
      <c r="FEM54" s="4"/>
      <c r="FEN54" s="4"/>
      <c r="FEO54" s="4"/>
      <c r="FEP54" s="4"/>
      <c r="FEQ54" s="4"/>
      <c r="FER54" s="4"/>
      <c r="FES54" s="4"/>
      <c r="FET54" s="4"/>
      <c r="FEU54" s="4"/>
      <c r="FEV54" s="4"/>
      <c r="FEW54" s="4"/>
      <c r="FEX54" s="4"/>
      <c r="FEY54" s="4"/>
      <c r="FEZ54" s="4"/>
      <c r="FFA54" s="4"/>
      <c r="FFB54" s="4"/>
      <c r="FFC54" s="4"/>
      <c r="FFD54" s="4"/>
      <c r="FFE54" s="4"/>
      <c r="FFF54" s="4"/>
      <c r="FFG54" s="4"/>
      <c r="FFH54" s="4"/>
      <c r="FFI54" s="4"/>
      <c r="FFJ54" s="4"/>
      <c r="FFK54" s="4"/>
      <c r="FFL54" s="4"/>
      <c r="FFM54" s="4"/>
      <c r="FFN54" s="4"/>
      <c r="FFO54" s="4"/>
      <c r="FFP54" s="4"/>
      <c r="FFQ54" s="4"/>
      <c r="FFR54" s="4"/>
      <c r="FFS54" s="4"/>
      <c r="FFT54" s="4"/>
      <c r="FFU54" s="4"/>
      <c r="FFV54" s="4"/>
      <c r="FFW54" s="4"/>
      <c r="FFX54" s="4"/>
      <c r="FFY54" s="4"/>
      <c r="FFZ54" s="4"/>
      <c r="FGA54" s="4"/>
      <c r="FGB54" s="4"/>
      <c r="FGC54" s="4"/>
      <c r="FGD54" s="4"/>
      <c r="FGE54" s="4"/>
      <c r="FGF54" s="4"/>
      <c r="FGG54" s="4"/>
      <c r="FGH54" s="4"/>
      <c r="FGI54" s="4"/>
      <c r="FGJ54" s="4"/>
      <c r="FGK54" s="4"/>
      <c r="FGL54" s="4"/>
      <c r="FGM54" s="4"/>
      <c r="FGN54" s="4"/>
      <c r="FGO54" s="4"/>
      <c r="FGP54" s="4"/>
      <c r="FGQ54" s="4"/>
      <c r="FGR54" s="4"/>
      <c r="FGS54" s="4"/>
      <c r="FGT54" s="4"/>
      <c r="FGU54" s="4"/>
      <c r="FGV54" s="4"/>
      <c r="FGW54" s="4"/>
      <c r="FGX54" s="4"/>
      <c r="FGY54" s="4"/>
      <c r="FGZ54" s="4"/>
      <c r="FHA54" s="4"/>
      <c r="FHB54" s="4"/>
      <c r="FHC54" s="4"/>
      <c r="FHD54" s="4"/>
      <c r="FHE54" s="4"/>
      <c r="FHF54" s="4"/>
      <c r="FHG54" s="4"/>
      <c r="FHH54" s="4"/>
      <c r="FHI54" s="4"/>
      <c r="FHJ54" s="4"/>
      <c r="FHK54" s="4"/>
      <c r="FHL54" s="4"/>
      <c r="FHM54" s="4"/>
      <c r="FHN54" s="4"/>
      <c r="FHO54" s="4"/>
      <c r="FHP54" s="4"/>
      <c r="FHQ54" s="4"/>
      <c r="FHR54" s="4"/>
      <c r="FHS54" s="4"/>
      <c r="FHT54" s="4"/>
      <c r="FHU54" s="4"/>
      <c r="FHV54" s="4"/>
      <c r="FHW54" s="4"/>
      <c r="FHX54" s="4"/>
      <c r="FHY54" s="4"/>
      <c r="FHZ54" s="4"/>
      <c r="FIA54" s="4"/>
      <c r="FIB54" s="4"/>
      <c r="FIC54" s="4"/>
      <c r="FID54" s="4"/>
      <c r="FIE54" s="4"/>
      <c r="FIF54" s="4"/>
      <c r="FIG54" s="4"/>
      <c r="FIH54" s="4"/>
      <c r="FII54" s="4"/>
      <c r="FIJ54" s="4"/>
      <c r="FIK54" s="4"/>
      <c r="FIL54" s="4"/>
      <c r="FIM54" s="4"/>
      <c r="FIN54" s="4"/>
      <c r="FIO54" s="4"/>
      <c r="FIP54" s="4"/>
      <c r="FIQ54" s="4"/>
      <c r="FIR54" s="4"/>
      <c r="FIS54" s="4"/>
      <c r="FIT54" s="4"/>
      <c r="FIU54" s="4"/>
      <c r="FIV54" s="4"/>
      <c r="FIW54" s="4"/>
      <c r="FIX54" s="4"/>
      <c r="FIY54" s="4"/>
      <c r="FIZ54" s="4"/>
      <c r="FJA54" s="4"/>
      <c r="FJB54" s="4"/>
      <c r="FJC54" s="4"/>
      <c r="FJD54" s="4"/>
      <c r="FJE54" s="4"/>
      <c r="FJF54" s="4"/>
      <c r="FJG54" s="4"/>
      <c r="FJH54" s="4"/>
      <c r="FJI54" s="4"/>
      <c r="FJJ54" s="4"/>
      <c r="FJK54" s="4"/>
      <c r="FJL54" s="4"/>
      <c r="FJM54" s="4"/>
      <c r="FJN54" s="4"/>
      <c r="FJO54" s="4"/>
      <c r="FJP54" s="4"/>
      <c r="FJQ54" s="4"/>
      <c r="FJR54" s="4"/>
      <c r="FJS54" s="4"/>
      <c r="FJT54" s="4"/>
      <c r="FJU54" s="4"/>
      <c r="FJV54" s="4"/>
      <c r="FJW54" s="4"/>
      <c r="FJX54" s="4"/>
      <c r="FJY54" s="4"/>
      <c r="FJZ54" s="4"/>
      <c r="FKA54" s="4"/>
      <c r="FKB54" s="4"/>
      <c r="FKC54" s="4"/>
      <c r="FKD54" s="4"/>
      <c r="FKE54" s="4"/>
      <c r="FKF54" s="4"/>
      <c r="FKG54" s="4"/>
      <c r="FKH54" s="4"/>
      <c r="FKI54" s="4"/>
      <c r="FKJ54" s="4"/>
      <c r="FKK54" s="4"/>
      <c r="FKL54" s="4"/>
      <c r="FKM54" s="4"/>
      <c r="FKN54" s="4"/>
      <c r="FKO54" s="4"/>
      <c r="FKP54" s="4"/>
      <c r="FKQ54" s="4"/>
      <c r="FKR54" s="4"/>
      <c r="FKS54" s="4"/>
      <c r="FKT54" s="4"/>
      <c r="FKU54" s="4"/>
      <c r="FKV54" s="4"/>
      <c r="FKW54" s="4"/>
      <c r="FKX54" s="4"/>
      <c r="FKY54" s="4"/>
      <c r="FKZ54" s="4"/>
      <c r="FLA54" s="4"/>
      <c r="FLB54" s="4"/>
      <c r="FLC54" s="4"/>
      <c r="FLD54" s="4"/>
      <c r="FLE54" s="4"/>
      <c r="FLF54" s="4"/>
      <c r="FLG54" s="4"/>
      <c r="FLH54" s="4"/>
      <c r="FLI54" s="4"/>
      <c r="FLJ54" s="4"/>
      <c r="FLK54" s="4"/>
      <c r="FLL54" s="4"/>
      <c r="FLM54" s="4"/>
      <c r="FLN54" s="4"/>
      <c r="FLO54" s="4"/>
      <c r="FLP54" s="4"/>
      <c r="FLQ54" s="4"/>
      <c r="FLR54" s="4"/>
      <c r="FLS54" s="4"/>
      <c r="FLT54" s="4"/>
      <c r="FLU54" s="4"/>
      <c r="FLV54" s="4"/>
      <c r="FLW54" s="4"/>
      <c r="FLX54" s="4"/>
      <c r="FLY54" s="4"/>
      <c r="FLZ54" s="4"/>
      <c r="FMA54" s="4"/>
      <c r="FMB54" s="4"/>
      <c r="FMC54" s="4"/>
      <c r="FMD54" s="4"/>
      <c r="FME54" s="4"/>
      <c r="FMF54" s="4"/>
      <c r="FMG54" s="4"/>
      <c r="FMH54" s="4"/>
      <c r="FMI54" s="4"/>
      <c r="FMJ54" s="4"/>
      <c r="FMK54" s="4"/>
      <c r="FML54" s="4"/>
      <c r="FMM54" s="4"/>
      <c r="FMN54" s="4"/>
      <c r="FMO54" s="4"/>
      <c r="FMP54" s="4"/>
      <c r="FMQ54" s="4"/>
      <c r="FMR54" s="4"/>
      <c r="FMS54" s="4"/>
      <c r="FMT54" s="4"/>
      <c r="FMU54" s="4"/>
      <c r="FMV54" s="4"/>
      <c r="FMW54" s="4"/>
      <c r="FMX54" s="4"/>
      <c r="FMY54" s="4"/>
      <c r="FMZ54" s="4"/>
      <c r="FNA54" s="4"/>
      <c r="FNB54" s="4"/>
      <c r="FNC54" s="4"/>
      <c r="FND54" s="4"/>
      <c r="FNE54" s="4"/>
      <c r="FNF54" s="4"/>
      <c r="FNG54" s="4"/>
      <c r="FNH54" s="4"/>
      <c r="FNI54" s="4"/>
      <c r="FNJ54" s="4"/>
      <c r="FNK54" s="4"/>
      <c r="FNL54" s="4"/>
      <c r="FNM54" s="4"/>
      <c r="FNN54" s="4"/>
      <c r="FNO54" s="4"/>
      <c r="FNP54" s="4"/>
      <c r="FNQ54" s="4"/>
      <c r="FNR54" s="4"/>
      <c r="FNS54" s="4"/>
      <c r="FNT54" s="4"/>
      <c r="FNU54" s="4"/>
      <c r="FNV54" s="4"/>
      <c r="FNW54" s="4"/>
      <c r="FNX54" s="4"/>
      <c r="FNY54" s="4"/>
      <c r="FNZ54" s="4"/>
      <c r="FOA54" s="4"/>
      <c r="FOB54" s="4"/>
      <c r="FOC54" s="4"/>
      <c r="FOD54" s="4"/>
      <c r="FOE54" s="4"/>
      <c r="FOF54" s="4"/>
      <c r="FOG54" s="4"/>
      <c r="FOH54" s="4"/>
      <c r="FOI54" s="4"/>
      <c r="FOJ54" s="4"/>
      <c r="FOK54" s="4"/>
      <c r="FOL54" s="4"/>
      <c r="FOM54" s="4"/>
      <c r="FON54" s="4"/>
      <c r="FOO54" s="4"/>
      <c r="FOP54" s="4"/>
      <c r="FOQ54" s="4"/>
      <c r="FOR54" s="4"/>
      <c r="FOS54" s="4"/>
      <c r="FOT54" s="4"/>
      <c r="FOU54" s="4"/>
      <c r="FOV54" s="4"/>
      <c r="FOW54" s="4"/>
      <c r="FOX54" s="4"/>
      <c r="FOY54" s="4"/>
      <c r="FOZ54" s="4"/>
      <c r="FPA54" s="4"/>
      <c r="FPB54" s="4"/>
      <c r="FPC54" s="4"/>
      <c r="FPD54" s="4"/>
      <c r="FPE54" s="4"/>
      <c r="FPF54" s="4"/>
      <c r="FPG54" s="4"/>
      <c r="FPH54" s="4"/>
      <c r="FPI54" s="4"/>
      <c r="FPJ54" s="4"/>
      <c r="FPK54" s="4"/>
      <c r="FPL54" s="4"/>
      <c r="FPM54" s="4"/>
      <c r="FPN54" s="4"/>
      <c r="FPO54" s="4"/>
      <c r="FPP54" s="4"/>
      <c r="FPQ54" s="4"/>
      <c r="FPR54" s="4"/>
      <c r="FPS54" s="4"/>
      <c r="FPT54" s="4"/>
      <c r="FPU54" s="4"/>
      <c r="FPV54" s="4"/>
      <c r="FPW54" s="4"/>
      <c r="FPX54" s="4"/>
      <c r="FPY54" s="4"/>
      <c r="FPZ54" s="4"/>
      <c r="FQA54" s="4"/>
      <c r="FQB54" s="4"/>
      <c r="FQC54" s="4"/>
      <c r="FQD54" s="4"/>
      <c r="FQE54" s="4"/>
      <c r="FQF54" s="4"/>
      <c r="FQG54" s="4"/>
      <c r="FQH54" s="4"/>
      <c r="FQI54" s="4"/>
      <c r="FQJ54" s="4"/>
      <c r="FQK54" s="4"/>
      <c r="FQL54" s="4"/>
      <c r="FQM54" s="4"/>
      <c r="FQN54" s="4"/>
      <c r="FQO54" s="4"/>
      <c r="FQP54" s="4"/>
      <c r="FQQ54" s="4"/>
      <c r="FQR54" s="4"/>
      <c r="FQS54" s="4"/>
      <c r="FQT54" s="4"/>
      <c r="FQU54" s="4"/>
      <c r="FQV54" s="4"/>
      <c r="FQW54" s="4"/>
      <c r="FQX54" s="4"/>
      <c r="FQY54" s="4"/>
      <c r="FQZ54" s="4"/>
      <c r="FRA54" s="4"/>
      <c r="FRB54" s="4"/>
      <c r="FRC54" s="4"/>
      <c r="FRD54" s="4"/>
      <c r="FRE54" s="4"/>
      <c r="FRF54" s="4"/>
      <c r="FRG54" s="4"/>
      <c r="FRH54" s="4"/>
      <c r="FRI54" s="4"/>
      <c r="FRJ54" s="4"/>
      <c r="FRK54" s="4"/>
      <c r="FRL54" s="4"/>
      <c r="FRM54" s="4"/>
      <c r="FRN54" s="4"/>
      <c r="FRO54" s="4"/>
      <c r="FRP54" s="4"/>
      <c r="FRQ54" s="4"/>
      <c r="FRR54" s="4"/>
      <c r="FRS54" s="4"/>
      <c r="FRT54" s="4"/>
      <c r="FRU54" s="4"/>
      <c r="FRV54" s="4"/>
      <c r="FRW54" s="4"/>
      <c r="FRX54" s="4"/>
      <c r="FRY54" s="4"/>
      <c r="FRZ54" s="4"/>
      <c r="FSA54" s="4"/>
      <c r="FSB54" s="4"/>
      <c r="FSC54" s="4"/>
      <c r="FSD54" s="4"/>
      <c r="FSE54" s="4"/>
      <c r="FSF54" s="4"/>
      <c r="FSG54" s="4"/>
      <c r="FSH54" s="4"/>
      <c r="FSI54" s="4"/>
      <c r="FSJ54" s="4"/>
      <c r="FSK54" s="4"/>
      <c r="FSL54" s="4"/>
      <c r="FSM54" s="4"/>
      <c r="FSN54" s="4"/>
      <c r="FSO54" s="4"/>
      <c r="FSP54" s="4"/>
      <c r="FSQ54" s="4"/>
      <c r="FSR54" s="4"/>
      <c r="FSS54" s="4"/>
      <c r="FST54" s="4"/>
      <c r="FSU54" s="4"/>
      <c r="FSV54" s="4"/>
      <c r="FSW54" s="4"/>
      <c r="FSX54" s="4"/>
      <c r="FSY54" s="4"/>
      <c r="FSZ54" s="4"/>
      <c r="FTA54" s="4"/>
      <c r="FTB54" s="4"/>
      <c r="FTC54" s="4"/>
      <c r="FTD54" s="4"/>
      <c r="FTE54" s="4"/>
      <c r="FTF54" s="4"/>
      <c r="FTG54" s="4"/>
      <c r="FTH54" s="4"/>
      <c r="FTI54" s="4"/>
      <c r="FTJ54" s="4"/>
      <c r="FTK54" s="4"/>
      <c r="FTL54" s="4"/>
      <c r="FTM54" s="4"/>
      <c r="FTN54" s="4"/>
      <c r="FTO54" s="4"/>
      <c r="FTP54" s="4"/>
      <c r="FTQ54" s="4"/>
      <c r="FTR54" s="4"/>
      <c r="FTS54" s="4"/>
      <c r="FTT54" s="4"/>
      <c r="FTU54" s="4"/>
      <c r="FTV54" s="4"/>
      <c r="FTW54" s="4"/>
      <c r="FTX54" s="4"/>
      <c r="FTY54" s="4"/>
      <c r="FTZ54" s="4"/>
      <c r="FUA54" s="4"/>
      <c r="FUB54" s="4"/>
      <c r="FUC54" s="4"/>
      <c r="FUD54" s="4"/>
      <c r="FUE54" s="4"/>
      <c r="FUF54" s="4"/>
      <c r="FUG54" s="4"/>
      <c r="FUH54" s="4"/>
      <c r="FUI54" s="4"/>
      <c r="FUJ54" s="4"/>
      <c r="FUK54" s="4"/>
      <c r="FUL54" s="4"/>
      <c r="FUM54" s="4"/>
      <c r="FUN54" s="4"/>
      <c r="FUO54" s="4"/>
      <c r="FUP54" s="4"/>
      <c r="FUQ54" s="4"/>
      <c r="FUR54" s="4"/>
      <c r="FUS54" s="4"/>
      <c r="FUT54" s="4"/>
      <c r="FUU54" s="4"/>
      <c r="FUV54" s="4"/>
      <c r="FUW54" s="4"/>
      <c r="FUX54" s="4"/>
      <c r="FUY54" s="4"/>
      <c r="FUZ54" s="4"/>
      <c r="FVA54" s="4"/>
      <c r="FVB54" s="4"/>
      <c r="FVC54" s="4"/>
      <c r="FVD54" s="4"/>
      <c r="FVE54" s="4"/>
      <c r="FVF54" s="4"/>
      <c r="FVG54" s="4"/>
      <c r="FVH54" s="4"/>
      <c r="FVI54" s="4"/>
      <c r="FVJ54" s="4"/>
      <c r="FVK54" s="4"/>
      <c r="FVL54" s="4"/>
      <c r="FVM54" s="4"/>
      <c r="FVN54" s="4"/>
      <c r="FVO54" s="4"/>
      <c r="FVP54" s="4"/>
      <c r="FVQ54" s="4"/>
      <c r="FVR54" s="4"/>
      <c r="FVS54" s="4"/>
      <c r="FVT54" s="4"/>
      <c r="FVU54" s="4"/>
      <c r="FVV54" s="4"/>
      <c r="FVW54" s="4"/>
      <c r="FVX54" s="4"/>
      <c r="FVY54" s="4"/>
      <c r="FVZ54" s="4"/>
      <c r="FWA54" s="4"/>
      <c r="FWB54" s="4"/>
      <c r="FWC54" s="4"/>
      <c r="FWD54" s="4"/>
      <c r="FWE54" s="4"/>
      <c r="FWF54" s="4"/>
      <c r="FWG54" s="4"/>
      <c r="FWH54" s="4"/>
      <c r="FWI54" s="4"/>
      <c r="FWJ54" s="4"/>
      <c r="FWK54" s="4"/>
      <c r="FWL54" s="4"/>
      <c r="FWM54" s="4"/>
      <c r="FWN54" s="4"/>
      <c r="FWO54" s="4"/>
      <c r="FWP54" s="4"/>
      <c r="FWQ54" s="4"/>
      <c r="FWR54" s="4"/>
      <c r="FWS54" s="4"/>
      <c r="FWT54" s="4"/>
      <c r="FWU54" s="4"/>
      <c r="FWV54" s="4"/>
      <c r="FWW54" s="4"/>
      <c r="FWX54" s="4"/>
      <c r="FWY54" s="4"/>
      <c r="FWZ54" s="4"/>
      <c r="FXA54" s="4"/>
      <c r="FXB54" s="4"/>
      <c r="FXC54" s="4"/>
      <c r="FXD54" s="4"/>
      <c r="FXE54" s="4"/>
      <c r="FXF54" s="4"/>
      <c r="FXG54" s="4"/>
      <c r="FXH54" s="4"/>
      <c r="FXI54" s="4"/>
      <c r="FXJ54" s="4"/>
      <c r="FXK54" s="4"/>
      <c r="FXL54" s="4"/>
      <c r="FXM54" s="4"/>
      <c r="FXN54" s="4"/>
      <c r="FXO54" s="4"/>
      <c r="FXP54" s="4"/>
      <c r="FXQ54" s="4"/>
      <c r="FXR54" s="4"/>
      <c r="FXS54" s="4"/>
      <c r="FXT54" s="4"/>
      <c r="FXU54" s="4"/>
      <c r="FXV54" s="4"/>
      <c r="FXW54" s="4"/>
      <c r="FXX54" s="4"/>
      <c r="FXY54" s="4"/>
      <c r="FXZ54" s="4"/>
      <c r="FYA54" s="4"/>
      <c r="FYB54" s="4"/>
      <c r="FYC54" s="4"/>
      <c r="FYD54" s="4"/>
      <c r="FYE54" s="4"/>
      <c r="FYF54" s="4"/>
      <c r="FYG54" s="4"/>
      <c r="FYH54" s="4"/>
      <c r="FYI54" s="4"/>
      <c r="FYJ54" s="4"/>
      <c r="FYK54" s="4"/>
      <c r="FYL54" s="4"/>
      <c r="FYM54" s="4"/>
      <c r="FYN54" s="4"/>
      <c r="FYO54" s="4"/>
      <c r="FYP54" s="4"/>
      <c r="FYQ54" s="4"/>
      <c r="FYR54" s="4"/>
      <c r="FYS54" s="4"/>
      <c r="FYT54" s="4"/>
      <c r="FYU54" s="4"/>
      <c r="FYV54" s="4"/>
      <c r="FYW54" s="4"/>
      <c r="FYX54" s="4"/>
      <c r="FYY54" s="4"/>
      <c r="FYZ54" s="4"/>
      <c r="FZA54" s="4"/>
      <c r="FZB54" s="4"/>
      <c r="FZC54" s="4"/>
      <c r="FZD54" s="4"/>
      <c r="FZE54" s="4"/>
      <c r="FZF54" s="4"/>
      <c r="FZG54" s="4"/>
      <c r="FZH54" s="4"/>
      <c r="FZI54" s="4"/>
      <c r="FZJ54" s="4"/>
      <c r="FZK54" s="4"/>
      <c r="FZL54" s="4"/>
      <c r="FZM54" s="4"/>
      <c r="FZN54" s="4"/>
      <c r="FZO54" s="4"/>
      <c r="FZP54" s="4"/>
      <c r="FZQ54" s="4"/>
      <c r="FZR54" s="4"/>
      <c r="FZS54" s="4"/>
      <c r="FZT54" s="4"/>
      <c r="FZU54" s="4"/>
      <c r="FZV54" s="4"/>
      <c r="FZW54" s="4"/>
      <c r="FZX54" s="4"/>
      <c r="FZY54" s="4"/>
      <c r="FZZ54" s="4"/>
      <c r="GAA54" s="4"/>
      <c r="GAB54" s="4"/>
      <c r="GAC54" s="4"/>
      <c r="GAD54" s="4"/>
      <c r="GAE54" s="4"/>
      <c r="GAF54" s="4"/>
      <c r="GAG54" s="4"/>
      <c r="GAH54" s="4"/>
      <c r="GAI54" s="4"/>
      <c r="GAJ54" s="4"/>
      <c r="GAK54" s="4"/>
      <c r="GAL54" s="4"/>
      <c r="GAM54" s="4"/>
      <c r="GAN54" s="4"/>
      <c r="GAO54" s="4"/>
      <c r="GAP54" s="4"/>
      <c r="GAQ54" s="4"/>
      <c r="GAR54" s="4"/>
      <c r="GAS54" s="4"/>
      <c r="GAT54" s="4"/>
      <c r="GAU54" s="4"/>
      <c r="GAV54" s="4"/>
      <c r="GAW54" s="4"/>
      <c r="GAX54" s="4"/>
      <c r="GAY54" s="4"/>
      <c r="GAZ54" s="4"/>
      <c r="GBA54" s="4"/>
      <c r="GBB54" s="4"/>
      <c r="GBC54" s="4"/>
      <c r="GBD54" s="4"/>
      <c r="GBE54" s="4"/>
      <c r="GBF54" s="4"/>
      <c r="GBG54" s="4"/>
      <c r="GBH54" s="4"/>
      <c r="GBI54" s="4"/>
      <c r="GBJ54" s="4"/>
      <c r="GBK54" s="4"/>
      <c r="GBL54" s="4"/>
      <c r="GBM54" s="4"/>
      <c r="GBN54" s="4"/>
      <c r="GBO54" s="4"/>
      <c r="GBP54" s="4"/>
      <c r="GBQ54" s="4"/>
      <c r="GBR54" s="4"/>
      <c r="GBS54" s="4"/>
      <c r="GBT54" s="4"/>
      <c r="GBU54" s="4"/>
      <c r="GBV54" s="4"/>
      <c r="GBW54" s="4"/>
      <c r="GBX54" s="4"/>
      <c r="GBY54" s="4"/>
      <c r="GBZ54" s="4"/>
      <c r="GCA54" s="4"/>
      <c r="GCB54" s="4"/>
      <c r="GCC54" s="4"/>
      <c r="GCD54" s="4"/>
      <c r="GCE54" s="4"/>
      <c r="GCF54" s="4"/>
      <c r="GCG54" s="4"/>
      <c r="GCH54" s="4"/>
      <c r="GCI54" s="4"/>
      <c r="GCJ54" s="4"/>
      <c r="GCK54" s="4"/>
      <c r="GCL54" s="4"/>
      <c r="GCM54" s="4"/>
      <c r="GCN54" s="4"/>
      <c r="GCO54" s="4"/>
      <c r="GCP54" s="4"/>
      <c r="GCQ54" s="4"/>
      <c r="GCR54" s="4"/>
      <c r="GCS54" s="4"/>
      <c r="GCT54" s="4"/>
      <c r="GCU54" s="4"/>
      <c r="GCV54" s="4"/>
      <c r="GCW54" s="4"/>
      <c r="GCX54" s="4"/>
      <c r="GCY54" s="4"/>
      <c r="GCZ54" s="4"/>
      <c r="GDA54" s="4"/>
      <c r="GDB54" s="4"/>
      <c r="GDC54" s="4"/>
      <c r="GDD54" s="4"/>
      <c r="GDE54" s="4"/>
      <c r="GDF54" s="4"/>
      <c r="GDG54" s="4"/>
      <c r="GDH54" s="4"/>
      <c r="GDI54" s="4"/>
      <c r="GDJ54" s="4"/>
      <c r="GDK54" s="4"/>
      <c r="GDL54" s="4"/>
      <c r="GDM54" s="4"/>
      <c r="GDN54" s="4"/>
      <c r="GDO54" s="4"/>
      <c r="GDP54" s="4"/>
      <c r="GDQ54" s="4"/>
      <c r="GDR54" s="4"/>
      <c r="GDS54" s="4"/>
      <c r="GDT54" s="4"/>
      <c r="GDU54" s="4"/>
      <c r="GDV54" s="4"/>
      <c r="GDW54" s="4"/>
      <c r="GDX54" s="4"/>
      <c r="GDY54" s="4"/>
      <c r="GDZ54" s="4"/>
      <c r="GEA54" s="4"/>
      <c r="GEB54" s="4"/>
      <c r="GEC54" s="4"/>
      <c r="GED54" s="4"/>
      <c r="GEE54" s="4"/>
      <c r="GEF54" s="4"/>
      <c r="GEG54" s="4"/>
      <c r="GEH54" s="4"/>
      <c r="GEI54" s="4"/>
      <c r="GEJ54" s="4"/>
      <c r="GEK54" s="4"/>
      <c r="GEL54" s="4"/>
      <c r="GEM54" s="4"/>
      <c r="GEN54" s="4"/>
      <c r="GEO54" s="4"/>
      <c r="GEP54" s="4"/>
      <c r="GEQ54" s="4"/>
      <c r="GER54" s="4"/>
      <c r="GES54" s="4"/>
      <c r="GET54" s="4"/>
      <c r="GEU54" s="4"/>
      <c r="GEV54" s="4"/>
      <c r="GEW54" s="4"/>
      <c r="GEX54" s="4"/>
      <c r="GEY54" s="4"/>
      <c r="GEZ54" s="4"/>
      <c r="GFA54" s="4"/>
      <c r="GFB54" s="4"/>
      <c r="GFC54" s="4"/>
      <c r="GFD54" s="4"/>
      <c r="GFE54" s="4"/>
      <c r="GFF54" s="4"/>
      <c r="GFG54" s="4"/>
      <c r="GFH54" s="4"/>
      <c r="GFI54" s="4"/>
      <c r="GFJ54" s="4"/>
      <c r="GFK54" s="4"/>
      <c r="GFL54" s="4"/>
      <c r="GFM54" s="4"/>
      <c r="GFN54" s="4"/>
      <c r="GFO54" s="4"/>
      <c r="GFP54" s="4"/>
      <c r="GFQ54" s="4"/>
      <c r="GFR54" s="4"/>
      <c r="GFS54" s="4"/>
      <c r="GFT54" s="4"/>
      <c r="GFU54" s="4"/>
      <c r="GFV54" s="4"/>
      <c r="GFW54" s="4"/>
      <c r="GFX54" s="4"/>
      <c r="GFY54" s="4"/>
      <c r="GFZ54" s="4"/>
      <c r="GGA54" s="4"/>
      <c r="GGB54" s="4"/>
      <c r="GGC54" s="4"/>
      <c r="GGD54" s="4"/>
      <c r="GGE54" s="4"/>
      <c r="GGF54" s="4"/>
      <c r="GGG54" s="4"/>
      <c r="GGH54" s="4"/>
      <c r="GGI54" s="4"/>
      <c r="GGJ54" s="4"/>
      <c r="GGK54" s="4"/>
      <c r="GGL54" s="4"/>
      <c r="GGM54" s="4"/>
      <c r="GGN54" s="4"/>
      <c r="GGO54" s="4"/>
      <c r="GGP54" s="4"/>
      <c r="GGQ54" s="4"/>
      <c r="GGR54" s="4"/>
      <c r="GGS54" s="4"/>
      <c r="GGT54" s="4"/>
      <c r="GGU54" s="4"/>
      <c r="GGV54" s="4"/>
      <c r="GGW54" s="4"/>
      <c r="GGX54" s="4"/>
      <c r="GGY54" s="4"/>
      <c r="GGZ54" s="4"/>
      <c r="GHA54" s="4"/>
      <c r="GHB54" s="4"/>
      <c r="GHC54" s="4"/>
      <c r="GHD54" s="4"/>
      <c r="GHE54" s="4"/>
      <c r="GHF54" s="4"/>
      <c r="GHG54" s="4"/>
      <c r="GHH54" s="4"/>
      <c r="GHI54" s="4"/>
      <c r="GHJ54" s="4"/>
      <c r="GHK54" s="4"/>
      <c r="GHL54" s="4"/>
      <c r="GHM54" s="4"/>
      <c r="GHN54" s="4"/>
      <c r="GHO54" s="4"/>
      <c r="GHP54" s="4"/>
      <c r="GHQ54" s="4"/>
      <c r="GHR54" s="4"/>
      <c r="GHS54" s="4"/>
      <c r="GHT54" s="4"/>
      <c r="GHU54" s="4"/>
      <c r="GHV54" s="4"/>
      <c r="GHW54" s="4"/>
      <c r="GHX54" s="4"/>
      <c r="GHY54" s="4"/>
      <c r="GHZ54" s="4"/>
      <c r="GIA54" s="4"/>
      <c r="GIB54" s="4"/>
      <c r="GIC54" s="4"/>
      <c r="GID54" s="4"/>
      <c r="GIE54" s="4"/>
      <c r="GIF54" s="4"/>
      <c r="GIG54" s="4"/>
      <c r="GIH54" s="4"/>
      <c r="GII54" s="4"/>
      <c r="GIJ54" s="4"/>
      <c r="GIK54" s="4"/>
      <c r="GIL54" s="4"/>
      <c r="GIM54" s="4"/>
      <c r="GIN54" s="4"/>
      <c r="GIO54" s="4"/>
      <c r="GIP54" s="4"/>
      <c r="GIQ54" s="4"/>
      <c r="GIR54" s="4"/>
      <c r="GIS54" s="4"/>
      <c r="GIT54" s="4"/>
      <c r="GIU54" s="4"/>
      <c r="GIV54" s="4"/>
      <c r="GIW54" s="4"/>
      <c r="GIX54" s="4"/>
      <c r="GIY54" s="4"/>
      <c r="GIZ54" s="4"/>
      <c r="GJA54" s="4"/>
      <c r="GJB54" s="4"/>
      <c r="GJC54" s="4"/>
      <c r="GJD54" s="4"/>
      <c r="GJE54" s="4"/>
      <c r="GJF54" s="4"/>
      <c r="GJG54" s="4"/>
      <c r="GJH54" s="4"/>
      <c r="GJI54" s="4"/>
      <c r="GJJ54" s="4"/>
      <c r="GJK54" s="4"/>
      <c r="GJL54" s="4"/>
      <c r="GJM54" s="4"/>
      <c r="GJN54" s="4"/>
      <c r="GJO54" s="4"/>
      <c r="GJP54" s="4"/>
      <c r="GJQ54" s="4"/>
      <c r="GJR54" s="4"/>
      <c r="GJS54" s="4"/>
      <c r="GJT54" s="4"/>
      <c r="GJU54" s="4"/>
      <c r="GJV54" s="4"/>
      <c r="GJW54" s="4"/>
      <c r="GJX54" s="4"/>
      <c r="GJY54" s="4"/>
      <c r="GJZ54" s="4"/>
      <c r="GKA54" s="4"/>
      <c r="GKB54" s="4"/>
      <c r="GKC54" s="4"/>
      <c r="GKD54" s="4"/>
      <c r="GKE54" s="4"/>
      <c r="GKF54" s="4"/>
      <c r="GKG54" s="4"/>
      <c r="GKH54" s="4"/>
      <c r="GKI54" s="4"/>
      <c r="GKJ54" s="4"/>
      <c r="GKK54" s="4"/>
      <c r="GKL54" s="4"/>
      <c r="GKM54" s="4"/>
      <c r="GKN54" s="4"/>
      <c r="GKO54" s="4"/>
      <c r="GKP54" s="4"/>
      <c r="GKQ54" s="4"/>
      <c r="GKR54" s="4"/>
      <c r="GKS54" s="4"/>
      <c r="GKT54" s="4"/>
      <c r="GKU54" s="4"/>
      <c r="GKV54" s="4"/>
      <c r="GKW54" s="4"/>
      <c r="GKX54" s="4"/>
      <c r="GKY54" s="4"/>
      <c r="GKZ54" s="4"/>
      <c r="GLA54" s="4"/>
      <c r="GLB54" s="4"/>
      <c r="GLC54" s="4"/>
      <c r="GLD54" s="4"/>
      <c r="GLE54" s="4"/>
      <c r="GLF54" s="4"/>
      <c r="GLG54" s="4"/>
      <c r="GLH54" s="4"/>
      <c r="GLI54" s="4"/>
      <c r="GLJ54" s="4"/>
      <c r="GLK54" s="4"/>
      <c r="GLL54" s="4"/>
      <c r="GLM54" s="4"/>
      <c r="GLN54" s="4"/>
      <c r="GLO54" s="4"/>
      <c r="GLP54" s="4"/>
      <c r="GLQ54" s="4"/>
      <c r="GLR54" s="4"/>
      <c r="GLS54" s="4"/>
      <c r="GLT54" s="4"/>
      <c r="GLU54" s="4"/>
      <c r="GLV54" s="4"/>
      <c r="GLW54" s="4"/>
      <c r="GLX54" s="4"/>
      <c r="GLY54" s="4"/>
      <c r="GLZ54" s="4"/>
      <c r="GMA54" s="4"/>
      <c r="GMB54" s="4"/>
      <c r="GMC54" s="4"/>
      <c r="GMD54" s="4"/>
      <c r="GME54" s="4"/>
      <c r="GMF54" s="4"/>
      <c r="GMG54" s="4"/>
      <c r="GMH54" s="4"/>
      <c r="GMI54" s="4"/>
      <c r="GMJ54" s="4"/>
      <c r="GMK54" s="4"/>
      <c r="GML54" s="4"/>
      <c r="GMM54" s="4"/>
      <c r="GMN54" s="4"/>
      <c r="GMO54" s="4"/>
      <c r="GMP54" s="4"/>
      <c r="GMQ54" s="4"/>
      <c r="GMR54" s="4"/>
      <c r="GMS54" s="4"/>
      <c r="GMT54" s="4"/>
      <c r="GMU54" s="4"/>
      <c r="GMV54" s="4"/>
      <c r="GMW54" s="4"/>
      <c r="GMX54" s="4"/>
      <c r="GMY54" s="4"/>
      <c r="GMZ54" s="4"/>
      <c r="GNA54" s="4"/>
      <c r="GNB54" s="4"/>
      <c r="GNC54" s="4"/>
      <c r="GND54" s="4"/>
      <c r="GNE54" s="4"/>
      <c r="GNF54" s="4"/>
      <c r="GNG54" s="4"/>
      <c r="GNH54" s="4"/>
      <c r="GNI54" s="4"/>
      <c r="GNJ54" s="4"/>
      <c r="GNK54" s="4"/>
      <c r="GNL54" s="4"/>
      <c r="GNM54" s="4"/>
      <c r="GNN54" s="4"/>
      <c r="GNO54" s="4"/>
      <c r="GNP54" s="4"/>
      <c r="GNQ54" s="4"/>
      <c r="GNR54" s="4"/>
      <c r="GNS54" s="4"/>
      <c r="GNT54" s="4"/>
      <c r="GNU54" s="4"/>
      <c r="GNV54" s="4"/>
      <c r="GNW54" s="4"/>
      <c r="GNX54" s="4"/>
      <c r="GNY54" s="4"/>
      <c r="GNZ54" s="4"/>
      <c r="GOA54" s="4"/>
      <c r="GOB54" s="4"/>
      <c r="GOC54" s="4"/>
      <c r="GOD54" s="4"/>
      <c r="GOE54" s="4"/>
      <c r="GOF54" s="4"/>
      <c r="GOG54" s="4"/>
      <c r="GOH54" s="4"/>
      <c r="GOI54" s="4"/>
      <c r="GOJ54" s="4"/>
      <c r="GOK54" s="4"/>
      <c r="GOL54" s="4"/>
      <c r="GOM54" s="4"/>
      <c r="GON54" s="4"/>
      <c r="GOO54" s="4"/>
      <c r="GOP54" s="4"/>
      <c r="GOQ54" s="4"/>
      <c r="GOR54" s="4"/>
      <c r="GOS54" s="4"/>
      <c r="GOT54" s="4"/>
      <c r="GOU54" s="4"/>
      <c r="GOV54" s="4"/>
      <c r="GOW54" s="4"/>
      <c r="GOX54" s="4"/>
      <c r="GOY54" s="4"/>
      <c r="GOZ54" s="4"/>
      <c r="GPA54" s="4"/>
      <c r="GPB54" s="4"/>
      <c r="GPC54" s="4"/>
      <c r="GPD54" s="4"/>
      <c r="GPE54" s="4"/>
      <c r="GPF54" s="4"/>
      <c r="GPG54" s="4"/>
      <c r="GPH54" s="4"/>
      <c r="GPI54" s="4"/>
      <c r="GPJ54" s="4"/>
      <c r="GPK54" s="4"/>
      <c r="GPL54" s="4"/>
      <c r="GPM54" s="4"/>
      <c r="GPN54" s="4"/>
      <c r="GPO54" s="4"/>
      <c r="GPP54" s="4"/>
      <c r="GPQ54" s="4"/>
      <c r="GPR54" s="4"/>
      <c r="GPS54" s="4"/>
      <c r="GPT54" s="4"/>
      <c r="GPU54" s="4"/>
      <c r="GPV54" s="4"/>
      <c r="GPW54" s="4"/>
      <c r="GPX54" s="4"/>
      <c r="GPY54" s="4"/>
      <c r="GPZ54" s="4"/>
      <c r="GQA54" s="4"/>
      <c r="GQB54" s="4"/>
      <c r="GQC54" s="4"/>
      <c r="GQD54" s="4"/>
      <c r="GQE54" s="4"/>
      <c r="GQF54" s="4"/>
      <c r="GQG54" s="4"/>
      <c r="GQH54" s="4"/>
      <c r="GQI54" s="4"/>
      <c r="GQJ54" s="4"/>
      <c r="GQK54" s="4"/>
      <c r="GQL54" s="4"/>
      <c r="GQM54" s="4"/>
      <c r="GQN54" s="4"/>
      <c r="GQO54" s="4"/>
      <c r="GQP54" s="4"/>
      <c r="GQQ54" s="4"/>
      <c r="GQR54" s="4"/>
      <c r="GQS54" s="4"/>
      <c r="GQT54" s="4"/>
      <c r="GQU54" s="4"/>
      <c r="GQV54" s="4"/>
      <c r="GQW54" s="4"/>
      <c r="GQX54" s="4"/>
      <c r="GQY54" s="4"/>
      <c r="GQZ54" s="4"/>
      <c r="GRA54" s="4"/>
      <c r="GRB54" s="4"/>
      <c r="GRC54" s="4"/>
      <c r="GRD54" s="4"/>
      <c r="GRE54" s="4"/>
      <c r="GRF54" s="4"/>
      <c r="GRG54" s="4"/>
      <c r="GRH54" s="4"/>
      <c r="GRI54" s="4"/>
      <c r="GRJ54" s="4"/>
      <c r="GRK54" s="4"/>
      <c r="GRL54" s="4"/>
      <c r="GRM54" s="4"/>
      <c r="GRN54" s="4"/>
      <c r="GRO54" s="4"/>
      <c r="GRP54" s="4"/>
      <c r="GRQ54" s="4"/>
      <c r="GRR54" s="4"/>
      <c r="GRS54" s="4"/>
      <c r="GRT54" s="4"/>
      <c r="GRU54" s="4"/>
      <c r="GRV54" s="4"/>
      <c r="GRW54" s="4"/>
      <c r="GRX54" s="4"/>
      <c r="GRY54" s="4"/>
      <c r="GRZ54" s="4"/>
      <c r="GSA54" s="4"/>
      <c r="GSB54" s="4"/>
      <c r="GSC54" s="4"/>
      <c r="GSD54" s="4"/>
      <c r="GSE54" s="4"/>
      <c r="GSF54" s="4"/>
      <c r="GSG54" s="4"/>
      <c r="GSH54" s="4"/>
      <c r="GSI54" s="4"/>
      <c r="GSJ54" s="4"/>
      <c r="GSK54" s="4"/>
      <c r="GSL54" s="4"/>
      <c r="GSM54" s="4"/>
      <c r="GSN54" s="4"/>
      <c r="GSO54" s="4"/>
      <c r="GSP54" s="4"/>
      <c r="GSQ54" s="4"/>
      <c r="GSR54" s="4"/>
      <c r="GSS54" s="4"/>
      <c r="GST54" s="4"/>
      <c r="GSU54" s="4"/>
      <c r="GSV54" s="4"/>
      <c r="GSW54" s="4"/>
      <c r="GSX54" s="4"/>
      <c r="GSY54" s="4"/>
      <c r="GSZ54" s="4"/>
      <c r="GTA54" s="4"/>
      <c r="GTB54" s="4"/>
      <c r="GTC54" s="4"/>
      <c r="GTD54" s="4"/>
      <c r="GTE54" s="4"/>
      <c r="GTF54" s="4"/>
      <c r="GTG54" s="4"/>
      <c r="GTH54" s="4"/>
      <c r="GTI54" s="4"/>
      <c r="GTJ54" s="4"/>
      <c r="GTK54" s="4"/>
      <c r="GTL54" s="4"/>
      <c r="GTM54" s="4"/>
      <c r="GTN54" s="4"/>
      <c r="GTO54" s="4"/>
      <c r="GTP54" s="4"/>
      <c r="GTQ54" s="4"/>
      <c r="GTR54" s="4"/>
      <c r="GTS54" s="4"/>
      <c r="GTT54" s="4"/>
      <c r="GTU54" s="4"/>
      <c r="GTV54" s="4"/>
      <c r="GTW54" s="4"/>
      <c r="GTX54" s="4"/>
      <c r="GTY54" s="4"/>
      <c r="GTZ54" s="4"/>
      <c r="GUA54" s="4"/>
      <c r="GUB54" s="4"/>
      <c r="GUC54" s="4"/>
      <c r="GUD54" s="4"/>
      <c r="GUE54" s="4"/>
      <c r="GUF54" s="4"/>
      <c r="GUG54" s="4"/>
      <c r="GUH54" s="4"/>
      <c r="GUI54" s="4"/>
      <c r="GUJ54" s="4"/>
      <c r="GUK54" s="4"/>
      <c r="GUL54" s="4"/>
      <c r="GUM54" s="4"/>
      <c r="GUN54" s="4"/>
      <c r="GUO54" s="4"/>
      <c r="GUP54" s="4"/>
      <c r="GUQ54" s="4"/>
      <c r="GUR54" s="4"/>
      <c r="GUS54" s="4"/>
      <c r="GUT54" s="4"/>
      <c r="GUU54" s="4"/>
      <c r="GUV54" s="4"/>
      <c r="GUW54" s="4"/>
      <c r="GUX54" s="4"/>
      <c r="GUY54" s="4"/>
      <c r="GUZ54" s="4"/>
      <c r="GVA54" s="4"/>
      <c r="GVB54" s="4"/>
      <c r="GVC54" s="4"/>
      <c r="GVD54" s="4"/>
      <c r="GVE54" s="4"/>
      <c r="GVF54" s="4"/>
      <c r="GVG54" s="4"/>
      <c r="GVH54" s="4"/>
      <c r="GVI54" s="4"/>
      <c r="GVJ54" s="4"/>
      <c r="GVK54" s="4"/>
      <c r="GVL54" s="4"/>
      <c r="GVM54" s="4"/>
      <c r="GVN54" s="4"/>
      <c r="GVO54" s="4"/>
      <c r="GVP54" s="4"/>
      <c r="GVQ54" s="4"/>
      <c r="GVR54" s="4"/>
      <c r="GVS54" s="4"/>
      <c r="GVT54" s="4"/>
      <c r="GVU54" s="4"/>
      <c r="GVV54" s="4"/>
      <c r="GVW54" s="4"/>
      <c r="GVX54" s="4"/>
      <c r="GVY54" s="4"/>
      <c r="GVZ54" s="4"/>
      <c r="GWA54" s="4"/>
      <c r="GWB54" s="4"/>
      <c r="GWC54" s="4"/>
      <c r="GWD54" s="4"/>
      <c r="GWE54" s="4"/>
      <c r="GWF54" s="4"/>
      <c r="GWG54" s="4"/>
      <c r="GWH54" s="4"/>
      <c r="GWI54" s="4"/>
      <c r="GWJ54" s="4"/>
      <c r="GWK54" s="4"/>
      <c r="GWL54" s="4"/>
      <c r="GWM54" s="4"/>
      <c r="GWN54" s="4"/>
      <c r="GWO54" s="4"/>
      <c r="GWP54" s="4"/>
      <c r="GWQ54" s="4"/>
      <c r="GWR54" s="4"/>
      <c r="GWS54" s="4"/>
      <c r="GWT54" s="4"/>
      <c r="GWU54" s="4"/>
      <c r="GWV54" s="4"/>
      <c r="GWW54" s="4"/>
      <c r="GWX54" s="4"/>
      <c r="GWY54" s="4"/>
      <c r="GWZ54" s="4"/>
      <c r="GXA54" s="4"/>
      <c r="GXB54" s="4"/>
      <c r="GXC54" s="4"/>
      <c r="GXD54" s="4"/>
      <c r="GXE54" s="4"/>
      <c r="GXF54" s="4"/>
      <c r="GXG54" s="4"/>
      <c r="GXH54" s="4"/>
      <c r="GXI54" s="4"/>
      <c r="GXJ54" s="4"/>
      <c r="GXK54" s="4"/>
      <c r="GXL54" s="4"/>
      <c r="GXM54" s="4"/>
      <c r="GXN54" s="4"/>
      <c r="GXO54" s="4"/>
      <c r="GXP54" s="4"/>
      <c r="GXQ54" s="4"/>
      <c r="GXR54" s="4"/>
      <c r="GXS54" s="4"/>
      <c r="GXT54" s="4"/>
      <c r="GXU54" s="4"/>
      <c r="GXV54" s="4"/>
      <c r="GXW54" s="4"/>
      <c r="GXX54" s="4"/>
      <c r="GXY54" s="4"/>
      <c r="GXZ54" s="4"/>
      <c r="GYA54" s="4"/>
      <c r="GYB54" s="4"/>
      <c r="GYC54" s="4"/>
      <c r="GYD54" s="4"/>
      <c r="GYE54" s="4"/>
      <c r="GYF54" s="4"/>
      <c r="GYG54" s="4"/>
      <c r="GYH54" s="4"/>
      <c r="GYI54" s="4"/>
      <c r="GYJ54" s="4"/>
      <c r="GYK54" s="4"/>
      <c r="GYL54" s="4"/>
      <c r="GYM54" s="4"/>
      <c r="GYN54" s="4"/>
      <c r="GYO54" s="4"/>
      <c r="GYP54" s="4"/>
      <c r="GYQ54" s="4"/>
      <c r="GYR54" s="4"/>
      <c r="GYS54" s="4"/>
      <c r="GYT54" s="4"/>
      <c r="GYU54" s="4"/>
      <c r="GYV54" s="4"/>
      <c r="GYW54" s="4"/>
      <c r="GYX54" s="4"/>
      <c r="GYY54" s="4"/>
      <c r="GYZ54" s="4"/>
      <c r="GZA54" s="4"/>
      <c r="GZB54" s="4"/>
      <c r="GZC54" s="4"/>
      <c r="GZD54" s="4"/>
      <c r="GZE54" s="4"/>
      <c r="GZF54" s="4"/>
      <c r="GZG54" s="4"/>
      <c r="GZH54" s="4"/>
      <c r="GZI54" s="4"/>
      <c r="GZJ54" s="4"/>
      <c r="GZK54" s="4"/>
      <c r="GZL54" s="4"/>
      <c r="GZM54" s="4"/>
      <c r="GZN54" s="4"/>
      <c r="GZO54" s="4"/>
      <c r="GZP54" s="4"/>
      <c r="GZQ54" s="4"/>
      <c r="GZR54" s="4"/>
      <c r="GZS54" s="4"/>
      <c r="GZT54" s="4"/>
      <c r="GZU54" s="4"/>
      <c r="GZV54" s="4"/>
      <c r="GZW54" s="4"/>
      <c r="GZX54" s="4"/>
      <c r="GZY54" s="4"/>
      <c r="GZZ54" s="4"/>
      <c r="HAA54" s="4"/>
      <c r="HAB54" s="4"/>
      <c r="HAC54" s="4"/>
      <c r="HAD54" s="4"/>
      <c r="HAE54" s="4"/>
      <c r="HAF54" s="4"/>
      <c r="HAG54" s="4"/>
      <c r="HAH54" s="4"/>
      <c r="HAI54" s="4"/>
      <c r="HAJ54" s="4"/>
      <c r="HAK54" s="4"/>
      <c r="HAL54" s="4"/>
      <c r="HAM54" s="4"/>
      <c r="HAN54" s="4"/>
      <c r="HAO54" s="4"/>
      <c r="HAP54" s="4"/>
      <c r="HAQ54" s="4"/>
      <c r="HAR54" s="4"/>
      <c r="HAS54" s="4"/>
      <c r="HAT54" s="4"/>
      <c r="HAU54" s="4"/>
      <c r="HAV54" s="4"/>
      <c r="HAW54" s="4"/>
      <c r="HAX54" s="4"/>
      <c r="HAY54" s="4"/>
      <c r="HAZ54" s="4"/>
      <c r="HBA54" s="4"/>
      <c r="HBB54" s="4"/>
      <c r="HBC54" s="4"/>
      <c r="HBD54" s="4"/>
      <c r="HBE54" s="4"/>
      <c r="HBF54" s="4"/>
      <c r="HBG54" s="4"/>
      <c r="HBH54" s="4"/>
      <c r="HBI54" s="4"/>
      <c r="HBJ54" s="4"/>
      <c r="HBK54" s="4"/>
      <c r="HBL54" s="4"/>
      <c r="HBM54" s="4"/>
      <c r="HBN54" s="4"/>
      <c r="HBO54" s="4"/>
      <c r="HBP54" s="4"/>
      <c r="HBQ54" s="4"/>
      <c r="HBR54" s="4"/>
      <c r="HBS54" s="4"/>
      <c r="HBT54" s="4"/>
      <c r="HBU54" s="4"/>
      <c r="HBV54" s="4"/>
      <c r="HBW54" s="4"/>
      <c r="HBX54" s="4"/>
      <c r="HBY54" s="4"/>
      <c r="HBZ54" s="4"/>
      <c r="HCA54" s="4"/>
      <c r="HCB54" s="4"/>
      <c r="HCC54" s="4"/>
      <c r="HCD54" s="4"/>
      <c r="HCE54" s="4"/>
      <c r="HCF54" s="4"/>
      <c r="HCG54" s="4"/>
      <c r="HCH54" s="4"/>
      <c r="HCI54" s="4"/>
      <c r="HCJ54" s="4"/>
      <c r="HCK54" s="4"/>
      <c r="HCL54" s="4"/>
      <c r="HCM54" s="4"/>
      <c r="HCN54" s="4"/>
      <c r="HCO54" s="4"/>
      <c r="HCP54" s="4"/>
      <c r="HCQ54" s="4"/>
      <c r="HCR54" s="4"/>
      <c r="HCS54" s="4"/>
      <c r="HCT54" s="4"/>
      <c r="HCU54" s="4"/>
      <c r="HCV54" s="4"/>
      <c r="HCW54" s="4"/>
      <c r="HCX54" s="4"/>
      <c r="HCY54" s="4"/>
      <c r="HCZ54" s="4"/>
      <c r="HDA54" s="4"/>
      <c r="HDB54" s="4"/>
      <c r="HDC54" s="4"/>
      <c r="HDD54" s="4"/>
      <c r="HDE54" s="4"/>
      <c r="HDF54" s="4"/>
      <c r="HDG54" s="4"/>
      <c r="HDH54" s="4"/>
      <c r="HDI54" s="4"/>
      <c r="HDJ54" s="4"/>
      <c r="HDK54" s="4"/>
      <c r="HDL54" s="4"/>
      <c r="HDM54" s="4"/>
      <c r="HDN54" s="4"/>
      <c r="HDO54" s="4"/>
      <c r="HDP54" s="4"/>
      <c r="HDQ54" s="4"/>
      <c r="HDR54" s="4"/>
      <c r="HDS54" s="4"/>
      <c r="HDT54" s="4"/>
      <c r="HDU54" s="4"/>
      <c r="HDV54" s="4"/>
      <c r="HDW54" s="4"/>
      <c r="HDX54" s="4"/>
      <c r="HDY54" s="4"/>
      <c r="HDZ54" s="4"/>
      <c r="HEA54" s="4"/>
      <c r="HEB54" s="4"/>
      <c r="HEC54" s="4"/>
      <c r="HED54" s="4"/>
      <c r="HEE54" s="4"/>
      <c r="HEF54" s="4"/>
      <c r="HEG54" s="4"/>
      <c r="HEH54" s="4"/>
      <c r="HEI54" s="4"/>
      <c r="HEJ54" s="4"/>
      <c r="HEK54" s="4"/>
      <c r="HEL54" s="4"/>
      <c r="HEM54" s="4"/>
      <c r="HEN54" s="4"/>
      <c r="HEO54" s="4"/>
      <c r="HEP54" s="4"/>
      <c r="HEQ54" s="4"/>
      <c r="HER54" s="4"/>
      <c r="HES54" s="4"/>
      <c r="HET54" s="4"/>
      <c r="HEU54" s="4"/>
      <c r="HEV54" s="4"/>
      <c r="HEW54" s="4"/>
      <c r="HEX54" s="4"/>
      <c r="HEY54" s="4"/>
      <c r="HEZ54" s="4"/>
      <c r="HFA54" s="4"/>
      <c r="HFB54" s="4"/>
      <c r="HFC54" s="4"/>
      <c r="HFD54" s="4"/>
      <c r="HFE54" s="4"/>
      <c r="HFF54" s="4"/>
      <c r="HFG54" s="4"/>
      <c r="HFH54" s="4"/>
      <c r="HFI54" s="4"/>
      <c r="HFJ54" s="4"/>
      <c r="HFK54" s="4"/>
      <c r="HFL54" s="4"/>
      <c r="HFM54" s="4"/>
      <c r="HFN54" s="4"/>
      <c r="HFO54" s="4"/>
      <c r="HFP54" s="4"/>
      <c r="HFQ54" s="4"/>
      <c r="HFR54" s="4"/>
      <c r="HFS54" s="4"/>
      <c r="HFT54" s="4"/>
      <c r="HFU54" s="4"/>
      <c r="HFV54" s="4"/>
      <c r="HFW54" s="4"/>
      <c r="HFX54" s="4"/>
      <c r="HFY54" s="4"/>
      <c r="HFZ54" s="4"/>
      <c r="HGA54" s="4"/>
      <c r="HGB54" s="4"/>
      <c r="HGC54" s="4"/>
      <c r="HGD54" s="4"/>
      <c r="HGE54" s="4"/>
      <c r="HGF54" s="4"/>
      <c r="HGG54" s="4"/>
      <c r="HGH54" s="4"/>
      <c r="HGI54" s="4"/>
      <c r="HGJ54" s="4"/>
      <c r="HGK54" s="4"/>
      <c r="HGL54" s="4"/>
      <c r="HGM54" s="4"/>
      <c r="HGN54" s="4"/>
      <c r="HGO54" s="4"/>
      <c r="HGP54" s="4"/>
      <c r="HGQ54" s="4"/>
      <c r="HGR54" s="4"/>
      <c r="HGS54" s="4"/>
      <c r="HGT54" s="4"/>
      <c r="HGU54" s="4"/>
      <c r="HGV54" s="4"/>
      <c r="HGW54" s="4"/>
      <c r="HGX54" s="4"/>
      <c r="HGY54" s="4"/>
      <c r="HGZ54" s="4"/>
      <c r="HHA54" s="4"/>
      <c r="HHB54" s="4"/>
      <c r="HHC54" s="4"/>
      <c r="HHD54" s="4"/>
      <c r="HHE54" s="4"/>
      <c r="HHF54" s="4"/>
      <c r="HHG54" s="4"/>
      <c r="HHH54" s="4"/>
      <c r="HHI54" s="4"/>
      <c r="HHJ54" s="4"/>
      <c r="HHK54" s="4"/>
      <c r="HHL54" s="4"/>
      <c r="HHM54" s="4"/>
      <c r="HHN54" s="4"/>
      <c r="HHO54" s="4"/>
      <c r="HHP54" s="4"/>
      <c r="HHQ54" s="4"/>
      <c r="HHR54" s="4"/>
      <c r="HHS54" s="4"/>
      <c r="HHT54" s="4"/>
      <c r="HHU54" s="4"/>
      <c r="HHV54" s="4"/>
      <c r="HHW54" s="4"/>
      <c r="HHX54" s="4"/>
      <c r="HHY54" s="4"/>
      <c r="HHZ54" s="4"/>
      <c r="HIA54" s="4"/>
      <c r="HIB54" s="4"/>
      <c r="HIC54" s="4"/>
      <c r="HID54" s="4"/>
      <c r="HIE54" s="4"/>
      <c r="HIF54" s="4"/>
      <c r="HIG54" s="4"/>
      <c r="HIH54" s="4"/>
      <c r="HII54" s="4"/>
      <c r="HIJ54" s="4"/>
      <c r="HIK54" s="4"/>
      <c r="HIL54" s="4"/>
      <c r="HIM54" s="4"/>
      <c r="HIN54" s="4"/>
      <c r="HIO54" s="4"/>
      <c r="HIP54" s="4"/>
      <c r="HIQ54" s="4"/>
      <c r="HIR54" s="4"/>
      <c r="HIS54" s="4"/>
      <c r="HIT54" s="4"/>
      <c r="HIU54" s="4"/>
      <c r="HIV54" s="4"/>
      <c r="HIW54" s="4"/>
      <c r="HIX54" s="4"/>
      <c r="HIY54" s="4"/>
      <c r="HIZ54" s="4"/>
      <c r="HJA54" s="4"/>
      <c r="HJB54" s="4"/>
      <c r="HJC54" s="4"/>
      <c r="HJD54" s="4"/>
      <c r="HJE54" s="4"/>
      <c r="HJF54" s="4"/>
      <c r="HJG54" s="4"/>
      <c r="HJH54" s="4"/>
      <c r="HJI54" s="4"/>
      <c r="HJJ54" s="4"/>
      <c r="HJK54" s="4"/>
      <c r="HJL54" s="4"/>
      <c r="HJM54" s="4"/>
      <c r="HJN54" s="4"/>
      <c r="HJO54" s="4"/>
      <c r="HJP54" s="4"/>
      <c r="HJQ54" s="4"/>
      <c r="HJR54" s="4"/>
      <c r="HJS54" s="4"/>
      <c r="HJT54" s="4"/>
      <c r="HJU54" s="4"/>
      <c r="HJV54" s="4"/>
      <c r="HJW54" s="4"/>
      <c r="HJX54" s="4"/>
      <c r="HJY54" s="4"/>
      <c r="HJZ54" s="4"/>
      <c r="HKA54" s="4"/>
      <c r="HKB54" s="4"/>
      <c r="HKC54" s="4"/>
      <c r="HKD54" s="4"/>
      <c r="HKE54" s="4"/>
      <c r="HKF54" s="4"/>
      <c r="HKG54" s="4"/>
      <c r="HKH54" s="4"/>
      <c r="HKI54" s="4"/>
      <c r="HKJ54" s="4"/>
      <c r="HKK54" s="4"/>
      <c r="HKL54" s="4"/>
      <c r="HKM54" s="4"/>
      <c r="HKN54" s="4"/>
      <c r="HKO54" s="4"/>
      <c r="HKP54" s="4"/>
      <c r="HKQ54" s="4"/>
      <c r="HKR54" s="4"/>
      <c r="HKS54" s="4"/>
      <c r="HKT54" s="4"/>
      <c r="HKU54" s="4"/>
      <c r="HKV54" s="4"/>
      <c r="HKW54" s="4"/>
      <c r="HKX54" s="4"/>
      <c r="HKY54" s="4"/>
      <c r="HKZ54" s="4"/>
      <c r="HLA54" s="4"/>
      <c r="HLB54" s="4"/>
      <c r="HLC54" s="4"/>
      <c r="HLD54" s="4"/>
      <c r="HLE54" s="4"/>
      <c r="HLF54" s="4"/>
      <c r="HLG54" s="4"/>
      <c r="HLH54" s="4"/>
      <c r="HLI54" s="4"/>
      <c r="HLJ54" s="4"/>
      <c r="HLK54" s="4"/>
      <c r="HLL54" s="4"/>
      <c r="HLM54" s="4"/>
      <c r="HLN54" s="4"/>
      <c r="HLO54" s="4"/>
      <c r="HLP54" s="4"/>
      <c r="HLQ54" s="4"/>
      <c r="HLR54" s="4"/>
      <c r="HLS54" s="4"/>
      <c r="HLT54" s="4"/>
      <c r="HLU54" s="4"/>
      <c r="HLV54" s="4"/>
      <c r="HLW54" s="4"/>
      <c r="HLX54" s="4"/>
      <c r="HLY54" s="4"/>
      <c r="HLZ54" s="4"/>
      <c r="HMA54" s="4"/>
      <c r="HMB54" s="4"/>
      <c r="HMC54" s="4"/>
      <c r="HMD54" s="4"/>
      <c r="HME54" s="4"/>
      <c r="HMF54" s="4"/>
      <c r="HMG54" s="4"/>
      <c r="HMH54" s="4"/>
      <c r="HMI54" s="4"/>
      <c r="HMJ54" s="4"/>
      <c r="HMK54" s="4"/>
      <c r="HML54" s="4"/>
      <c r="HMM54" s="4"/>
      <c r="HMN54" s="4"/>
      <c r="HMO54" s="4"/>
      <c r="HMP54" s="4"/>
      <c r="HMQ54" s="4"/>
      <c r="HMR54" s="4"/>
      <c r="HMS54" s="4"/>
      <c r="HMT54" s="4"/>
      <c r="HMU54" s="4"/>
      <c r="HMV54" s="4"/>
      <c r="HMW54" s="4"/>
      <c r="HMX54" s="4"/>
      <c r="HMY54" s="4"/>
      <c r="HMZ54" s="4"/>
      <c r="HNA54" s="4"/>
      <c r="HNB54" s="4"/>
      <c r="HNC54" s="4"/>
      <c r="HND54" s="4"/>
      <c r="HNE54" s="4"/>
      <c r="HNF54" s="4"/>
      <c r="HNG54" s="4"/>
      <c r="HNH54" s="4"/>
      <c r="HNI54" s="4"/>
      <c r="HNJ54" s="4"/>
      <c r="HNK54" s="4"/>
      <c r="HNL54" s="4"/>
      <c r="HNM54" s="4"/>
      <c r="HNN54" s="4"/>
      <c r="HNO54" s="4"/>
      <c r="HNP54" s="4"/>
      <c r="HNQ54" s="4"/>
      <c r="HNR54" s="4"/>
      <c r="HNS54" s="4"/>
      <c r="HNT54" s="4"/>
      <c r="HNU54" s="4"/>
      <c r="HNV54" s="4"/>
      <c r="HNW54" s="4"/>
      <c r="HNX54" s="4"/>
      <c r="HNY54" s="4"/>
      <c r="HNZ54" s="4"/>
      <c r="HOA54" s="4"/>
      <c r="HOB54" s="4"/>
      <c r="HOC54" s="4"/>
      <c r="HOD54" s="4"/>
      <c r="HOE54" s="4"/>
      <c r="HOF54" s="4"/>
      <c r="HOG54" s="4"/>
      <c r="HOH54" s="4"/>
      <c r="HOI54" s="4"/>
      <c r="HOJ54" s="4"/>
      <c r="HOK54" s="4"/>
      <c r="HOL54" s="4"/>
      <c r="HOM54" s="4"/>
      <c r="HON54" s="4"/>
      <c r="HOO54" s="4"/>
      <c r="HOP54" s="4"/>
      <c r="HOQ54" s="4"/>
      <c r="HOR54" s="4"/>
      <c r="HOS54" s="4"/>
      <c r="HOT54" s="4"/>
      <c r="HOU54" s="4"/>
      <c r="HOV54" s="4"/>
      <c r="HOW54" s="4"/>
      <c r="HOX54" s="4"/>
      <c r="HOY54" s="4"/>
      <c r="HOZ54" s="4"/>
      <c r="HPA54" s="4"/>
      <c r="HPB54" s="4"/>
      <c r="HPC54" s="4"/>
      <c r="HPD54" s="4"/>
      <c r="HPE54" s="4"/>
      <c r="HPF54" s="4"/>
      <c r="HPG54" s="4"/>
      <c r="HPH54" s="4"/>
      <c r="HPI54" s="4"/>
      <c r="HPJ54" s="4"/>
      <c r="HPK54" s="4"/>
      <c r="HPL54" s="4"/>
      <c r="HPM54" s="4"/>
      <c r="HPN54" s="4"/>
      <c r="HPO54" s="4"/>
      <c r="HPP54" s="4"/>
      <c r="HPQ54" s="4"/>
      <c r="HPR54" s="4"/>
      <c r="HPS54" s="4"/>
      <c r="HPT54" s="4"/>
      <c r="HPU54" s="4"/>
      <c r="HPV54" s="4"/>
      <c r="HPW54" s="4"/>
      <c r="HPX54" s="4"/>
      <c r="HPY54" s="4"/>
      <c r="HPZ54" s="4"/>
      <c r="HQA54" s="4"/>
      <c r="HQB54" s="4"/>
      <c r="HQC54" s="4"/>
      <c r="HQD54" s="4"/>
      <c r="HQE54" s="4"/>
      <c r="HQF54" s="4"/>
      <c r="HQG54" s="4"/>
      <c r="HQH54" s="4"/>
      <c r="HQI54" s="4"/>
      <c r="HQJ54" s="4"/>
      <c r="HQK54" s="4"/>
      <c r="HQL54" s="4"/>
      <c r="HQM54" s="4"/>
      <c r="HQN54" s="4"/>
      <c r="HQO54" s="4"/>
      <c r="HQP54" s="4"/>
      <c r="HQQ54" s="4"/>
      <c r="HQR54" s="4"/>
      <c r="HQS54" s="4"/>
      <c r="HQT54" s="4"/>
      <c r="HQU54" s="4"/>
      <c r="HQV54" s="4"/>
      <c r="HQW54" s="4"/>
      <c r="HQX54" s="4"/>
      <c r="HQY54" s="4"/>
      <c r="HQZ54" s="4"/>
      <c r="HRA54" s="4"/>
      <c r="HRB54" s="4"/>
      <c r="HRC54" s="4"/>
      <c r="HRD54" s="4"/>
      <c r="HRE54" s="4"/>
      <c r="HRF54" s="4"/>
      <c r="HRG54" s="4"/>
      <c r="HRH54" s="4"/>
      <c r="HRI54" s="4"/>
      <c r="HRJ54" s="4"/>
      <c r="HRK54" s="4"/>
      <c r="HRL54" s="4"/>
      <c r="HRM54" s="4"/>
      <c r="HRN54" s="4"/>
      <c r="HRO54" s="4"/>
      <c r="HRP54" s="4"/>
      <c r="HRQ54" s="4"/>
      <c r="HRR54" s="4"/>
      <c r="HRS54" s="4"/>
      <c r="HRT54" s="4"/>
      <c r="HRU54" s="4"/>
      <c r="HRV54" s="4"/>
      <c r="HRW54" s="4"/>
      <c r="HRX54" s="4"/>
      <c r="HRY54" s="4"/>
      <c r="HRZ54" s="4"/>
      <c r="HSA54" s="4"/>
      <c r="HSB54" s="4"/>
      <c r="HSC54" s="4"/>
      <c r="HSD54" s="4"/>
      <c r="HSE54" s="4"/>
      <c r="HSF54" s="4"/>
      <c r="HSG54" s="4"/>
      <c r="HSH54" s="4"/>
      <c r="HSI54" s="4"/>
      <c r="HSJ54" s="4"/>
      <c r="HSK54" s="4"/>
      <c r="HSL54" s="4"/>
      <c r="HSM54" s="4"/>
      <c r="HSN54" s="4"/>
      <c r="HSO54" s="4"/>
      <c r="HSP54" s="4"/>
      <c r="HSQ54" s="4"/>
      <c r="HSR54" s="4"/>
      <c r="HSS54" s="4"/>
      <c r="HST54" s="4"/>
      <c r="HSU54" s="4"/>
      <c r="HSV54" s="4"/>
      <c r="HSW54" s="4"/>
      <c r="HSX54" s="4"/>
      <c r="HSY54" s="4"/>
      <c r="HSZ54" s="4"/>
      <c r="HTA54" s="4"/>
      <c r="HTB54" s="4"/>
      <c r="HTC54" s="4"/>
      <c r="HTD54" s="4"/>
      <c r="HTE54" s="4"/>
      <c r="HTF54" s="4"/>
      <c r="HTG54" s="4"/>
      <c r="HTH54" s="4"/>
      <c r="HTI54" s="4"/>
      <c r="HTJ54" s="4"/>
      <c r="HTK54" s="4"/>
      <c r="HTL54" s="4"/>
      <c r="HTM54" s="4"/>
      <c r="HTN54" s="4"/>
      <c r="HTO54" s="4"/>
      <c r="HTP54" s="4"/>
      <c r="HTQ54" s="4"/>
      <c r="HTR54" s="4"/>
      <c r="HTS54" s="4"/>
      <c r="HTT54" s="4"/>
      <c r="HTU54" s="4"/>
      <c r="HTV54" s="4"/>
      <c r="HTW54" s="4"/>
      <c r="HTX54" s="4"/>
      <c r="HTY54" s="4"/>
      <c r="HTZ54" s="4"/>
      <c r="HUA54" s="4"/>
      <c r="HUB54" s="4"/>
      <c r="HUC54" s="4"/>
      <c r="HUD54" s="4"/>
      <c r="HUE54" s="4"/>
      <c r="HUF54" s="4"/>
      <c r="HUG54" s="4"/>
      <c r="HUH54" s="4"/>
      <c r="HUI54" s="4"/>
      <c r="HUJ54" s="4"/>
      <c r="HUK54" s="4"/>
      <c r="HUL54" s="4"/>
      <c r="HUM54" s="4"/>
      <c r="HUN54" s="4"/>
      <c r="HUO54" s="4"/>
      <c r="HUP54" s="4"/>
      <c r="HUQ54" s="4"/>
      <c r="HUR54" s="4"/>
      <c r="HUS54" s="4"/>
      <c r="HUT54" s="4"/>
      <c r="HUU54" s="4"/>
      <c r="HUV54" s="4"/>
      <c r="HUW54" s="4"/>
      <c r="HUX54" s="4"/>
      <c r="HUY54" s="4"/>
      <c r="HUZ54" s="4"/>
      <c r="HVA54" s="4"/>
      <c r="HVB54" s="4"/>
      <c r="HVC54" s="4"/>
      <c r="HVD54" s="4"/>
      <c r="HVE54" s="4"/>
      <c r="HVF54" s="4"/>
      <c r="HVG54" s="4"/>
      <c r="HVH54" s="4"/>
      <c r="HVI54" s="4"/>
      <c r="HVJ54" s="4"/>
      <c r="HVK54" s="4"/>
      <c r="HVL54" s="4"/>
      <c r="HVM54" s="4"/>
      <c r="HVN54" s="4"/>
      <c r="HVO54" s="4"/>
      <c r="HVP54" s="4"/>
      <c r="HVQ54" s="4"/>
      <c r="HVR54" s="4"/>
      <c r="HVS54" s="4"/>
      <c r="HVT54" s="4"/>
      <c r="HVU54" s="4"/>
      <c r="HVV54" s="4"/>
      <c r="HVW54" s="4"/>
      <c r="HVX54" s="4"/>
      <c r="HVY54" s="4"/>
      <c r="HVZ54" s="4"/>
      <c r="HWA54" s="4"/>
      <c r="HWB54" s="4"/>
      <c r="HWC54" s="4"/>
      <c r="HWD54" s="4"/>
      <c r="HWE54" s="4"/>
      <c r="HWF54" s="4"/>
      <c r="HWG54" s="4"/>
      <c r="HWH54" s="4"/>
      <c r="HWI54" s="4"/>
      <c r="HWJ54" s="4"/>
      <c r="HWK54" s="4"/>
      <c r="HWL54" s="4"/>
      <c r="HWM54" s="4"/>
      <c r="HWN54" s="4"/>
      <c r="HWO54" s="4"/>
      <c r="HWP54" s="4"/>
      <c r="HWQ54" s="4"/>
      <c r="HWR54" s="4"/>
      <c r="HWS54" s="4"/>
      <c r="HWT54" s="4"/>
      <c r="HWU54" s="4"/>
      <c r="HWV54" s="4"/>
      <c r="HWW54" s="4"/>
      <c r="HWX54" s="4"/>
      <c r="HWY54" s="4"/>
      <c r="HWZ54" s="4"/>
      <c r="HXA54" s="4"/>
      <c r="HXB54" s="4"/>
      <c r="HXC54" s="4"/>
      <c r="HXD54" s="4"/>
      <c r="HXE54" s="4"/>
      <c r="HXF54" s="4"/>
      <c r="HXG54" s="4"/>
      <c r="HXH54" s="4"/>
      <c r="HXI54" s="4"/>
      <c r="HXJ54" s="4"/>
      <c r="HXK54" s="4"/>
      <c r="HXL54" s="4"/>
      <c r="HXM54" s="4"/>
      <c r="HXN54" s="4"/>
      <c r="HXO54" s="4"/>
      <c r="HXP54" s="4"/>
      <c r="HXQ54" s="4"/>
      <c r="HXR54" s="4"/>
      <c r="HXS54" s="4"/>
      <c r="HXT54" s="4"/>
      <c r="HXU54" s="4"/>
      <c r="HXV54" s="4"/>
      <c r="HXW54" s="4"/>
      <c r="HXX54" s="4"/>
      <c r="HXY54" s="4"/>
      <c r="HXZ54" s="4"/>
      <c r="HYA54" s="4"/>
      <c r="HYB54" s="4"/>
      <c r="HYC54" s="4"/>
      <c r="HYD54" s="4"/>
      <c r="HYE54" s="4"/>
      <c r="HYF54" s="4"/>
      <c r="HYG54" s="4"/>
      <c r="HYH54" s="4"/>
      <c r="HYI54" s="4"/>
      <c r="HYJ54" s="4"/>
      <c r="HYK54" s="4"/>
      <c r="HYL54" s="4"/>
      <c r="HYM54" s="4"/>
      <c r="HYN54" s="4"/>
      <c r="HYO54" s="4"/>
      <c r="HYP54" s="4"/>
      <c r="HYQ54" s="4"/>
      <c r="HYR54" s="4"/>
      <c r="HYS54" s="4"/>
      <c r="HYT54" s="4"/>
      <c r="HYU54" s="4"/>
      <c r="HYV54" s="4"/>
      <c r="HYW54" s="4"/>
      <c r="HYX54" s="4"/>
      <c r="HYY54" s="4"/>
      <c r="HYZ54" s="4"/>
      <c r="HZA54" s="4"/>
      <c r="HZB54" s="4"/>
      <c r="HZC54" s="4"/>
      <c r="HZD54" s="4"/>
      <c r="HZE54" s="4"/>
      <c r="HZF54" s="4"/>
      <c r="HZG54" s="4"/>
      <c r="HZH54" s="4"/>
      <c r="HZI54" s="4"/>
      <c r="HZJ54" s="4"/>
      <c r="HZK54" s="4"/>
      <c r="HZL54" s="4"/>
      <c r="HZM54" s="4"/>
      <c r="HZN54" s="4"/>
      <c r="HZO54" s="4"/>
      <c r="HZP54" s="4"/>
      <c r="HZQ54" s="4"/>
      <c r="HZR54" s="4"/>
      <c r="HZS54" s="4"/>
      <c r="HZT54" s="4"/>
      <c r="HZU54" s="4"/>
      <c r="HZV54" s="4"/>
      <c r="HZW54" s="4"/>
      <c r="HZX54" s="4"/>
      <c r="HZY54" s="4"/>
      <c r="HZZ54" s="4"/>
      <c r="IAA54" s="4"/>
      <c r="IAB54" s="4"/>
      <c r="IAC54" s="4"/>
      <c r="IAD54" s="4"/>
      <c r="IAE54" s="4"/>
      <c r="IAF54" s="4"/>
      <c r="IAG54" s="4"/>
      <c r="IAH54" s="4"/>
      <c r="IAI54" s="4"/>
      <c r="IAJ54" s="4"/>
      <c r="IAK54" s="4"/>
      <c r="IAL54" s="4"/>
      <c r="IAM54" s="4"/>
      <c r="IAN54" s="4"/>
      <c r="IAO54" s="4"/>
      <c r="IAP54" s="4"/>
      <c r="IAQ54" s="4"/>
      <c r="IAR54" s="4"/>
      <c r="IAS54" s="4"/>
      <c r="IAT54" s="4"/>
      <c r="IAU54" s="4"/>
      <c r="IAV54" s="4"/>
      <c r="IAW54" s="4"/>
      <c r="IAX54" s="4"/>
      <c r="IAY54" s="4"/>
      <c r="IAZ54" s="4"/>
      <c r="IBA54" s="4"/>
      <c r="IBB54" s="4"/>
      <c r="IBC54" s="4"/>
      <c r="IBD54" s="4"/>
      <c r="IBE54" s="4"/>
      <c r="IBF54" s="4"/>
      <c r="IBG54" s="4"/>
      <c r="IBH54" s="4"/>
      <c r="IBI54" s="4"/>
      <c r="IBJ54" s="4"/>
      <c r="IBK54" s="4"/>
      <c r="IBL54" s="4"/>
      <c r="IBM54" s="4"/>
      <c r="IBN54" s="4"/>
      <c r="IBO54" s="4"/>
      <c r="IBP54" s="4"/>
      <c r="IBQ54" s="4"/>
      <c r="IBR54" s="4"/>
      <c r="IBS54" s="4"/>
      <c r="IBT54" s="4"/>
      <c r="IBU54" s="4"/>
      <c r="IBV54" s="4"/>
      <c r="IBW54" s="4"/>
      <c r="IBX54" s="4"/>
      <c r="IBY54" s="4"/>
      <c r="IBZ54" s="4"/>
      <c r="ICA54" s="4"/>
      <c r="ICB54" s="4"/>
      <c r="ICC54" s="4"/>
      <c r="ICD54" s="4"/>
      <c r="ICE54" s="4"/>
      <c r="ICF54" s="4"/>
      <c r="ICG54" s="4"/>
      <c r="ICH54" s="4"/>
      <c r="ICI54" s="4"/>
      <c r="ICJ54" s="4"/>
      <c r="ICK54" s="4"/>
      <c r="ICL54" s="4"/>
      <c r="ICM54" s="4"/>
      <c r="ICN54" s="4"/>
      <c r="ICO54" s="4"/>
      <c r="ICP54" s="4"/>
      <c r="ICQ54" s="4"/>
      <c r="ICR54" s="4"/>
      <c r="ICS54" s="4"/>
      <c r="ICT54" s="4"/>
      <c r="ICU54" s="4"/>
      <c r="ICV54" s="4"/>
      <c r="ICW54" s="4"/>
      <c r="ICX54" s="4"/>
      <c r="ICY54" s="4"/>
      <c r="ICZ54" s="4"/>
      <c r="IDA54" s="4"/>
      <c r="IDB54" s="4"/>
      <c r="IDC54" s="4"/>
      <c r="IDD54" s="4"/>
      <c r="IDE54" s="4"/>
      <c r="IDF54" s="4"/>
      <c r="IDG54" s="4"/>
      <c r="IDH54" s="4"/>
      <c r="IDI54" s="4"/>
      <c r="IDJ54" s="4"/>
      <c r="IDK54" s="4"/>
      <c r="IDL54" s="4"/>
      <c r="IDM54" s="4"/>
      <c r="IDN54" s="4"/>
      <c r="IDO54" s="4"/>
      <c r="IDP54" s="4"/>
      <c r="IDQ54" s="4"/>
      <c r="IDR54" s="4"/>
      <c r="IDS54" s="4"/>
      <c r="IDT54" s="4"/>
      <c r="IDU54" s="4"/>
      <c r="IDV54" s="4"/>
      <c r="IDW54" s="4"/>
      <c r="IDX54" s="4"/>
      <c r="IDY54" s="4"/>
      <c r="IDZ54" s="4"/>
      <c r="IEA54" s="4"/>
      <c r="IEB54" s="4"/>
      <c r="IEC54" s="4"/>
      <c r="IED54" s="4"/>
      <c r="IEE54" s="4"/>
      <c r="IEF54" s="4"/>
      <c r="IEG54" s="4"/>
      <c r="IEH54" s="4"/>
      <c r="IEI54" s="4"/>
      <c r="IEJ54" s="4"/>
      <c r="IEK54" s="4"/>
      <c r="IEL54" s="4"/>
      <c r="IEM54" s="4"/>
      <c r="IEN54" s="4"/>
      <c r="IEO54" s="4"/>
      <c r="IEP54" s="4"/>
      <c r="IEQ54" s="4"/>
      <c r="IER54" s="4"/>
      <c r="IES54" s="4"/>
      <c r="IET54" s="4"/>
      <c r="IEU54" s="4"/>
      <c r="IEV54" s="4"/>
      <c r="IEW54" s="4"/>
      <c r="IEX54" s="4"/>
      <c r="IEY54" s="4"/>
      <c r="IEZ54" s="4"/>
      <c r="IFA54" s="4"/>
      <c r="IFB54" s="4"/>
      <c r="IFC54" s="4"/>
      <c r="IFD54" s="4"/>
      <c r="IFE54" s="4"/>
      <c r="IFF54" s="4"/>
      <c r="IFG54" s="4"/>
      <c r="IFH54" s="4"/>
      <c r="IFI54" s="4"/>
      <c r="IFJ54" s="4"/>
      <c r="IFK54" s="4"/>
      <c r="IFL54" s="4"/>
      <c r="IFM54" s="4"/>
      <c r="IFN54" s="4"/>
      <c r="IFO54" s="4"/>
      <c r="IFP54" s="4"/>
      <c r="IFQ54" s="4"/>
      <c r="IFR54" s="4"/>
      <c r="IFS54" s="4"/>
      <c r="IFT54" s="4"/>
      <c r="IFU54" s="4"/>
      <c r="IFV54" s="4"/>
      <c r="IFW54" s="4"/>
      <c r="IFX54" s="4"/>
      <c r="IFY54" s="4"/>
      <c r="IFZ54" s="4"/>
      <c r="IGA54" s="4"/>
      <c r="IGB54" s="4"/>
      <c r="IGC54" s="4"/>
      <c r="IGD54" s="4"/>
      <c r="IGE54" s="4"/>
      <c r="IGF54" s="4"/>
      <c r="IGG54" s="4"/>
      <c r="IGH54" s="4"/>
      <c r="IGI54" s="4"/>
      <c r="IGJ54" s="4"/>
      <c r="IGK54" s="4"/>
      <c r="IGL54" s="4"/>
      <c r="IGM54" s="4"/>
      <c r="IGN54" s="4"/>
      <c r="IGO54" s="4"/>
      <c r="IGP54" s="4"/>
      <c r="IGQ54" s="4"/>
      <c r="IGR54" s="4"/>
      <c r="IGS54" s="4"/>
      <c r="IGT54" s="4"/>
      <c r="IGU54" s="4"/>
      <c r="IGV54" s="4"/>
      <c r="IGW54" s="4"/>
      <c r="IGX54" s="4"/>
      <c r="IGY54" s="4"/>
      <c r="IGZ54" s="4"/>
      <c r="IHA54" s="4"/>
      <c r="IHB54" s="4"/>
      <c r="IHC54" s="4"/>
      <c r="IHD54" s="4"/>
      <c r="IHE54" s="4"/>
      <c r="IHF54" s="4"/>
      <c r="IHG54" s="4"/>
      <c r="IHH54" s="4"/>
      <c r="IHI54" s="4"/>
      <c r="IHJ54" s="4"/>
      <c r="IHK54" s="4"/>
      <c r="IHL54" s="4"/>
      <c r="IHM54" s="4"/>
      <c r="IHN54" s="4"/>
      <c r="IHO54" s="4"/>
      <c r="IHP54" s="4"/>
      <c r="IHQ54" s="4"/>
      <c r="IHR54" s="4"/>
      <c r="IHS54" s="4"/>
      <c r="IHT54" s="4"/>
      <c r="IHU54" s="4"/>
      <c r="IHV54" s="4"/>
      <c r="IHW54" s="4"/>
      <c r="IHX54" s="4"/>
      <c r="IHY54" s="4"/>
      <c r="IHZ54" s="4"/>
      <c r="IIA54" s="4"/>
      <c r="IIB54" s="4"/>
      <c r="IIC54" s="4"/>
      <c r="IID54" s="4"/>
      <c r="IIE54" s="4"/>
      <c r="IIF54" s="4"/>
      <c r="IIG54" s="4"/>
      <c r="IIH54" s="4"/>
      <c r="III54" s="4"/>
      <c r="IIJ54" s="4"/>
      <c r="IIK54" s="4"/>
      <c r="IIL54" s="4"/>
      <c r="IIM54" s="4"/>
      <c r="IIN54" s="4"/>
      <c r="IIO54" s="4"/>
      <c r="IIP54" s="4"/>
      <c r="IIQ54" s="4"/>
      <c r="IIR54" s="4"/>
      <c r="IIS54" s="4"/>
      <c r="IIT54" s="4"/>
      <c r="IIU54" s="4"/>
      <c r="IIV54" s="4"/>
      <c r="IIW54" s="4"/>
      <c r="IIX54" s="4"/>
      <c r="IIY54" s="4"/>
      <c r="IIZ54" s="4"/>
      <c r="IJA54" s="4"/>
      <c r="IJB54" s="4"/>
      <c r="IJC54" s="4"/>
      <c r="IJD54" s="4"/>
      <c r="IJE54" s="4"/>
      <c r="IJF54" s="4"/>
      <c r="IJG54" s="4"/>
      <c r="IJH54" s="4"/>
      <c r="IJI54" s="4"/>
      <c r="IJJ54" s="4"/>
      <c r="IJK54" s="4"/>
      <c r="IJL54" s="4"/>
      <c r="IJM54" s="4"/>
      <c r="IJN54" s="4"/>
      <c r="IJO54" s="4"/>
      <c r="IJP54" s="4"/>
      <c r="IJQ54" s="4"/>
      <c r="IJR54" s="4"/>
      <c r="IJS54" s="4"/>
      <c r="IJT54" s="4"/>
      <c r="IJU54" s="4"/>
      <c r="IJV54" s="4"/>
      <c r="IJW54" s="4"/>
      <c r="IJX54" s="4"/>
      <c r="IJY54" s="4"/>
      <c r="IJZ54" s="4"/>
      <c r="IKA54" s="4"/>
      <c r="IKB54" s="4"/>
      <c r="IKC54" s="4"/>
      <c r="IKD54" s="4"/>
      <c r="IKE54" s="4"/>
      <c r="IKF54" s="4"/>
      <c r="IKG54" s="4"/>
      <c r="IKH54" s="4"/>
      <c r="IKI54" s="4"/>
      <c r="IKJ54" s="4"/>
      <c r="IKK54" s="4"/>
      <c r="IKL54" s="4"/>
      <c r="IKM54" s="4"/>
      <c r="IKN54" s="4"/>
      <c r="IKO54" s="4"/>
      <c r="IKP54" s="4"/>
      <c r="IKQ54" s="4"/>
      <c r="IKR54" s="4"/>
      <c r="IKS54" s="4"/>
      <c r="IKT54" s="4"/>
      <c r="IKU54" s="4"/>
      <c r="IKV54" s="4"/>
      <c r="IKW54" s="4"/>
      <c r="IKX54" s="4"/>
      <c r="IKY54" s="4"/>
      <c r="IKZ54" s="4"/>
      <c r="ILA54" s="4"/>
      <c r="ILB54" s="4"/>
      <c r="ILC54" s="4"/>
      <c r="ILD54" s="4"/>
      <c r="ILE54" s="4"/>
      <c r="ILF54" s="4"/>
      <c r="ILG54" s="4"/>
      <c r="ILH54" s="4"/>
      <c r="ILI54" s="4"/>
      <c r="ILJ54" s="4"/>
      <c r="ILK54" s="4"/>
      <c r="ILL54" s="4"/>
      <c r="ILM54" s="4"/>
      <c r="ILN54" s="4"/>
      <c r="ILO54" s="4"/>
      <c r="ILP54" s="4"/>
      <c r="ILQ54" s="4"/>
      <c r="ILR54" s="4"/>
      <c r="ILS54" s="4"/>
      <c r="ILT54" s="4"/>
      <c r="ILU54" s="4"/>
      <c r="ILV54" s="4"/>
      <c r="ILW54" s="4"/>
      <c r="ILX54" s="4"/>
      <c r="ILY54" s="4"/>
      <c r="ILZ54" s="4"/>
      <c r="IMA54" s="4"/>
      <c r="IMB54" s="4"/>
      <c r="IMC54" s="4"/>
      <c r="IMD54" s="4"/>
      <c r="IME54" s="4"/>
      <c r="IMF54" s="4"/>
      <c r="IMG54" s="4"/>
      <c r="IMH54" s="4"/>
      <c r="IMI54" s="4"/>
      <c r="IMJ54" s="4"/>
      <c r="IMK54" s="4"/>
      <c r="IML54" s="4"/>
      <c r="IMM54" s="4"/>
      <c r="IMN54" s="4"/>
      <c r="IMO54" s="4"/>
      <c r="IMP54" s="4"/>
      <c r="IMQ54" s="4"/>
      <c r="IMR54" s="4"/>
      <c r="IMS54" s="4"/>
      <c r="IMT54" s="4"/>
      <c r="IMU54" s="4"/>
      <c r="IMV54" s="4"/>
      <c r="IMW54" s="4"/>
      <c r="IMX54" s="4"/>
      <c r="IMY54" s="4"/>
      <c r="IMZ54" s="4"/>
      <c r="INA54" s="4"/>
      <c r="INB54" s="4"/>
      <c r="INC54" s="4"/>
      <c r="IND54" s="4"/>
      <c r="INE54" s="4"/>
      <c r="INF54" s="4"/>
      <c r="ING54" s="4"/>
      <c r="INH54" s="4"/>
      <c r="INI54" s="4"/>
      <c r="INJ54" s="4"/>
      <c r="INK54" s="4"/>
      <c r="INL54" s="4"/>
      <c r="INM54" s="4"/>
      <c r="INN54" s="4"/>
      <c r="INO54" s="4"/>
      <c r="INP54" s="4"/>
      <c r="INQ54" s="4"/>
      <c r="INR54" s="4"/>
      <c r="INS54" s="4"/>
      <c r="INT54" s="4"/>
      <c r="INU54" s="4"/>
      <c r="INV54" s="4"/>
      <c r="INW54" s="4"/>
      <c r="INX54" s="4"/>
      <c r="INY54" s="4"/>
      <c r="INZ54" s="4"/>
      <c r="IOA54" s="4"/>
      <c r="IOB54" s="4"/>
      <c r="IOC54" s="4"/>
      <c r="IOD54" s="4"/>
      <c r="IOE54" s="4"/>
      <c r="IOF54" s="4"/>
      <c r="IOG54" s="4"/>
      <c r="IOH54" s="4"/>
      <c r="IOI54" s="4"/>
      <c r="IOJ54" s="4"/>
      <c r="IOK54" s="4"/>
      <c r="IOL54" s="4"/>
      <c r="IOM54" s="4"/>
      <c r="ION54" s="4"/>
      <c r="IOO54" s="4"/>
      <c r="IOP54" s="4"/>
      <c r="IOQ54" s="4"/>
      <c r="IOR54" s="4"/>
      <c r="IOS54" s="4"/>
      <c r="IOT54" s="4"/>
      <c r="IOU54" s="4"/>
      <c r="IOV54" s="4"/>
      <c r="IOW54" s="4"/>
      <c r="IOX54" s="4"/>
      <c r="IOY54" s="4"/>
      <c r="IOZ54" s="4"/>
      <c r="IPA54" s="4"/>
      <c r="IPB54" s="4"/>
      <c r="IPC54" s="4"/>
      <c r="IPD54" s="4"/>
      <c r="IPE54" s="4"/>
      <c r="IPF54" s="4"/>
      <c r="IPG54" s="4"/>
      <c r="IPH54" s="4"/>
      <c r="IPI54" s="4"/>
      <c r="IPJ54" s="4"/>
      <c r="IPK54" s="4"/>
      <c r="IPL54" s="4"/>
      <c r="IPM54" s="4"/>
      <c r="IPN54" s="4"/>
      <c r="IPO54" s="4"/>
      <c r="IPP54" s="4"/>
      <c r="IPQ54" s="4"/>
      <c r="IPR54" s="4"/>
      <c r="IPS54" s="4"/>
      <c r="IPT54" s="4"/>
      <c r="IPU54" s="4"/>
      <c r="IPV54" s="4"/>
      <c r="IPW54" s="4"/>
      <c r="IPX54" s="4"/>
      <c r="IPY54" s="4"/>
      <c r="IPZ54" s="4"/>
      <c r="IQA54" s="4"/>
      <c r="IQB54" s="4"/>
      <c r="IQC54" s="4"/>
      <c r="IQD54" s="4"/>
      <c r="IQE54" s="4"/>
      <c r="IQF54" s="4"/>
      <c r="IQG54" s="4"/>
      <c r="IQH54" s="4"/>
      <c r="IQI54" s="4"/>
      <c r="IQJ54" s="4"/>
      <c r="IQK54" s="4"/>
      <c r="IQL54" s="4"/>
      <c r="IQM54" s="4"/>
      <c r="IQN54" s="4"/>
      <c r="IQO54" s="4"/>
      <c r="IQP54" s="4"/>
      <c r="IQQ54" s="4"/>
      <c r="IQR54" s="4"/>
      <c r="IQS54" s="4"/>
      <c r="IQT54" s="4"/>
      <c r="IQU54" s="4"/>
      <c r="IQV54" s="4"/>
      <c r="IQW54" s="4"/>
      <c r="IQX54" s="4"/>
      <c r="IQY54" s="4"/>
      <c r="IQZ54" s="4"/>
      <c r="IRA54" s="4"/>
      <c r="IRB54" s="4"/>
      <c r="IRC54" s="4"/>
      <c r="IRD54" s="4"/>
      <c r="IRE54" s="4"/>
      <c r="IRF54" s="4"/>
      <c r="IRG54" s="4"/>
      <c r="IRH54" s="4"/>
      <c r="IRI54" s="4"/>
      <c r="IRJ54" s="4"/>
      <c r="IRK54" s="4"/>
      <c r="IRL54" s="4"/>
      <c r="IRM54" s="4"/>
      <c r="IRN54" s="4"/>
      <c r="IRO54" s="4"/>
      <c r="IRP54" s="4"/>
      <c r="IRQ54" s="4"/>
      <c r="IRR54" s="4"/>
      <c r="IRS54" s="4"/>
      <c r="IRT54" s="4"/>
      <c r="IRU54" s="4"/>
      <c r="IRV54" s="4"/>
      <c r="IRW54" s="4"/>
      <c r="IRX54" s="4"/>
      <c r="IRY54" s="4"/>
      <c r="IRZ54" s="4"/>
      <c r="ISA54" s="4"/>
      <c r="ISB54" s="4"/>
      <c r="ISC54" s="4"/>
      <c r="ISD54" s="4"/>
      <c r="ISE54" s="4"/>
      <c r="ISF54" s="4"/>
      <c r="ISG54" s="4"/>
      <c r="ISH54" s="4"/>
      <c r="ISI54" s="4"/>
      <c r="ISJ54" s="4"/>
      <c r="ISK54" s="4"/>
      <c r="ISL54" s="4"/>
      <c r="ISM54" s="4"/>
      <c r="ISN54" s="4"/>
      <c r="ISO54" s="4"/>
      <c r="ISP54" s="4"/>
      <c r="ISQ54" s="4"/>
      <c r="ISR54" s="4"/>
      <c r="ISS54" s="4"/>
      <c r="IST54" s="4"/>
      <c r="ISU54" s="4"/>
      <c r="ISV54" s="4"/>
      <c r="ISW54" s="4"/>
      <c r="ISX54" s="4"/>
      <c r="ISY54" s="4"/>
      <c r="ISZ54" s="4"/>
      <c r="ITA54" s="4"/>
      <c r="ITB54" s="4"/>
      <c r="ITC54" s="4"/>
      <c r="ITD54" s="4"/>
      <c r="ITE54" s="4"/>
      <c r="ITF54" s="4"/>
      <c r="ITG54" s="4"/>
      <c r="ITH54" s="4"/>
      <c r="ITI54" s="4"/>
      <c r="ITJ54" s="4"/>
      <c r="ITK54" s="4"/>
      <c r="ITL54" s="4"/>
      <c r="ITM54" s="4"/>
      <c r="ITN54" s="4"/>
      <c r="ITO54" s="4"/>
      <c r="ITP54" s="4"/>
      <c r="ITQ54" s="4"/>
      <c r="ITR54" s="4"/>
      <c r="ITS54" s="4"/>
      <c r="ITT54" s="4"/>
      <c r="ITU54" s="4"/>
      <c r="ITV54" s="4"/>
      <c r="ITW54" s="4"/>
      <c r="ITX54" s="4"/>
      <c r="ITY54" s="4"/>
      <c r="ITZ54" s="4"/>
      <c r="IUA54" s="4"/>
      <c r="IUB54" s="4"/>
      <c r="IUC54" s="4"/>
      <c r="IUD54" s="4"/>
      <c r="IUE54" s="4"/>
      <c r="IUF54" s="4"/>
      <c r="IUG54" s="4"/>
      <c r="IUH54" s="4"/>
      <c r="IUI54" s="4"/>
      <c r="IUJ54" s="4"/>
      <c r="IUK54" s="4"/>
      <c r="IUL54" s="4"/>
      <c r="IUM54" s="4"/>
      <c r="IUN54" s="4"/>
      <c r="IUO54" s="4"/>
      <c r="IUP54" s="4"/>
      <c r="IUQ54" s="4"/>
      <c r="IUR54" s="4"/>
      <c r="IUS54" s="4"/>
      <c r="IUT54" s="4"/>
      <c r="IUU54" s="4"/>
      <c r="IUV54" s="4"/>
      <c r="IUW54" s="4"/>
      <c r="IUX54" s="4"/>
      <c r="IUY54" s="4"/>
      <c r="IUZ54" s="4"/>
      <c r="IVA54" s="4"/>
      <c r="IVB54" s="4"/>
      <c r="IVC54" s="4"/>
      <c r="IVD54" s="4"/>
      <c r="IVE54" s="4"/>
      <c r="IVF54" s="4"/>
      <c r="IVG54" s="4"/>
      <c r="IVH54" s="4"/>
      <c r="IVI54" s="4"/>
      <c r="IVJ54" s="4"/>
      <c r="IVK54" s="4"/>
      <c r="IVL54" s="4"/>
      <c r="IVM54" s="4"/>
      <c r="IVN54" s="4"/>
      <c r="IVO54" s="4"/>
      <c r="IVP54" s="4"/>
      <c r="IVQ54" s="4"/>
      <c r="IVR54" s="4"/>
      <c r="IVS54" s="4"/>
      <c r="IVT54" s="4"/>
      <c r="IVU54" s="4"/>
      <c r="IVV54" s="4"/>
      <c r="IVW54" s="4"/>
      <c r="IVX54" s="4"/>
      <c r="IVY54" s="4"/>
      <c r="IVZ54" s="4"/>
      <c r="IWA54" s="4"/>
      <c r="IWB54" s="4"/>
      <c r="IWC54" s="4"/>
      <c r="IWD54" s="4"/>
      <c r="IWE54" s="4"/>
      <c r="IWF54" s="4"/>
      <c r="IWG54" s="4"/>
      <c r="IWH54" s="4"/>
      <c r="IWI54" s="4"/>
      <c r="IWJ54" s="4"/>
      <c r="IWK54" s="4"/>
      <c r="IWL54" s="4"/>
      <c r="IWM54" s="4"/>
      <c r="IWN54" s="4"/>
      <c r="IWO54" s="4"/>
      <c r="IWP54" s="4"/>
      <c r="IWQ54" s="4"/>
      <c r="IWR54" s="4"/>
      <c r="IWS54" s="4"/>
      <c r="IWT54" s="4"/>
      <c r="IWU54" s="4"/>
      <c r="IWV54" s="4"/>
      <c r="IWW54" s="4"/>
      <c r="IWX54" s="4"/>
      <c r="IWY54" s="4"/>
      <c r="IWZ54" s="4"/>
      <c r="IXA54" s="4"/>
      <c r="IXB54" s="4"/>
      <c r="IXC54" s="4"/>
      <c r="IXD54" s="4"/>
      <c r="IXE54" s="4"/>
      <c r="IXF54" s="4"/>
      <c r="IXG54" s="4"/>
      <c r="IXH54" s="4"/>
      <c r="IXI54" s="4"/>
      <c r="IXJ54" s="4"/>
      <c r="IXK54" s="4"/>
      <c r="IXL54" s="4"/>
      <c r="IXM54" s="4"/>
      <c r="IXN54" s="4"/>
      <c r="IXO54" s="4"/>
      <c r="IXP54" s="4"/>
      <c r="IXQ54" s="4"/>
      <c r="IXR54" s="4"/>
      <c r="IXS54" s="4"/>
      <c r="IXT54" s="4"/>
      <c r="IXU54" s="4"/>
      <c r="IXV54" s="4"/>
      <c r="IXW54" s="4"/>
      <c r="IXX54" s="4"/>
      <c r="IXY54" s="4"/>
      <c r="IXZ54" s="4"/>
      <c r="IYA54" s="4"/>
      <c r="IYB54" s="4"/>
      <c r="IYC54" s="4"/>
      <c r="IYD54" s="4"/>
      <c r="IYE54" s="4"/>
      <c r="IYF54" s="4"/>
      <c r="IYG54" s="4"/>
      <c r="IYH54" s="4"/>
      <c r="IYI54" s="4"/>
      <c r="IYJ54" s="4"/>
      <c r="IYK54" s="4"/>
      <c r="IYL54" s="4"/>
      <c r="IYM54" s="4"/>
      <c r="IYN54" s="4"/>
      <c r="IYO54" s="4"/>
      <c r="IYP54" s="4"/>
      <c r="IYQ54" s="4"/>
      <c r="IYR54" s="4"/>
      <c r="IYS54" s="4"/>
      <c r="IYT54" s="4"/>
      <c r="IYU54" s="4"/>
      <c r="IYV54" s="4"/>
      <c r="IYW54" s="4"/>
      <c r="IYX54" s="4"/>
      <c r="IYY54" s="4"/>
      <c r="IYZ54" s="4"/>
      <c r="IZA54" s="4"/>
      <c r="IZB54" s="4"/>
      <c r="IZC54" s="4"/>
      <c r="IZD54" s="4"/>
      <c r="IZE54" s="4"/>
      <c r="IZF54" s="4"/>
      <c r="IZG54" s="4"/>
      <c r="IZH54" s="4"/>
      <c r="IZI54" s="4"/>
      <c r="IZJ54" s="4"/>
      <c r="IZK54" s="4"/>
      <c r="IZL54" s="4"/>
      <c r="IZM54" s="4"/>
      <c r="IZN54" s="4"/>
      <c r="IZO54" s="4"/>
      <c r="IZP54" s="4"/>
      <c r="IZQ54" s="4"/>
      <c r="IZR54" s="4"/>
      <c r="IZS54" s="4"/>
      <c r="IZT54" s="4"/>
      <c r="IZU54" s="4"/>
      <c r="IZV54" s="4"/>
      <c r="IZW54" s="4"/>
      <c r="IZX54" s="4"/>
      <c r="IZY54" s="4"/>
      <c r="IZZ54" s="4"/>
      <c r="JAA54" s="4"/>
      <c r="JAB54" s="4"/>
      <c r="JAC54" s="4"/>
      <c r="JAD54" s="4"/>
      <c r="JAE54" s="4"/>
      <c r="JAF54" s="4"/>
      <c r="JAG54" s="4"/>
      <c r="JAH54" s="4"/>
      <c r="JAI54" s="4"/>
      <c r="JAJ54" s="4"/>
      <c r="JAK54" s="4"/>
      <c r="JAL54" s="4"/>
      <c r="JAM54" s="4"/>
      <c r="JAN54" s="4"/>
      <c r="JAO54" s="4"/>
      <c r="JAP54" s="4"/>
      <c r="JAQ54" s="4"/>
      <c r="JAR54" s="4"/>
      <c r="JAS54" s="4"/>
      <c r="JAT54" s="4"/>
      <c r="JAU54" s="4"/>
      <c r="JAV54" s="4"/>
      <c r="JAW54" s="4"/>
      <c r="JAX54" s="4"/>
      <c r="JAY54" s="4"/>
      <c r="JAZ54" s="4"/>
      <c r="JBA54" s="4"/>
      <c r="JBB54" s="4"/>
      <c r="JBC54" s="4"/>
      <c r="JBD54" s="4"/>
      <c r="JBE54" s="4"/>
      <c r="JBF54" s="4"/>
      <c r="JBG54" s="4"/>
      <c r="JBH54" s="4"/>
      <c r="JBI54" s="4"/>
      <c r="JBJ54" s="4"/>
      <c r="JBK54" s="4"/>
      <c r="JBL54" s="4"/>
      <c r="JBM54" s="4"/>
      <c r="JBN54" s="4"/>
      <c r="JBO54" s="4"/>
      <c r="JBP54" s="4"/>
      <c r="JBQ54" s="4"/>
      <c r="JBR54" s="4"/>
      <c r="JBS54" s="4"/>
      <c r="JBT54" s="4"/>
      <c r="JBU54" s="4"/>
      <c r="JBV54" s="4"/>
      <c r="JBW54" s="4"/>
      <c r="JBX54" s="4"/>
      <c r="JBY54" s="4"/>
      <c r="JBZ54" s="4"/>
      <c r="JCA54" s="4"/>
      <c r="JCB54" s="4"/>
      <c r="JCC54" s="4"/>
      <c r="JCD54" s="4"/>
      <c r="JCE54" s="4"/>
      <c r="JCF54" s="4"/>
      <c r="JCG54" s="4"/>
      <c r="JCH54" s="4"/>
      <c r="JCI54" s="4"/>
      <c r="JCJ54" s="4"/>
      <c r="JCK54" s="4"/>
      <c r="JCL54" s="4"/>
      <c r="JCM54" s="4"/>
      <c r="JCN54" s="4"/>
      <c r="JCO54" s="4"/>
      <c r="JCP54" s="4"/>
      <c r="JCQ54" s="4"/>
      <c r="JCR54" s="4"/>
      <c r="JCS54" s="4"/>
      <c r="JCT54" s="4"/>
      <c r="JCU54" s="4"/>
      <c r="JCV54" s="4"/>
      <c r="JCW54" s="4"/>
      <c r="JCX54" s="4"/>
      <c r="JCY54" s="4"/>
      <c r="JCZ54" s="4"/>
      <c r="JDA54" s="4"/>
      <c r="JDB54" s="4"/>
      <c r="JDC54" s="4"/>
      <c r="JDD54" s="4"/>
      <c r="JDE54" s="4"/>
      <c r="JDF54" s="4"/>
      <c r="JDG54" s="4"/>
      <c r="JDH54" s="4"/>
      <c r="JDI54" s="4"/>
      <c r="JDJ54" s="4"/>
      <c r="JDK54" s="4"/>
      <c r="JDL54" s="4"/>
      <c r="JDM54" s="4"/>
      <c r="JDN54" s="4"/>
      <c r="JDO54" s="4"/>
      <c r="JDP54" s="4"/>
      <c r="JDQ54" s="4"/>
      <c r="JDR54" s="4"/>
      <c r="JDS54" s="4"/>
      <c r="JDT54" s="4"/>
      <c r="JDU54" s="4"/>
      <c r="JDV54" s="4"/>
      <c r="JDW54" s="4"/>
      <c r="JDX54" s="4"/>
      <c r="JDY54" s="4"/>
      <c r="JDZ54" s="4"/>
      <c r="JEA54" s="4"/>
      <c r="JEB54" s="4"/>
      <c r="JEC54" s="4"/>
      <c r="JED54" s="4"/>
      <c r="JEE54" s="4"/>
      <c r="JEF54" s="4"/>
      <c r="JEG54" s="4"/>
      <c r="JEH54" s="4"/>
      <c r="JEI54" s="4"/>
      <c r="JEJ54" s="4"/>
      <c r="JEK54" s="4"/>
      <c r="JEL54" s="4"/>
      <c r="JEM54" s="4"/>
      <c r="JEN54" s="4"/>
      <c r="JEO54" s="4"/>
      <c r="JEP54" s="4"/>
      <c r="JEQ54" s="4"/>
      <c r="JER54" s="4"/>
      <c r="JES54" s="4"/>
      <c r="JET54" s="4"/>
      <c r="JEU54" s="4"/>
      <c r="JEV54" s="4"/>
      <c r="JEW54" s="4"/>
      <c r="JEX54" s="4"/>
      <c r="JEY54" s="4"/>
      <c r="JEZ54" s="4"/>
      <c r="JFA54" s="4"/>
      <c r="JFB54" s="4"/>
      <c r="JFC54" s="4"/>
      <c r="JFD54" s="4"/>
      <c r="JFE54" s="4"/>
      <c r="JFF54" s="4"/>
      <c r="JFG54" s="4"/>
      <c r="JFH54" s="4"/>
      <c r="JFI54" s="4"/>
      <c r="JFJ54" s="4"/>
      <c r="JFK54" s="4"/>
      <c r="JFL54" s="4"/>
      <c r="JFM54" s="4"/>
      <c r="JFN54" s="4"/>
      <c r="JFO54" s="4"/>
      <c r="JFP54" s="4"/>
      <c r="JFQ54" s="4"/>
      <c r="JFR54" s="4"/>
      <c r="JFS54" s="4"/>
      <c r="JFT54" s="4"/>
      <c r="JFU54" s="4"/>
      <c r="JFV54" s="4"/>
      <c r="JFW54" s="4"/>
      <c r="JFX54" s="4"/>
      <c r="JFY54" s="4"/>
      <c r="JFZ54" s="4"/>
      <c r="JGA54" s="4"/>
      <c r="JGB54" s="4"/>
      <c r="JGC54" s="4"/>
      <c r="JGD54" s="4"/>
      <c r="JGE54" s="4"/>
      <c r="JGF54" s="4"/>
      <c r="JGG54" s="4"/>
      <c r="JGH54" s="4"/>
      <c r="JGI54" s="4"/>
      <c r="JGJ54" s="4"/>
      <c r="JGK54" s="4"/>
      <c r="JGL54" s="4"/>
      <c r="JGM54" s="4"/>
      <c r="JGN54" s="4"/>
      <c r="JGO54" s="4"/>
      <c r="JGP54" s="4"/>
      <c r="JGQ54" s="4"/>
      <c r="JGR54" s="4"/>
      <c r="JGS54" s="4"/>
      <c r="JGT54" s="4"/>
      <c r="JGU54" s="4"/>
      <c r="JGV54" s="4"/>
      <c r="JGW54" s="4"/>
      <c r="JGX54" s="4"/>
      <c r="JGY54" s="4"/>
      <c r="JGZ54" s="4"/>
      <c r="JHA54" s="4"/>
      <c r="JHB54" s="4"/>
      <c r="JHC54" s="4"/>
      <c r="JHD54" s="4"/>
      <c r="JHE54" s="4"/>
      <c r="JHF54" s="4"/>
      <c r="JHG54" s="4"/>
      <c r="JHH54" s="4"/>
      <c r="JHI54" s="4"/>
      <c r="JHJ54" s="4"/>
      <c r="JHK54" s="4"/>
      <c r="JHL54" s="4"/>
      <c r="JHM54" s="4"/>
      <c r="JHN54" s="4"/>
      <c r="JHO54" s="4"/>
      <c r="JHP54" s="4"/>
      <c r="JHQ54" s="4"/>
      <c r="JHR54" s="4"/>
      <c r="JHS54" s="4"/>
      <c r="JHT54" s="4"/>
      <c r="JHU54" s="4"/>
      <c r="JHV54" s="4"/>
      <c r="JHW54" s="4"/>
      <c r="JHX54" s="4"/>
      <c r="JHY54" s="4"/>
      <c r="JHZ54" s="4"/>
      <c r="JIA54" s="4"/>
      <c r="JIB54" s="4"/>
      <c r="JIC54" s="4"/>
      <c r="JID54" s="4"/>
      <c r="JIE54" s="4"/>
      <c r="JIF54" s="4"/>
      <c r="JIG54" s="4"/>
      <c r="JIH54" s="4"/>
      <c r="JII54" s="4"/>
      <c r="JIJ54" s="4"/>
      <c r="JIK54" s="4"/>
      <c r="JIL54" s="4"/>
      <c r="JIM54" s="4"/>
      <c r="JIN54" s="4"/>
      <c r="JIO54" s="4"/>
      <c r="JIP54" s="4"/>
      <c r="JIQ54" s="4"/>
      <c r="JIR54" s="4"/>
      <c r="JIS54" s="4"/>
      <c r="JIT54" s="4"/>
      <c r="JIU54" s="4"/>
      <c r="JIV54" s="4"/>
      <c r="JIW54" s="4"/>
      <c r="JIX54" s="4"/>
      <c r="JIY54" s="4"/>
      <c r="JIZ54" s="4"/>
      <c r="JJA54" s="4"/>
      <c r="JJB54" s="4"/>
      <c r="JJC54" s="4"/>
      <c r="JJD54" s="4"/>
      <c r="JJE54" s="4"/>
      <c r="JJF54" s="4"/>
      <c r="JJG54" s="4"/>
      <c r="JJH54" s="4"/>
      <c r="JJI54" s="4"/>
      <c r="JJJ54" s="4"/>
      <c r="JJK54" s="4"/>
      <c r="JJL54" s="4"/>
      <c r="JJM54" s="4"/>
      <c r="JJN54" s="4"/>
      <c r="JJO54" s="4"/>
      <c r="JJP54" s="4"/>
      <c r="JJQ54" s="4"/>
      <c r="JJR54" s="4"/>
      <c r="JJS54" s="4"/>
      <c r="JJT54" s="4"/>
      <c r="JJU54" s="4"/>
      <c r="JJV54" s="4"/>
      <c r="JJW54" s="4"/>
      <c r="JJX54" s="4"/>
      <c r="JJY54" s="4"/>
      <c r="JJZ54" s="4"/>
      <c r="JKA54" s="4"/>
      <c r="JKB54" s="4"/>
      <c r="JKC54" s="4"/>
      <c r="JKD54" s="4"/>
      <c r="JKE54" s="4"/>
      <c r="JKF54" s="4"/>
      <c r="JKG54" s="4"/>
      <c r="JKH54" s="4"/>
      <c r="JKI54" s="4"/>
      <c r="JKJ54" s="4"/>
      <c r="JKK54" s="4"/>
      <c r="JKL54" s="4"/>
      <c r="JKM54" s="4"/>
      <c r="JKN54" s="4"/>
      <c r="JKO54" s="4"/>
      <c r="JKP54" s="4"/>
      <c r="JKQ54" s="4"/>
      <c r="JKR54" s="4"/>
      <c r="JKS54" s="4"/>
      <c r="JKT54" s="4"/>
      <c r="JKU54" s="4"/>
      <c r="JKV54" s="4"/>
      <c r="JKW54" s="4"/>
      <c r="JKX54" s="4"/>
      <c r="JKY54" s="4"/>
      <c r="JKZ54" s="4"/>
      <c r="JLA54" s="4"/>
      <c r="JLB54" s="4"/>
      <c r="JLC54" s="4"/>
      <c r="JLD54" s="4"/>
      <c r="JLE54" s="4"/>
      <c r="JLF54" s="4"/>
      <c r="JLG54" s="4"/>
      <c r="JLH54" s="4"/>
      <c r="JLI54" s="4"/>
      <c r="JLJ54" s="4"/>
      <c r="JLK54" s="4"/>
      <c r="JLL54" s="4"/>
      <c r="JLM54" s="4"/>
      <c r="JLN54" s="4"/>
      <c r="JLO54" s="4"/>
      <c r="JLP54" s="4"/>
      <c r="JLQ54" s="4"/>
      <c r="JLR54" s="4"/>
      <c r="JLS54" s="4"/>
      <c r="JLT54" s="4"/>
      <c r="JLU54" s="4"/>
      <c r="JLV54" s="4"/>
      <c r="JLW54" s="4"/>
      <c r="JLX54" s="4"/>
      <c r="JLY54" s="4"/>
      <c r="JLZ54" s="4"/>
      <c r="JMA54" s="4"/>
      <c r="JMB54" s="4"/>
      <c r="JMC54" s="4"/>
      <c r="JMD54" s="4"/>
      <c r="JME54" s="4"/>
      <c r="JMF54" s="4"/>
      <c r="JMG54" s="4"/>
      <c r="JMH54" s="4"/>
      <c r="JMI54" s="4"/>
      <c r="JMJ54" s="4"/>
      <c r="JMK54" s="4"/>
      <c r="JML54" s="4"/>
      <c r="JMM54" s="4"/>
      <c r="JMN54" s="4"/>
      <c r="JMO54" s="4"/>
      <c r="JMP54" s="4"/>
      <c r="JMQ54" s="4"/>
      <c r="JMR54" s="4"/>
      <c r="JMS54" s="4"/>
      <c r="JMT54" s="4"/>
      <c r="JMU54" s="4"/>
      <c r="JMV54" s="4"/>
      <c r="JMW54" s="4"/>
      <c r="JMX54" s="4"/>
      <c r="JMY54" s="4"/>
      <c r="JMZ54" s="4"/>
      <c r="JNA54" s="4"/>
      <c r="JNB54" s="4"/>
      <c r="JNC54" s="4"/>
      <c r="JND54" s="4"/>
      <c r="JNE54" s="4"/>
      <c r="JNF54" s="4"/>
      <c r="JNG54" s="4"/>
      <c r="JNH54" s="4"/>
      <c r="JNI54" s="4"/>
      <c r="JNJ54" s="4"/>
      <c r="JNK54" s="4"/>
      <c r="JNL54" s="4"/>
      <c r="JNM54" s="4"/>
      <c r="JNN54" s="4"/>
      <c r="JNO54" s="4"/>
      <c r="JNP54" s="4"/>
      <c r="JNQ54" s="4"/>
      <c r="JNR54" s="4"/>
      <c r="JNS54" s="4"/>
      <c r="JNT54" s="4"/>
      <c r="JNU54" s="4"/>
      <c r="JNV54" s="4"/>
      <c r="JNW54" s="4"/>
      <c r="JNX54" s="4"/>
      <c r="JNY54" s="4"/>
      <c r="JNZ54" s="4"/>
      <c r="JOA54" s="4"/>
      <c r="JOB54" s="4"/>
      <c r="JOC54" s="4"/>
      <c r="JOD54" s="4"/>
      <c r="JOE54" s="4"/>
      <c r="JOF54" s="4"/>
      <c r="JOG54" s="4"/>
      <c r="JOH54" s="4"/>
      <c r="JOI54" s="4"/>
      <c r="JOJ54" s="4"/>
      <c r="JOK54" s="4"/>
      <c r="JOL54" s="4"/>
      <c r="JOM54" s="4"/>
      <c r="JON54" s="4"/>
      <c r="JOO54" s="4"/>
      <c r="JOP54" s="4"/>
      <c r="JOQ54" s="4"/>
      <c r="JOR54" s="4"/>
      <c r="JOS54" s="4"/>
      <c r="JOT54" s="4"/>
      <c r="JOU54" s="4"/>
      <c r="JOV54" s="4"/>
      <c r="JOW54" s="4"/>
      <c r="JOX54" s="4"/>
      <c r="JOY54" s="4"/>
      <c r="JOZ54" s="4"/>
      <c r="JPA54" s="4"/>
      <c r="JPB54" s="4"/>
      <c r="JPC54" s="4"/>
      <c r="JPD54" s="4"/>
      <c r="JPE54" s="4"/>
      <c r="JPF54" s="4"/>
      <c r="JPG54" s="4"/>
      <c r="JPH54" s="4"/>
      <c r="JPI54" s="4"/>
      <c r="JPJ54" s="4"/>
      <c r="JPK54" s="4"/>
      <c r="JPL54" s="4"/>
      <c r="JPM54" s="4"/>
      <c r="JPN54" s="4"/>
      <c r="JPO54" s="4"/>
      <c r="JPP54" s="4"/>
      <c r="JPQ54" s="4"/>
      <c r="JPR54" s="4"/>
      <c r="JPS54" s="4"/>
      <c r="JPT54" s="4"/>
      <c r="JPU54" s="4"/>
      <c r="JPV54" s="4"/>
      <c r="JPW54" s="4"/>
      <c r="JPX54" s="4"/>
      <c r="JPY54" s="4"/>
      <c r="JPZ54" s="4"/>
      <c r="JQA54" s="4"/>
      <c r="JQB54" s="4"/>
      <c r="JQC54" s="4"/>
      <c r="JQD54" s="4"/>
      <c r="JQE54" s="4"/>
      <c r="JQF54" s="4"/>
      <c r="JQG54" s="4"/>
      <c r="JQH54" s="4"/>
      <c r="JQI54" s="4"/>
      <c r="JQJ54" s="4"/>
      <c r="JQK54" s="4"/>
      <c r="JQL54" s="4"/>
      <c r="JQM54" s="4"/>
      <c r="JQN54" s="4"/>
      <c r="JQO54" s="4"/>
      <c r="JQP54" s="4"/>
      <c r="JQQ54" s="4"/>
      <c r="JQR54" s="4"/>
      <c r="JQS54" s="4"/>
      <c r="JQT54" s="4"/>
      <c r="JQU54" s="4"/>
      <c r="JQV54" s="4"/>
      <c r="JQW54" s="4"/>
      <c r="JQX54" s="4"/>
      <c r="JQY54" s="4"/>
      <c r="JQZ54" s="4"/>
      <c r="JRA54" s="4"/>
      <c r="JRB54" s="4"/>
      <c r="JRC54" s="4"/>
      <c r="JRD54" s="4"/>
      <c r="JRE54" s="4"/>
      <c r="JRF54" s="4"/>
      <c r="JRG54" s="4"/>
      <c r="JRH54" s="4"/>
      <c r="JRI54" s="4"/>
      <c r="JRJ54" s="4"/>
      <c r="JRK54" s="4"/>
      <c r="JRL54" s="4"/>
      <c r="JRM54" s="4"/>
      <c r="JRN54" s="4"/>
      <c r="JRO54" s="4"/>
      <c r="JRP54" s="4"/>
      <c r="JRQ54" s="4"/>
      <c r="JRR54" s="4"/>
      <c r="JRS54" s="4"/>
      <c r="JRT54" s="4"/>
      <c r="JRU54" s="4"/>
      <c r="JRV54" s="4"/>
      <c r="JRW54" s="4"/>
      <c r="JRX54" s="4"/>
      <c r="JRY54" s="4"/>
      <c r="JRZ54" s="4"/>
      <c r="JSA54" s="4"/>
      <c r="JSB54" s="4"/>
      <c r="JSC54" s="4"/>
      <c r="JSD54" s="4"/>
      <c r="JSE54" s="4"/>
      <c r="JSF54" s="4"/>
      <c r="JSG54" s="4"/>
      <c r="JSH54" s="4"/>
      <c r="JSI54" s="4"/>
      <c r="JSJ54" s="4"/>
      <c r="JSK54" s="4"/>
      <c r="JSL54" s="4"/>
      <c r="JSM54" s="4"/>
      <c r="JSN54" s="4"/>
      <c r="JSO54" s="4"/>
      <c r="JSP54" s="4"/>
      <c r="JSQ54" s="4"/>
      <c r="JSR54" s="4"/>
      <c r="JSS54" s="4"/>
      <c r="JST54" s="4"/>
      <c r="JSU54" s="4"/>
      <c r="JSV54" s="4"/>
      <c r="JSW54" s="4"/>
      <c r="JSX54" s="4"/>
      <c r="JSY54" s="4"/>
      <c r="JSZ54" s="4"/>
      <c r="JTA54" s="4"/>
      <c r="JTB54" s="4"/>
      <c r="JTC54" s="4"/>
      <c r="JTD54" s="4"/>
      <c r="JTE54" s="4"/>
      <c r="JTF54" s="4"/>
      <c r="JTG54" s="4"/>
      <c r="JTH54" s="4"/>
      <c r="JTI54" s="4"/>
      <c r="JTJ54" s="4"/>
      <c r="JTK54" s="4"/>
      <c r="JTL54" s="4"/>
      <c r="JTM54" s="4"/>
      <c r="JTN54" s="4"/>
      <c r="JTO54" s="4"/>
      <c r="JTP54" s="4"/>
      <c r="JTQ54" s="4"/>
      <c r="JTR54" s="4"/>
      <c r="JTS54" s="4"/>
      <c r="JTT54" s="4"/>
      <c r="JTU54" s="4"/>
      <c r="JTV54" s="4"/>
      <c r="JTW54" s="4"/>
      <c r="JTX54" s="4"/>
      <c r="JTY54" s="4"/>
      <c r="JTZ54" s="4"/>
      <c r="JUA54" s="4"/>
      <c r="JUB54" s="4"/>
      <c r="JUC54" s="4"/>
      <c r="JUD54" s="4"/>
      <c r="JUE54" s="4"/>
      <c r="JUF54" s="4"/>
      <c r="JUG54" s="4"/>
      <c r="JUH54" s="4"/>
      <c r="JUI54" s="4"/>
      <c r="JUJ54" s="4"/>
      <c r="JUK54" s="4"/>
      <c r="JUL54" s="4"/>
      <c r="JUM54" s="4"/>
      <c r="JUN54" s="4"/>
      <c r="JUO54" s="4"/>
      <c r="JUP54" s="4"/>
      <c r="JUQ54" s="4"/>
      <c r="JUR54" s="4"/>
      <c r="JUS54" s="4"/>
      <c r="JUT54" s="4"/>
      <c r="JUU54" s="4"/>
      <c r="JUV54" s="4"/>
      <c r="JUW54" s="4"/>
      <c r="JUX54" s="4"/>
      <c r="JUY54" s="4"/>
      <c r="JUZ54" s="4"/>
      <c r="JVA54" s="4"/>
      <c r="JVB54" s="4"/>
      <c r="JVC54" s="4"/>
      <c r="JVD54" s="4"/>
      <c r="JVE54" s="4"/>
      <c r="JVF54" s="4"/>
      <c r="JVG54" s="4"/>
      <c r="JVH54" s="4"/>
      <c r="JVI54" s="4"/>
      <c r="JVJ54" s="4"/>
      <c r="JVK54" s="4"/>
      <c r="JVL54" s="4"/>
      <c r="JVM54" s="4"/>
      <c r="JVN54" s="4"/>
      <c r="JVO54" s="4"/>
      <c r="JVP54" s="4"/>
      <c r="JVQ54" s="4"/>
      <c r="JVR54" s="4"/>
      <c r="JVS54" s="4"/>
      <c r="JVT54" s="4"/>
      <c r="JVU54" s="4"/>
      <c r="JVV54" s="4"/>
      <c r="JVW54" s="4"/>
      <c r="JVX54" s="4"/>
      <c r="JVY54" s="4"/>
      <c r="JVZ54" s="4"/>
      <c r="JWA54" s="4"/>
      <c r="JWB54" s="4"/>
      <c r="JWC54" s="4"/>
      <c r="JWD54" s="4"/>
      <c r="JWE54" s="4"/>
      <c r="JWF54" s="4"/>
      <c r="JWG54" s="4"/>
      <c r="JWH54" s="4"/>
      <c r="JWI54" s="4"/>
      <c r="JWJ54" s="4"/>
      <c r="JWK54" s="4"/>
      <c r="JWL54" s="4"/>
      <c r="JWM54" s="4"/>
      <c r="JWN54" s="4"/>
      <c r="JWO54" s="4"/>
      <c r="JWP54" s="4"/>
      <c r="JWQ54" s="4"/>
      <c r="JWR54" s="4"/>
      <c r="JWS54" s="4"/>
      <c r="JWT54" s="4"/>
      <c r="JWU54" s="4"/>
      <c r="JWV54" s="4"/>
      <c r="JWW54" s="4"/>
      <c r="JWX54" s="4"/>
      <c r="JWY54" s="4"/>
      <c r="JWZ54" s="4"/>
      <c r="JXA54" s="4"/>
      <c r="JXB54" s="4"/>
      <c r="JXC54" s="4"/>
      <c r="JXD54" s="4"/>
      <c r="JXE54" s="4"/>
      <c r="JXF54" s="4"/>
      <c r="JXG54" s="4"/>
      <c r="JXH54" s="4"/>
      <c r="JXI54" s="4"/>
      <c r="JXJ54" s="4"/>
      <c r="JXK54" s="4"/>
      <c r="JXL54" s="4"/>
      <c r="JXM54" s="4"/>
      <c r="JXN54" s="4"/>
      <c r="JXO54" s="4"/>
      <c r="JXP54" s="4"/>
      <c r="JXQ54" s="4"/>
      <c r="JXR54" s="4"/>
      <c r="JXS54" s="4"/>
      <c r="JXT54" s="4"/>
      <c r="JXU54" s="4"/>
      <c r="JXV54" s="4"/>
      <c r="JXW54" s="4"/>
      <c r="JXX54" s="4"/>
      <c r="JXY54" s="4"/>
      <c r="JXZ54" s="4"/>
      <c r="JYA54" s="4"/>
      <c r="JYB54" s="4"/>
      <c r="JYC54" s="4"/>
      <c r="JYD54" s="4"/>
      <c r="JYE54" s="4"/>
      <c r="JYF54" s="4"/>
      <c r="JYG54" s="4"/>
      <c r="JYH54" s="4"/>
      <c r="JYI54" s="4"/>
      <c r="JYJ54" s="4"/>
      <c r="JYK54" s="4"/>
      <c r="JYL54" s="4"/>
      <c r="JYM54" s="4"/>
      <c r="JYN54" s="4"/>
      <c r="JYO54" s="4"/>
      <c r="JYP54" s="4"/>
      <c r="JYQ54" s="4"/>
      <c r="JYR54" s="4"/>
      <c r="JYS54" s="4"/>
      <c r="JYT54" s="4"/>
      <c r="JYU54" s="4"/>
      <c r="JYV54" s="4"/>
      <c r="JYW54" s="4"/>
      <c r="JYX54" s="4"/>
      <c r="JYY54" s="4"/>
      <c r="JYZ54" s="4"/>
      <c r="JZA54" s="4"/>
      <c r="JZB54" s="4"/>
      <c r="JZC54" s="4"/>
      <c r="JZD54" s="4"/>
      <c r="JZE54" s="4"/>
      <c r="JZF54" s="4"/>
      <c r="JZG54" s="4"/>
      <c r="JZH54" s="4"/>
      <c r="JZI54" s="4"/>
      <c r="JZJ54" s="4"/>
      <c r="JZK54" s="4"/>
      <c r="JZL54" s="4"/>
      <c r="JZM54" s="4"/>
      <c r="JZN54" s="4"/>
      <c r="JZO54" s="4"/>
      <c r="JZP54" s="4"/>
      <c r="JZQ54" s="4"/>
      <c r="JZR54" s="4"/>
      <c r="JZS54" s="4"/>
      <c r="JZT54" s="4"/>
      <c r="JZU54" s="4"/>
      <c r="JZV54" s="4"/>
      <c r="JZW54" s="4"/>
      <c r="JZX54" s="4"/>
      <c r="JZY54" s="4"/>
      <c r="JZZ54" s="4"/>
      <c r="KAA54" s="4"/>
      <c r="KAB54" s="4"/>
      <c r="KAC54" s="4"/>
      <c r="KAD54" s="4"/>
      <c r="KAE54" s="4"/>
      <c r="KAF54" s="4"/>
      <c r="KAG54" s="4"/>
      <c r="KAH54" s="4"/>
      <c r="KAI54" s="4"/>
      <c r="KAJ54" s="4"/>
      <c r="KAK54" s="4"/>
      <c r="KAL54" s="4"/>
      <c r="KAM54" s="4"/>
      <c r="KAN54" s="4"/>
      <c r="KAO54" s="4"/>
      <c r="KAP54" s="4"/>
      <c r="KAQ54" s="4"/>
      <c r="KAR54" s="4"/>
      <c r="KAS54" s="4"/>
      <c r="KAT54" s="4"/>
      <c r="KAU54" s="4"/>
      <c r="KAV54" s="4"/>
      <c r="KAW54" s="4"/>
      <c r="KAX54" s="4"/>
      <c r="KAY54" s="4"/>
      <c r="KAZ54" s="4"/>
      <c r="KBA54" s="4"/>
      <c r="KBB54" s="4"/>
      <c r="KBC54" s="4"/>
      <c r="KBD54" s="4"/>
      <c r="KBE54" s="4"/>
      <c r="KBF54" s="4"/>
      <c r="KBG54" s="4"/>
      <c r="KBH54" s="4"/>
      <c r="KBI54" s="4"/>
      <c r="KBJ54" s="4"/>
      <c r="KBK54" s="4"/>
      <c r="KBL54" s="4"/>
      <c r="KBM54" s="4"/>
      <c r="KBN54" s="4"/>
      <c r="KBO54" s="4"/>
      <c r="KBP54" s="4"/>
      <c r="KBQ54" s="4"/>
      <c r="KBR54" s="4"/>
      <c r="KBS54" s="4"/>
      <c r="KBT54" s="4"/>
      <c r="KBU54" s="4"/>
      <c r="KBV54" s="4"/>
      <c r="KBW54" s="4"/>
      <c r="KBX54" s="4"/>
      <c r="KBY54" s="4"/>
      <c r="KBZ54" s="4"/>
      <c r="KCA54" s="4"/>
      <c r="KCB54" s="4"/>
      <c r="KCC54" s="4"/>
      <c r="KCD54" s="4"/>
      <c r="KCE54" s="4"/>
      <c r="KCF54" s="4"/>
      <c r="KCG54" s="4"/>
      <c r="KCH54" s="4"/>
      <c r="KCI54" s="4"/>
      <c r="KCJ54" s="4"/>
      <c r="KCK54" s="4"/>
      <c r="KCL54" s="4"/>
      <c r="KCM54" s="4"/>
      <c r="KCN54" s="4"/>
      <c r="KCO54" s="4"/>
      <c r="KCP54" s="4"/>
      <c r="KCQ54" s="4"/>
      <c r="KCR54" s="4"/>
      <c r="KCS54" s="4"/>
      <c r="KCT54" s="4"/>
      <c r="KCU54" s="4"/>
      <c r="KCV54" s="4"/>
      <c r="KCW54" s="4"/>
      <c r="KCX54" s="4"/>
      <c r="KCY54" s="4"/>
      <c r="KCZ54" s="4"/>
      <c r="KDA54" s="4"/>
      <c r="KDB54" s="4"/>
      <c r="KDC54" s="4"/>
      <c r="KDD54" s="4"/>
      <c r="KDE54" s="4"/>
      <c r="KDF54" s="4"/>
      <c r="KDG54" s="4"/>
      <c r="KDH54" s="4"/>
      <c r="KDI54" s="4"/>
      <c r="KDJ54" s="4"/>
      <c r="KDK54" s="4"/>
      <c r="KDL54" s="4"/>
      <c r="KDM54" s="4"/>
      <c r="KDN54" s="4"/>
      <c r="KDO54" s="4"/>
      <c r="KDP54" s="4"/>
      <c r="KDQ54" s="4"/>
      <c r="KDR54" s="4"/>
      <c r="KDS54" s="4"/>
      <c r="KDT54" s="4"/>
      <c r="KDU54" s="4"/>
      <c r="KDV54" s="4"/>
      <c r="KDW54" s="4"/>
      <c r="KDX54" s="4"/>
      <c r="KDY54" s="4"/>
      <c r="KDZ54" s="4"/>
      <c r="KEA54" s="4"/>
      <c r="KEB54" s="4"/>
      <c r="KEC54" s="4"/>
      <c r="KED54" s="4"/>
      <c r="KEE54" s="4"/>
      <c r="KEF54" s="4"/>
      <c r="KEG54" s="4"/>
      <c r="KEH54" s="4"/>
      <c r="KEI54" s="4"/>
      <c r="KEJ54" s="4"/>
      <c r="KEK54" s="4"/>
      <c r="KEL54" s="4"/>
      <c r="KEM54" s="4"/>
      <c r="KEN54" s="4"/>
      <c r="KEO54" s="4"/>
      <c r="KEP54" s="4"/>
      <c r="KEQ54" s="4"/>
      <c r="KER54" s="4"/>
      <c r="KES54" s="4"/>
      <c r="KET54" s="4"/>
      <c r="KEU54" s="4"/>
      <c r="KEV54" s="4"/>
      <c r="KEW54" s="4"/>
      <c r="KEX54" s="4"/>
      <c r="KEY54" s="4"/>
      <c r="KEZ54" s="4"/>
      <c r="KFA54" s="4"/>
      <c r="KFB54" s="4"/>
      <c r="KFC54" s="4"/>
      <c r="KFD54" s="4"/>
      <c r="KFE54" s="4"/>
      <c r="KFF54" s="4"/>
      <c r="KFG54" s="4"/>
      <c r="KFH54" s="4"/>
      <c r="KFI54" s="4"/>
      <c r="KFJ54" s="4"/>
      <c r="KFK54" s="4"/>
      <c r="KFL54" s="4"/>
      <c r="KFM54" s="4"/>
      <c r="KFN54" s="4"/>
      <c r="KFO54" s="4"/>
      <c r="KFP54" s="4"/>
      <c r="KFQ54" s="4"/>
      <c r="KFR54" s="4"/>
      <c r="KFS54" s="4"/>
      <c r="KFT54" s="4"/>
      <c r="KFU54" s="4"/>
      <c r="KFV54" s="4"/>
      <c r="KFW54" s="4"/>
      <c r="KFX54" s="4"/>
      <c r="KFY54" s="4"/>
      <c r="KFZ54" s="4"/>
      <c r="KGA54" s="4"/>
      <c r="KGB54" s="4"/>
      <c r="KGC54" s="4"/>
      <c r="KGD54" s="4"/>
      <c r="KGE54" s="4"/>
      <c r="KGF54" s="4"/>
      <c r="KGG54" s="4"/>
      <c r="KGH54" s="4"/>
      <c r="KGI54" s="4"/>
      <c r="KGJ54" s="4"/>
      <c r="KGK54" s="4"/>
      <c r="KGL54" s="4"/>
      <c r="KGM54" s="4"/>
      <c r="KGN54" s="4"/>
      <c r="KGO54" s="4"/>
      <c r="KGP54" s="4"/>
      <c r="KGQ54" s="4"/>
      <c r="KGR54" s="4"/>
      <c r="KGS54" s="4"/>
      <c r="KGT54" s="4"/>
      <c r="KGU54" s="4"/>
      <c r="KGV54" s="4"/>
      <c r="KGW54" s="4"/>
      <c r="KGX54" s="4"/>
      <c r="KGY54" s="4"/>
      <c r="KGZ54" s="4"/>
      <c r="KHA54" s="4"/>
      <c r="KHB54" s="4"/>
      <c r="KHC54" s="4"/>
      <c r="KHD54" s="4"/>
      <c r="KHE54" s="4"/>
      <c r="KHF54" s="4"/>
      <c r="KHG54" s="4"/>
      <c r="KHH54" s="4"/>
      <c r="KHI54" s="4"/>
      <c r="KHJ54" s="4"/>
      <c r="KHK54" s="4"/>
      <c r="KHL54" s="4"/>
      <c r="KHM54" s="4"/>
      <c r="KHN54" s="4"/>
      <c r="KHO54" s="4"/>
      <c r="KHP54" s="4"/>
      <c r="KHQ54" s="4"/>
      <c r="KHR54" s="4"/>
      <c r="KHS54" s="4"/>
      <c r="KHT54" s="4"/>
      <c r="KHU54" s="4"/>
      <c r="KHV54" s="4"/>
      <c r="KHW54" s="4"/>
      <c r="KHX54" s="4"/>
      <c r="KHY54" s="4"/>
      <c r="KHZ54" s="4"/>
      <c r="KIA54" s="4"/>
      <c r="KIB54" s="4"/>
      <c r="KIC54" s="4"/>
      <c r="KID54" s="4"/>
      <c r="KIE54" s="4"/>
      <c r="KIF54" s="4"/>
      <c r="KIG54" s="4"/>
      <c r="KIH54" s="4"/>
      <c r="KII54" s="4"/>
      <c r="KIJ54" s="4"/>
      <c r="KIK54" s="4"/>
      <c r="KIL54" s="4"/>
      <c r="KIM54" s="4"/>
      <c r="KIN54" s="4"/>
      <c r="KIO54" s="4"/>
      <c r="KIP54" s="4"/>
      <c r="KIQ54" s="4"/>
      <c r="KIR54" s="4"/>
      <c r="KIS54" s="4"/>
      <c r="KIT54" s="4"/>
      <c r="KIU54" s="4"/>
      <c r="KIV54" s="4"/>
      <c r="KIW54" s="4"/>
      <c r="KIX54" s="4"/>
      <c r="KIY54" s="4"/>
      <c r="KIZ54" s="4"/>
      <c r="KJA54" s="4"/>
      <c r="KJB54" s="4"/>
      <c r="KJC54" s="4"/>
      <c r="KJD54" s="4"/>
      <c r="KJE54" s="4"/>
      <c r="KJF54" s="4"/>
      <c r="KJG54" s="4"/>
      <c r="KJH54" s="4"/>
      <c r="KJI54" s="4"/>
      <c r="KJJ54" s="4"/>
      <c r="KJK54" s="4"/>
      <c r="KJL54" s="4"/>
      <c r="KJM54" s="4"/>
      <c r="KJN54" s="4"/>
      <c r="KJO54" s="4"/>
      <c r="KJP54" s="4"/>
      <c r="KJQ54" s="4"/>
      <c r="KJR54" s="4"/>
      <c r="KJS54" s="4"/>
      <c r="KJT54" s="4"/>
      <c r="KJU54" s="4"/>
      <c r="KJV54" s="4"/>
      <c r="KJW54" s="4"/>
      <c r="KJX54" s="4"/>
      <c r="KJY54" s="4"/>
      <c r="KJZ54" s="4"/>
      <c r="KKA54" s="4"/>
      <c r="KKB54" s="4"/>
      <c r="KKC54" s="4"/>
      <c r="KKD54" s="4"/>
      <c r="KKE54" s="4"/>
      <c r="KKF54" s="4"/>
      <c r="KKG54" s="4"/>
      <c r="KKH54" s="4"/>
      <c r="KKI54" s="4"/>
      <c r="KKJ54" s="4"/>
      <c r="KKK54" s="4"/>
      <c r="KKL54" s="4"/>
      <c r="KKM54" s="4"/>
      <c r="KKN54" s="4"/>
      <c r="KKO54" s="4"/>
      <c r="KKP54" s="4"/>
      <c r="KKQ54" s="4"/>
      <c r="KKR54" s="4"/>
      <c r="KKS54" s="4"/>
      <c r="KKT54" s="4"/>
      <c r="KKU54" s="4"/>
      <c r="KKV54" s="4"/>
      <c r="KKW54" s="4"/>
      <c r="KKX54" s="4"/>
      <c r="KKY54" s="4"/>
      <c r="KKZ54" s="4"/>
      <c r="KLA54" s="4"/>
      <c r="KLB54" s="4"/>
      <c r="KLC54" s="4"/>
      <c r="KLD54" s="4"/>
      <c r="KLE54" s="4"/>
      <c r="KLF54" s="4"/>
      <c r="KLG54" s="4"/>
      <c r="KLH54" s="4"/>
      <c r="KLI54" s="4"/>
      <c r="KLJ54" s="4"/>
      <c r="KLK54" s="4"/>
      <c r="KLL54" s="4"/>
      <c r="KLM54" s="4"/>
      <c r="KLN54" s="4"/>
      <c r="KLO54" s="4"/>
      <c r="KLP54" s="4"/>
      <c r="KLQ54" s="4"/>
      <c r="KLR54" s="4"/>
      <c r="KLS54" s="4"/>
      <c r="KLT54" s="4"/>
      <c r="KLU54" s="4"/>
      <c r="KLV54" s="4"/>
      <c r="KLW54" s="4"/>
      <c r="KLX54" s="4"/>
      <c r="KLY54" s="4"/>
      <c r="KLZ54" s="4"/>
      <c r="KMA54" s="4"/>
      <c r="KMB54" s="4"/>
      <c r="KMC54" s="4"/>
      <c r="KMD54" s="4"/>
      <c r="KME54" s="4"/>
      <c r="KMF54" s="4"/>
      <c r="KMG54" s="4"/>
      <c r="KMH54" s="4"/>
      <c r="KMI54" s="4"/>
      <c r="KMJ54" s="4"/>
      <c r="KMK54" s="4"/>
      <c r="KML54" s="4"/>
      <c r="KMM54" s="4"/>
      <c r="KMN54" s="4"/>
      <c r="KMO54" s="4"/>
      <c r="KMP54" s="4"/>
      <c r="KMQ54" s="4"/>
      <c r="KMR54" s="4"/>
      <c r="KMS54" s="4"/>
      <c r="KMT54" s="4"/>
      <c r="KMU54" s="4"/>
      <c r="KMV54" s="4"/>
      <c r="KMW54" s="4"/>
      <c r="KMX54" s="4"/>
      <c r="KMY54" s="4"/>
      <c r="KMZ54" s="4"/>
      <c r="KNA54" s="4"/>
      <c r="KNB54" s="4"/>
      <c r="KNC54" s="4"/>
      <c r="KND54" s="4"/>
      <c r="KNE54" s="4"/>
      <c r="KNF54" s="4"/>
      <c r="KNG54" s="4"/>
      <c r="KNH54" s="4"/>
      <c r="KNI54" s="4"/>
      <c r="KNJ54" s="4"/>
      <c r="KNK54" s="4"/>
      <c r="KNL54" s="4"/>
      <c r="KNM54" s="4"/>
      <c r="KNN54" s="4"/>
      <c r="KNO54" s="4"/>
      <c r="KNP54" s="4"/>
      <c r="KNQ54" s="4"/>
      <c r="KNR54" s="4"/>
      <c r="KNS54" s="4"/>
      <c r="KNT54" s="4"/>
      <c r="KNU54" s="4"/>
      <c r="KNV54" s="4"/>
      <c r="KNW54" s="4"/>
      <c r="KNX54" s="4"/>
      <c r="KNY54" s="4"/>
      <c r="KNZ54" s="4"/>
      <c r="KOA54" s="4"/>
      <c r="KOB54" s="4"/>
      <c r="KOC54" s="4"/>
      <c r="KOD54" s="4"/>
      <c r="KOE54" s="4"/>
      <c r="KOF54" s="4"/>
      <c r="KOG54" s="4"/>
      <c r="KOH54" s="4"/>
      <c r="KOI54" s="4"/>
      <c r="KOJ54" s="4"/>
      <c r="KOK54" s="4"/>
      <c r="KOL54" s="4"/>
      <c r="KOM54" s="4"/>
      <c r="KON54" s="4"/>
      <c r="KOO54" s="4"/>
      <c r="KOP54" s="4"/>
      <c r="KOQ54" s="4"/>
      <c r="KOR54" s="4"/>
      <c r="KOS54" s="4"/>
      <c r="KOT54" s="4"/>
      <c r="KOU54" s="4"/>
      <c r="KOV54" s="4"/>
      <c r="KOW54" s="4"/>
      <c r="KOX54" s="4"/>
      <c r="KOY54" s="4"/>
      <c r="KOZ54" s="4"/>
      <c r="KPA54" s="4"/>
      <c r="KPB54" s="4"/>
      <c r="KPC54" s="4"/>
      <c r="KPD54" s="4"/>
      <c r="KPE54" s="4"/>
      <c r="KPF54" s="4"/>
      <c r="KPG54" s="4"/>
      <c r="KPH54" s="4"/>
      <c r="KPI54" s="4"/>
      <c r="KPJ54" s="4"/>
      <c r="KPK54" s="4"/>
      <c r="KPL54" s="4"/>
      <c r="KPM54" s="4"/>
      <c r="KPN54" s="4"/>
      <c r="KPO54" s="4"/>
      <c r="KPP54" s="4"/>
      <c r="KPQ54" s="4"/>
      <c r="KPR54" s="4"/>
      <c r="KPS54" s="4"/>
      <c r="KPT54" s="4"/>
      <c r="KPU54" s="4"/>
      <c r="KPV54" s="4"/>
      <c r="KPW54" s="4"/>
      <c r="KPX54" s="4"/>
      <c r="KPY54" s="4"/>
      <c r="KPZ54" s="4"/>
      <c r="KQA54" s="4"/>
      <c r="KQB54" s="4"/>
      <c r="KQC54" s="4"/>
      <c r="KQD54" s="4"/>
      <c r="KQE54" s="4"/>
      <c r="KQF54" s="4"/>
      <c r="KQG54" s="4"/>
      <c r="KQH54" s="4"/>
      <c r="KQI54" s="4"/>
      <c r="KQJ54" s="4"/>
      <c r="KQK54" s="4"/>
      <c r="KQL54" s="4"/>
      <c r="KQM54" s="4"/>
      <c r="KQN54" s="4"/>
      <c r="KQO54" s="4"/>
      <c r="KQP54" s="4"/>
      <c r="KQQ54" s="4"/>
      <c r="KQR54" s="4"/>
      <c r="KQS54" s="4"/>
      <c r="KQT54" s="4"/>
      <c r="KQU54" s="4"/>
      <c r="KQV54" s="4"/>
      <c r="KQW54" s="4"/>
      <c r="KQX54" s="4"/>
      <c r="KQY54" s="4"/>
      <c r="KQZ54" s="4"/>
      <c r="KRA54" s="4"/>
      <c r="KRB54" s="4"/>
      <c r="KRC54" s="4"/>
      <c r="KRD54" s="4"/>
      <c r="KRE54" s="4"/>
      <c r="KRF54" s="4"/>
      <c r="KRG54" s="4"/>
      <c r="KRH54" s="4"/>
      <c r="KRI54" s="4"/>
      <c r="KRJ54" s="4"/>
      <c r="KRK54" s="4"/>
      <c r="KRL54" s="4"/>
      <c r="KRM54" s="4"/>
      <c r="KRN54" s="4"/>
      <c r="KRO54" s="4"/>
      <c r="KRP54" s="4"/>
      <c r="KRQ54" s="4"/>
      <c r="KRR54" s="4"/>
      <c r="KRS54" s="4"/>
      <c r="KRT54" s="4"/>
      <c r="KRU54" s="4"/>
      <c r="KRV54" s="4"/>
      <c r="KRW54" s="4"/>
      <c r="KRX54" s="4"/>
      <c r="KRY54" s="4"/>
      <c r="KRZ54" s="4"/>
      <c r="KSA54" s="4"/>
      <c r="KSB54" s="4"/>
      <c r="KSC54" s="4"/>
      <c r="KSD54" s="4"/>
      <c r="KSE54" s="4"/>
      <c r="KSF54" s="4"/>
      <c r="KSG54" s="4"/>
      <c r="KSH54" s="4"/>
      <c r="KSI54" s="4"/>
      <c r="KSJ54" s="4"/>
      <c r="KSK54" s="4"/>
      <c r="KSL54" s="4"/>
      <c r="KSM54" s="4"/>
      <c r="KSN54" s="4"/>
      <c r="KSO54" s="4"/>
      <c r="KSP54" s="4"/>
      <c r="KSQ54" s="4"/>
      <c r="KSR54" s="4"/>
      <c r="KSS54" s="4"/>
      <c r="KST54" s="4"/>
      <c r="KSU54" s="4"/>
      <c r="KSV54" s="4"/>
      <c r="KSW54" s="4"/>
      <c r="KSX54" s="4"/>
      <c r="KSY54" s="4"/>
      <c r="KSZ54" s="4"/>
      <c r="KTA54" s="4"/>
      <c r="KTB54" s="4"/>
      <c r="KTC54" s="4"/>
      <c r="KTD54" s="4"/>
      <c r="KTE54" s="4"/>
      <c r="KTF54" s="4"/>
      <c r="KTG54" s="4"/>
      <c r="KTH54" s="4"/>
      <c r="KTI54" s="4"/>
      <c r="KTJ54" s="4"/>
      <c r="KTK54" s="4"/>
      <c r="KTL54" s="4"/>
      <c r="KTM54" s="4"/>
      <c r="KTN54" s="4"/>
      <c r="KTO54" s="4"/>
      <c r="KTP54" s="4"/>
      <c r="KTQ54" s="4"/>
      <c r="KTR54" s="4"/>
      <c r="KTS54" s="4"/>
      <c r="KTT54" s="4"/>
      <c r="KTU54" s="4"/>
      <c r="KTV54" s="4"/>
      <c r="KTW54" s="4"/>
      <c r="KTX54" s="4"/>
      <c r="KTY54" s="4"/>
      <c r="KTZ54" s="4"/>
      <c r="KUA54" s="4"/>
      <c r="KUB54" s="4"/>
      <c r="KUC54" s="4"/>
      <c r="KUD54" s="4"/>
      <c r="KUE54" s="4"/>
      <c r="KUF54" s="4"/>
      <c r="KUG54" s="4"/>
      <c r="KUH54" s="4"/>
      <c r="KUI54" s="4"/>
      <c r="KUJ54" s="4"/>
      <c r="KUK54" s="4"/>
      <c r="KUL54" s="4"/>
      <c r="KUM54" s="4"/>
      <c r="KUN54" s="4"/>
      <c r="KUO54" s="4"/>
      <c r="KUP54" s="4"/>
      <c r="KUQ54" s="4"/>
      <c r="KUR54" s="4"/>
      <c r="KUS54" s="4"/>
      <c r="KUT54" s="4"/>
      <c r="KUU54" s="4"/>
      <c r="KUV54" s="4"/>
      <c r="KUW54" s="4"/>
      <c r="KUX54" s="4"/>
      <c r="KUY54" s="4"/>
      <c r="KUZ54" s="4"/>
      <c r="KVA54" s="4"/>
      <c r="KVB54" s="4"/>
      <c r="KVC54" s="4"/>
      <c r="KVD54" s="4"/>
      <c r="KVE54" s="4"/>
      <c r="KVF54" s="4"/>
      <c r="KVG54" s="4"/>
      <c r="KVH54" s="4"/>
      <c r="KVI54" s="4"/>
      <c r="KVJ54" s="4"/>
      <c r="KVK54" s="4"/>
      <c r="KVL54" s="4"/>
      <c r="KVM54" s="4"/>
      <c r="KVN54" s="4"/>
      <c r="KVO54" s="4"/>
      <c r="KVP54" s="4"/>
      <c r="KVQ54" s="4"/>
      <c r="KVR54" s="4"/>
      <c r="KVS54" s="4"/>
      <c r="KVT54" s="4"/>
      <c r="KVU54" s="4"/>
      <c r="KVV54" s="4"/>
      <c r="KVW54" s="4"/>
      <c r="KVX54" s="4"/>
      <c r="KVY54" s="4"/>
      <c r="KVZ54" s="4"/>
      <c r="KWA54" s="4"/>
      <c r="KWB54" s="4"/>
      <c r="KWC54" s="4"/>
      <c r="KWD54" s="4"/>
      <c r="KWE54" s="4"/>
      <c r="KWF54" s="4"/>
      <c r="KWG54" s="4"/>
      <c r="KWH54" s="4"/>
      <c r="KWI54" s="4"/>
      <c r="KWJ54" s="4"/>
      <c r="KWK54" s="4"/>
      <c r="KWL54" s="4"/>
      <c r="KWM54" s="4"/>
      <c r="KWN54" s="4"/>
      <c r="KWO54" s="4"/>
      <c r="KWP54" s="4"/>
      <c r="KWQ54" s="4"/>
      <c r="KWR54" s="4"/>
      <c r="KWS54" s="4"/>
      <c r="KWT54" s="4"/>
      <c r="KWU54" s="4"/>
      <c r="KWV54" s="4"/>
      <c r="KWW54" s="4"/>
      <c r="KWX54" s="4"/>
      <c r="KWY54" s="4"/>
      <c r="KWZ54" s="4"/>
      <c r="KXA54" s="4"/>
      <c r="KXB54" s="4"/>
      <c r="KXC54" s="4"/>
      <c r="KXD54" s="4"/>
      <c r="KXE54" s="4"/>
      <c r="KXF54" s="4"/>
      <c r="KXG54" s="4"/>
      <c r="KXH54" s="4"/>
      <c r="KXI54" s="4"/>
      <c r="KXJ54" s="4"/>
      <c r="KXK54" s="4"/>
      <c r="KXL54" s="4"/>
      <c r="KXM54" s="4"/>
      <c r="KXN54" s="4"/>
      <c r="KXO54" s="4"/>
      <c r="KXP54" s="4"/>
      <c r="KXQ54" s="4"/>
      <c r="KXR54" s="4"/>
      <c r="KXS54" s="4"/>
      <c r="KXT54" s="4"/>
      <c r="KXU54" s="4"/>
      <c r="KXV54" s="4"/>
      <c r="KXW54" s="4"/>
      <c r="KXX54" s="4"/>
      <c r="KXY54" s="4"/>
      <c r="KXZ54" s="4"/>
      <c r="KYA54" s="4"/>
      <c r="KYB54" s="4"/>
      <c r="KYC54" s="4"/>
      <c r="KYD54" s="4"/>
      <c r="KYE54" s="4"/>
      <c r="KYF54" s="4"/>
      <c r="KYG54" s="4"/>
      <c r="KYH54" s="4"/>
      <c r="KYI54" s="4"/>
      <c r="KYJ54" s="4"/>
      <c r="KYK54" s="4"/>
      <c r="KYL54" s="4"/>
      <c r="KYM54" s="4"/>
      <c r="KYN54" s="4"/>
      <c r="KYO54" s="4"/>
      <c r="KYP54" s="4"/>
      <c r="KYQ54" s="4"/>
      <c r="KYR54" s="4"/>
      <c r="KYS54" s="4"/>
      <c r="KYT54" s="4"/>
      <c r="KYU54" s="4"/>
      <c r="KYV54" s="4"/>
      <c r="KYW54" s="4"/>
      <c r="KYX54" s="4"/>
      <c r="KYY54" s="4"/>
      <c r="KYZ54" s="4"/>
      <c r="KZA54" s="4"/>
      <c r="KZB54" s="4"/>
      <c r="KZC54" s="4"/>
      <c r="KZD54" s="4"/>
      <c r="KZE54" s="4"/>
      <c r="KZF54" s="4"/>
      <c r="KZG54" s="4"/>
      <c r="KZH54" s="4"/>
      <c r="KZI54" s="4"/>
      <c r="KZJ54" s="4"/>
      <c r="KZK54" s="4"/>
      <c r="KZL54" s="4"/>
      <c r="KZM54" s="4"/>
      <c r="KZN54" s="4"/>
      <c r="KZO54" s="4"/>
      <c r="KZP54" s="4"/>
      <c r="KZQ54" s="4"/>
      <c r="KZR54" s="4"/>
      <c r="KZS54" s="4"/>
      <c r="KZT54" s="4"/>
      <c r="KZU54" s="4"/>
      <c r="KZV54" s="4"/>
      <c r="KZW54" s="4"/>
      <c r="KZX54" s="4"/>
      <c r="KZY54" s="4"/>
      <c r="KZZ54" s="4"/>
      <c r="LAA54" s="4"/>
      <c r="LAB54" s="4"/>
      <c r="LAC54" s="4"/>
      <c r="LAD54" s="4"/>
      <c r="LAE54" s="4"/>
      <c r="LAF54" s="4"/>
      <c r="LAG54" s="4"/>
      <c r="LAH54" s="4"/>
      <c r="LAI54" s="4"/>
      <c r="LAJ54" s="4"/>
      <c r="LAK54" s="4"/>
      <c r="LAL54" s="4"/>
      <c r="LAM54" s="4"/>
      <c r="LAN54" s="4"/>
      <c r="LAO54" s="4"/>
      <c r="LAP54" s="4"/>
      <c r="LAQ54" s="4"/>
      <c r="LAR54" s="4"/>
      <c r="LAS54" s="4"/>
      <c r="LAT54" s="4"/>
      <c r="LAU54" s="4"/>
      <c r="LAV54" s="4"/>
      <c r="LAW54" s="4"/>
      <c r="LAX54" s="4"/>
      <c r="LAY54" s="4"/>
      <c r="LAZ54" s="4"/>
      <c r="LBA54" s="4"/>
      <c r="LBB54" s="4"/>
      <c r="LBC54" s="4"/>
      <c r="LBD54" s="4"/>
      <c r="LBE54" s="4"/>
      <c r="LBF54" s="4"/>
      <c r="LBG54" s="4"/>
      <c r="LBH54" s="4"/>
      <c r="LBI54" s="4"/>
      <c r="LBJ54" s="4"/>
      <c r="LBK54" s="4"/>
      <c r="LBL54" s="4"/>
      <c r="LBM54" s="4"/>
      <c r="LBN54" s="4"/>
      <c r="LBO54" s="4"/>
      <c r="LBP54" s="4"/>
      <c r="LBQ54" s="4"/>
      <c r="LBR54" s="4"/>
      <c r="LBS54" s="4"/>
      <c r="LBT54" s="4"/>
      <c r="LBU54" s="4"/>
      <c r="LBV54" s="4"/>
      <c r="LBW54" s="4"/>
      <c r="LBX54" s="4"/>
      <c r="LBY54" s="4"/>
      <c r="LBZ54" s="4"/>
      <c r="LCA54" s="4"/>
      <c r="LCB54" s="4"/>
      <c r="LCC54" s="4"/>
      <c r="LCD54" s="4"/>
      <c r="LCE54" s="4"/>
      <c r="LCF54" s="4"/>
      <c r="LCG54" s="4"/>
      <c r="LCH54" s="4"/>
      <c r="LCI54" s="4"/>
      <c r="LCJ54" s="4"/>
      <c r="LCK54" s="4"/>
      <c r="LCL54" s="4"/>
      <c r="LCM54" s="4"/>
      <c r="LCN54" s="4"/>
      <c r="LCO54" s="4"/>
      <c r="LCP54" s="4"/>
      <c r="LCQ54" s="4"/>
      <c r="LCR54" s="4"/>
      <c r="LCS54" s="4"/>
      <c r="LCT54" s="4"/>
      <c r="LCU54" s="4"/>
      <c r="LCV54" s="4"/>
      <c r="LCW54" s="4"/>
      <c r="LCX54" s="4"/>
      <c r="LCY54" s="4"/>
      <c r="LCZ54" s="4"/>
      <c r="LDA54" s="4"/>
      <c r="LDB54" s="4"/>
      <c r="LDC54" s="4"/>
      <c r="LDD54" s="4"/>
      <c r="LDE54" s="4"/>
      <c r="LDF54" s="4"/>
      <c r="LDG54" s="4"/>
      <c r="LDH54" s="4"/>
      <c r="LDI54" s="4"/>
      <c r="LDJ54" s="4"/>
      <c r="LDK54" s="4"/>
      <c r="LDL54" s="4"/>
      <c r="LDM54" s="4"/>
      <c r="LDN54" s="4"/>
      <c r="LDO54" s="4"/>
      <c r="LDP54" s="4"/>
      <c r="LDQ54" s="4"/>
      <c r="LDR54" s="4"/>
      <c r="LDS54" s="4"/>
      <c r="LDT54" s="4"/>
      <c r="LDU54" s="4"/>
      <c r="LDV54" s="4"/>
      <c r="LDW54" s="4"/>
      <c r="LDX54" s="4"/>
      <c r="LDY54" s="4"/>
      <c r="LDZ54" s="4"/>
      <c r="LEA54" s="4"/>
      <c r="LEB54" s="4"/>
      <c r="LEC54" s="4"/>
      <c r="LED54" s="4"/>
      <c r="LEE54" s="4"/>
      <c r="LEF54" s="4"/>
      <c r="LEG54" s="4"/>
      <c r="LEH54" s="4"/>
      <c r="LEI54" s="4"/>
      <c r="LEJ54" s="4"/>
      <c r="LEK54" s="4"/>
      <c r="LEL54" s="4"/>
      <c r="LEM54" s="4"/>
      <c r="LEN54" s="4"/>
      <c r="LEO54" s="4"/>
      <c r="LEP54" s="4"/>
      <c r="LEQ54" s="4"/>
      <c r="LER54" s="4"/>
      <c r="LES54" s="4"/>
      <c r="LET54" s="4"/>
      <c r="LEU54" s="4"/>
      <c r="LEV54" s="4"/>
      <c r="LEW54" s="4"/>
      <c r="LEX54" s="4"/>
      <c r="LEY54" s="4"/>
      <c r="LEZ54" s="4"/>
      <c r="LFA54" s="4"/>
      <c r="LFB54" s="4"/>
      <c r="LFC54" s="4"/>
      <c r="LFD54" s="4"/>
      <c r="LFE54" s="4"/>
      <c r="LFF54" s="4"/>
      <c r="LFG54" s="4"/>
      <c r="LFH54" s="4"/>
      <c r="LFI54" s="4"/>
      <c r="LFJ54" s="4"/>
      <c r="LFK54" s="4"/>
      <c r="LFL54" s="4"/>
      <c r="LFM54" s="4"/>
      <c r="LFN54" s="4"/>
      <c r="LFO54" s="4"/>
      <c r="LFP54" s="4"/>
      <c r="LFQ54" s="4"/>
      <c r="LFR54" s="4"/>
      <c r="LFS54" s="4"/>
      <c r="LFT54" s="4"/>
      <c r="LFU54" s="4"/>
      <c r="LFV54" s="4"/>
      <c r="LFW54" s="4"/>
      <c r="LFX54" s="4"/>
      <c r="LFY54" s="4"/>
      <c r="LFZ54" s="4"/>
      <c r="LGA54" s="4"/>
      <c r="LGB54" s="4"/>
      <c r="LGC54" s="4"/>
      <c r="LGD54" s="4"/>
      <c r="LGE54" s="4"/>
      <c r="LGF54" s="4"/>
      <c r="LGG54" s="4"/>
      <c r="LGH54" s="4"/>
      <c r="LGI54" s="4"/>
      <c r="LGJ54" s="4"/>
      <c r="LGK54" s="4"/>
      <c r="LGL54" s="4"/>
      <c r="LGM54" s="4"/>
      <c r="LGN54" s="4"/>
      <c r="LGO54" s="4"/>
      <c r="LGP54" s="4"/>
      <c r="LGQ54" s="4"/>
      <c r="LGR54" s="4"/>
      <c r="LGS54" s="4"/>
      <c r="LGT54" s="4"/>
      <c r="LGU54" s="4"/>
      <c r="LGV54" s="4"/>
      <c r="LGW54" s="4"/>
      <c r="LGX54" s="4"/>
      <c r="LGY54" s="4"/>
      <c r="LGZ54" s="4"/>
      <c r="LHA54" s="4"/>
      <c r="LHB54" s="4"/>
      <c r="LHC54" s="4"/>
      <c r="LHD54" s="4"/>
      <c r="LHE54" s="4"/>
      <c r="LHF54" s="4"/>
      <c r="LHG54" s="4"/>
      <c r="LHH54" s="4"/>
      <c r="LHI54" s="4"/>
      <c r="LHJ54" s="4"/>
      <c r="LHK54" s="4"/>
      <c r="LHL54" s="4"/>
      <c r="LHM54" s="4"/>
      <c r="LHN54" s="4"/>
      <c r="LHO54" s="4"/>
      <c r="LHP54" s="4"/>
      <c r="LHQ54" s="4"/>
      <c r="LHR54" s="4"/>
      <c r="LHS54" s="4"/>
      <c r="LHT54" s="4"/>
      <c r="LHU54" s="4"/>
      <c r="LHV54" s="4"/>
      <c r="LHW54" s="4"/>
      <c r="LHX54" s="4"/>
      <c r="LHY54" s="4"/>
      <c r="LHZ54" s="4"/>
      <c r="LIA54" s="4"/>
      <c r="LIB54" s="4"/>
      <c r="LIC54" s="4"/>
      <c r="LID54" s="4"/>
      <c r="LIE54" s="4"/>
      <c r="LIF54" s="4"/>
      <c r="LIG54" s="4"/>
      <c r="LIH54" s="4"/>
      <c r="LII54" s="4"/>
      <c r="LIJ54" s="4"/>
      <c r="LIK54" s="4"/>
      <c r="LIL54" s="4"/>
      <c r="LIM54" s="4"/>
      <c r="LIN54" s="4"/>
      <c r="LIO54" s="4"/>
      <c r="LIP54" s="4"/>
      <c r="LIQ54" s="4"/>
      <c r="LIR54" s="4"/>
      <c r="LIS54" s="4"/>
      <c r="LIT54" s="4"/>
      <c r="LIU54" s="4"/>
      <c r="LIV54" s="4"/>
      <c r="LIW54" s="4"/>
      <c r="LIX54" s="4"/>
      <c r="LIY54" s="4"/>
      <c r="LIZ54" s="4"/>
      <c r="LJA54" s="4"/>
      <c r="LJB54" s="4"/>
      <c r="LJC54" s="4"/>
      <c r="LJD54" s="4"/>
      <c r="LJE54" s="4"/>
      <c r="LJF54" s="4"/>
      <c r="LJG54" s="4"/>
      <c r="LJH54" s="4"/>
      <c r="LJI54" s="4"/>
      <c r="LJJ54" s="4"/>
      <c r="LJK54" s="4"/>
      <c r="LJL54" s="4"/>
      <c r="LJM54" s="4"/>
      <c r="LJN54" s="4"/>
      <c r="LJO54" s="4"/>
      <c r="LJP54" s="4"/>
      <c r="LJQ54" s="4"/>
      <c r="LJR54" s="4"/>
      <c r="LJS54" s="4"/>
      <c r="LJT54" s="4"/>
      <c r="LJU54" s="4"/>
      <c r="LJV54" s="4"/>
      <c r="LJW54" s="4"/>
      <c r="LJX54" s="4"/>
      <c r="LJY54" s="4"/>
      <c r="LJZ54" s="4"/>
      <c r="LKA54" s="4"/>
      <c r="LKB54" s="4"/>
      <c r="LKC54" s="4"/>
      <c r="LKD54" s="4"/>
      <c r="LKE54" s="4"/>
      <c r="LKF54" s="4"/>
      <c r="LKG54" s="4"/>
      <c r="LKH54" s="4"/>
      <c r="LKI54" s="4"/>
      <c r="LKJ54" s="4"/>
      <c r="LKK54" s="4"/>
      <c r="LKL54" s="4"/>
      <c r="LKM54" s="4"/>
      <c r="LKN54" s="4"/>
      <c r="LKO54" s="4"/>
      <c r="LKP54" s="4"/>
      <c r="LKQ54" s="4"/>
      <c r="LKR54" s="4"/>
      <c r="LKS54" s="4"/>
      <c r="LKT54" s="4"/>
      <c r="LKU54" s="4"/>
      <c r="LKV54" s="4"/>
      <c r="LKW54" s="4"/>
      <c r="LKX54" s="4"/>
      <c r="LKY54" s="4"/>
      <c r="LKZ54" s="4"/>
      <c r="LLA54" s="4"/>
      <c r="LLB54" s="4"/>
      <c r="LLC54" s="4"/>
      <c r="LLD54" s="4"/>
      <c r="LLE54" s="4"/>
      <c r="LLF54" s="4"/>
      <c r="LLG54" s="4"/>
      <c r="LLH54" s="4"/>
      <c r="LLI54" s="4"/>
      <c r="LLJ54" s="4"/>
      <c r="LLK54" s="4"/>
      <c r="LLL54" s="4"/>
      <c r="LLM54" s="4"/>
      <c r="LLN54" s="4"/>
      <c r="LLO54" s="4"/>
      <c r="LLP54" s="4"/>
      <c r="LLQ54" s="4"/>
      <c r="LLR54" s="4"/>
      <c r="LLS54" s="4"/>
      <c r="LLT54" s="4"/>
      <c r="LLU54" s="4"/>
      <c r="LLV54" s="4"/>
      <c r="LLW54" s="4"/>
      <c r="LLX54" s="4"/>
      <c r="LLY54" s="4"/>
      <c r="LLZ54" s="4"/>
      <c r="LMA54" s="4"/>
      <c r="LMB54" s="4"/>
      <c r="LMC54" s="4"/>
      <c r="LMD54" s="4"/>
      <c r="LME54" s="4"/>
      <c r="LMF54" s="4"/>
      <c r="LMG54" s="4"/>
      <c r="LMH54" s="4"/>
      <c r="LMI54" s="4"/>
      <c r="LMJ54" s="4"/>
      <c r="LMK54" s="4"/>
      <c r="LML54" s="4"/>
      <c r="LMM54" s="4"/>
      <c r="LMN54" s="4"/>
      <c r="LMO54" s="4"/>
      <c r="LMP54" s="4"/>
      <c r="LMQ54" s="4"/>
      <c r="LMR54" s="4"/>
      <c r="LMS54" s="4"/>
      <c r="LMT54" s="4"/>
      <c r="LMU54" s="4"/>
      <c r="LMV54" s="4"/>
      <c r="LMW54" s="4"/>
      <c r="LMX54" s="4"/>
      <c r="LMY54" s="4"/>
      <c r="LMZ54" s="4"/>
      <c r="LNA54" s="4"/>
      <c r="LNB54" s="4"/>
      <c r="LNC54" s="4"/>
      <c r="LND54" s="4"/>
      <c r="LNE54" s="4"/>
      <c r="LNF54" s="4"/>
      <c r="LNG54" s="4"/>
      <c r="LNH54" s="4"/>
      <c r="LNI54" s="4"/>
      <c r="LNJ54" s="4"/>
      <c r="LNK54" s="4"/>
      <c r="LNL54" s="4"/>
      <c r="LNM54" s="4"/>
      <c r="LNN54" s="4"/>
      <c r="LNO54" s="4"/>
      <c r="LNP54" s="4"/>
      <c r="LNQ54" s="4"/>
      <c r="LNR54" s="4"/>
      <c r="LNS54" s="4"/>
      <c r="LNT54" s="4"/>
      <c r="LNU54" s="4"/>
      <c r="LNV54" s="4"/>
      <c r="LNW54" s="4"/>
      <c r="LNX54" s="4"/>
      <c r="LNY54" s="4"/>
      <c r="LNZ54" s="4"/>
      <c r="LOA54" s="4"/>
      <c r="LOB54" s="4"/>
      <c r="LOC54" s="4"/>
      <c r="LOD54" s="4"/>
      <c r="LOE54" s="4"/>
      <c r="LOF54" s="4"/>
      <c r="LOG54" s="4"/>
      <c r="LOH54" s="4"/>
      <c r="LOI54" s="4"/>
      <c r="LOJ54" s="4"/>
      <c r="LOK54" s="4"/>
      <c r="LOL54" s="4"/>
      <c r="LOM54" s="4"/>
      <c r="LON54" s="4"/>
      <c r="LOO54" s="4"/>
      <c r="LOP54" s="4"/>
      <c r="LOQ54" s="4"/>
      <c r="LOR54" s="4"/>
      <c r="LOS54" s="4"/>
      <c r="LOT54" s="4"/>
      <c r="LOU54" s="4"/>
      <c r="LOV54" s="4"/>
      <c r="LOW54" s="4"/>
      <c r="LOX54" s="4"/>
      <c r="LOY54" s="4"/>
      <c r="LOZ54" s="4"/>
      <c r="LPA54" s="4"/>
      <c r="LPB54" s="4"/>
      <c r="LPC54" s="4"/>
      <c r="LPD54" s="4"/>
      <c r="LPE54" s="4"/>
      <c r="LPF54" s="4"/>
      <c r="LPG54" s="4"/>
      <c r="LPH54" s="4"/>
      <c r="LPI54" s="4"/>
      <c r="LPJ54" s="4"/>
      <c r="LPK54" s="4"/>
      <c r="LPL54" s="4"/>
      <c r="LPM54" s="4"/>
      <c r="LPN54" s="4"/>
      <c r="LPO54" s="4"/>
      <c r="LPP54" s="4"/>
      <c r="LPQ54" s="4"/>
      <c r="LPR54" s="4"/>
      <c r="LPS54" s="4"/>
      <c r="LPT54" s="4"/>
      <c r="LPU54" s="4"/>
      <c r="LPV54" s="4"/>
      <c r="LPW54" s="4"/>
      <c r="LPX54" s="4"/>
      <c r="LPY54" s="4"/>
      <c r="LPZ54" s="4"/>
      <c r="LQA54" s="4"/>
      <c r="LQB54" s="4"/>
      <c r="LQC54" s="4"/>
      <c r="LQD54" s="4"/>
      <c r="LQE54" s="4"/>
      <c r="LQF54" s="4"/>
      <c r="LQG54" s="4"/>
      <c r="LQH54" s="4"/>
      <c r="LQI54" s="4"/>
      <c r="LQJ54" s="4"/>
      <c r="LQK54" s="4"/>
      <c r="LQL54" s="4"/>
      <c r="LQM54" s="4"/>
      <c r="LQN54" s="4"/>
      <c r="LQO54" s="4"/>
      <c r="LQP54" s="4"/>
      <c r="LQQ54" s="4"/>
      <c r="LQR54" s="4"/>
      <c r="LQS54" s="4"/>
      <c r="LQT54" s="4"/>
      <c r="LQU54" s="4"/>
      <c r="LQV54" s="4"/>
      <c r="LQW54" s="4"/>
      <c r="LQX54" s="4"/>
      <c r="LQY54" s="4"/>
      <c r="LQZ54" s="4"/>
      <c r="LRA54" s="4"/>
      <c r="LRB54" s="4"/>
      <c r="LRC54" s="4"/>
      <c r="LRD54" s="4"/>
      <c r="LRE54" s="4"/>
      <c r="LRF54" s="4"/>
      <c r="LRG54" s="4"/>
      <c r="LRH54" s="4"/>
      <c r="LRI54" s="4"/>
      <c r="LRJ54" s="4"/>
      <c r="LRK54" s="4"/>
      <c r="LRL54" s="4"/>
      <c r="LRM54" s="4"/>
      <c r="LRN54" s="4"/>
      <c r="LRO54" s="4"/>
      <c r="LRP54" s="4"/>
      <c r="LRQ54" s="4"/>
      <c r="LRR54" s="4"/>
      <c r="LRS54" s="4"/>
      <c r="LRT54" s="4"/>
      <c r="LRU54" s="4"/>
      <c r="LRV54" s="4"/>
      <c r="LRW54" s="4"/>
      <c r="LRX54" s="4"/>
      <c r="LRY54" s="4"/>
      <c r="LRZ54" s="4"/>
      <c r="LSA54" s="4"/>
      <c r="LSB54" s="4"/>
      <c r="LSC54" s="4"/>
      <c r="LSD54" s="4"/>
      <c r="LSE54" s="4"/>
      <c r="LSF54" s="4"/>
      <c r="LSG54" s="4"/>
      <c r="LSH54" s="4"/>
      <c r="LSI54" s="4"/>
      <c r="LSJ54" s="4"/>
      <c r="LSK54" s="4"/>
      <c r="LSL54" s="4"/>
      <c r="LSM54" s="4"/>
      <c r="LSN54" s="4"/>
      <c r="LSO54" s="4"/>
      <c r="LSP54" s="4"/>
      <c r="LSQ54" s="4"/>
      <c r="LSR54" s="4"/>
      <c r="LSS54" s="4"/>
      <c r="LST54" s="4"/>
      <c r="LSU54" s="4"/>
      <c r="LSV54" s="4"/>
      <c r="LSW54" s="4"/>
      <c r="LSX54" s="4"/>
      <c r="LSY54" s="4"/>
      <c r="LSZ54" s="4"/>
      <c r="LTA54" s="4"/>
      <c r="LTB54" s="4"/>
      <c r="LTC54" s="4"/>
      <c r="LTD54" s="4"/>
      <c r="LTE54" s="4"/>
      <c r="LTF54" s="4"/>
      <c r="LTG54" s="4"/>
      <c r="LTH54" s="4"/>
      <c r="LTI54" s="4"/>
      <c r="LTJ54" s="4"/>
      <c r="LTK54" s="4"/>
      <c r="LTL54" s="4"/>
      <c r="LTM54" s="4"/>
      <c r="LTN54" s="4"/>
      <c r="LTO54" s="4"/>
      <c r="LTP54" s="4"/>
      <c r="LTQ54" s="4"/>
      <c r="LTR54" s="4"/>
      <c r="LTS54" s="4"/>
      <c r="LTT54" s="4"/>
      <c r="LTU54" s="4"/>
      <c r="LTV54" s="4"/>
      <c r="LTW54" s="4"/>
      <c r="LTX54" s="4"/>
      <c r="LTY54" s="4"/>
      <c r="LTZ54" s="4"/>
      <c r="LUA54" s="4"/>
      <c r="LUB54" s="4"/>
      <c r="LUC54" s="4"/>
      <c r="LUD54" s="4"/>
      <c r="LUE54" s="4"/>
      <c r="LUF54" s="4"/>
      <c r="LUG54" s="4"/>
      <c r="LUH54" s="4"/>
      <c r="LUI54" s="4"/>
      <c r="LUJ54" s="4"/>
      <c r="LUK54" s="4"/>
      <c r="LUL54" s="4"/>
      <c r="LUM54" s="4"/>
      <c r="LUN54" s="4"/>
      <c r="LUO54" s="4"/>
      <c r="LUP54" s="4"/>
      <c r="LUQ54" s="4"/>
      <c r="LUR54" s="4"/>
      <c r="LUS54" s="4"/>
      <c r="LUT54" s="4"/>
      <c r="LUU54" s="4"/>
      <c r="LUV54" s="4"/>
      <c r="LUW54" s="4"/>
      <c r="LUX54" s="4"/>
      <c r="LUY54" s="4"/>
      <c r="LUZ54" s="4"/>
      <c r="LVA54" s="4"/>
      <c r="LVB54" s="4"/>
      <c r="LVC54" s="4"/>
      <c r="LVD54" s="4"/>
      <c r="LVE54" s="4"/>
      <c r="LVF54" s="4"/>
      <c r="LVG54" s="4"/>
      <c r="LVH54" s="4"/>
      <c r="LVI54" s="4"/>
      <c r="LVJ54" s="4"/>
      <c r="LVK54" s="4"/>
      <c r="LVL54" s="4"/>
      <c r="LVM54" s="4"/>
      <c r="LVN54" s="4"/>
      <c r="LVO54" s="4"/>
      <c r="LVP54" s="4"/>
      <c r="LVQ54" s="4"/>
      <c r="LVR54" s="4"/>
      <c r="LVS54" s="4"/>
      <c r="LVT54" s="4"/>
      <c r="LVU54" s="4"/>
      <c r="LVV54" s="4"/>
      <c r="LVW54" s="4"/>
      <c r="LVX54" s="4"/>
      <c r="LVY54" s="4"/>
      <c r="LVZ54" s="4"/>
      <c r="LWA54" s="4"/>
      <c r="LWB54" s="4"/>
      <c r="LWC54" s="4"/>
      <c r="LWD54" s="4"/>
      <c r="LWE54" s="4"/>
      <c r="LWF54" s="4"/>
      <c r="LWG54" s="4"/>
      <c r="LWH54" s="4"/>
      <c r="LWI54" s="4"/>
      <c r="LWJ54" s="4"/>
      <c r="LWK54" s="4"/>
      <c r="LWL54" s="4"/>
      <c r="LWM54" s="4"/>
      <c r="LWN54" s="4"/>
      <c r="LWO54" s="4"/>
      <c r="LWP54" s="4"/>
      <c r="LWQ54" s="4"/>
      <c r="LWR54" s="4"/>
      <c r="LWS54" s="4"/>
      <c r="LWT54" s="4"/>
      <c r="LWU54" s="4"/>
      <c r="LWV54" s="4"/>
      <c r="LWW54" s="4"/>
      <c r="LWX54" s="4"/>
      <c r="LWY54" s="4"/>
      <c r="LWZ54" s="4"/>
      <c r="LXA54" s="4"/>
      <c r="LXB54" s="4"/>
      <c r="LXC54" s="4"/>
      <c r="LXD54" s="4"/>
      <c r="LXE54" s="4"/>
      <c r="LXF54" s="4"/>
      <c r="LXG54" s="4"/>
      <c r="LXH54" s="4"/>
      <c r="LXI54" s="4"/>
      <c r="LXJ54" s="4"/>
      <c r="LXK54" s="4"/>
      <c r="LXL54" s="4"/>
      <c r="LXM54" s="4"/>
      <c r="LXN54" s="4"/>
      <c r="LXO54" s="4"/>
      <c r="LXP54" s="4"/>
      <c r="LXQ54" s="4"/>
      <c r="LXR54" s="4"/>
      <c r="LXS54" s="4"/>
      <c r="LXT54" s="4"/>
      <c r="LXU54" s="4"/>
      <c r="LXV54" s="4"/>
      <c r="LXW54" s="4"/>
      <c r="LXX54" s="4"/>
      <c r="LXY54" s="4"/>
      <c r="LXZ54" s="4"/>
      <c r="LYA54" s="4"/>
      <c r="LYB54" s="4"/>
      <c r="LYC54" s="4"/>
      <c r="LYD54" s="4"/>
      <c r="LYE54" s="4"/>
      <c r="LYF54" s="4"/>
      <c r="LYG54" s="4"/>
      <c r="LYH54" s="4"/>
      <c r="LYI54" s="4"/>
      <c r="LYJ54" s="4"/>
      <c r="LYK54" s="4"/>
      <c r="LYL54" s="4"/>
      <c r="LYM54" s="4"/>
      <c r="LYN54" s="4"/>
      <c r="LYO54" s="4"/>
      <c r="LYP54" s="4"/>
      <c r="LYQ54" s="4"/>
      <c r="LYR54" s="4"/>
      <c r="LYS54" s="4"/>
      <c r="LYT54" s="4"/>
      <c r="LYU54" s="4"/>
      <c r="LYV54" s="4"/>
      <c r="LYW54" s="4"/>
      <c r="LYX54" s="4"/>
      <c r="LYY54" s="4"/>
      <c r="LYZ54" s="4"/>
      <c r="LZA54" s="4"/>
      <c r="LZB54" s="4"/>
      <c r="LZC54" s="4"/>
      <c r="LZD54" s="4"/>
      <c r="LZE54" s="4"/>
      <c r="LZF54" s="4"/>
      <c r="LZG54" s="4"/>
      <c r="LZH54" s="4"/>
      <c r="LZI54" s="4"/>
      <c r="LZJ54" s="4"/>
      <c r="LZK54" s="4"/>
      <c r="LZL54" s="4"/>
      <c r="LZM54" s="4"/>
      <c r="LZN54" s="4"/>
      <c r="LZO54" s="4"/>
      <c r="LZP54" s="4"/>
      <c r="LZQ54" s="4"/>
      <c r="LZR54" s="4"/>
      <c r="LZS54" s="4"/>
      <c r="LZT54" s="4"/>
      <c r="LZU54" s="4"/>
      <c r="LZV54" s="4"/>
      <c r="LZW54" s="4"/>
      <c r="LZX54" s="4"/>
      <c r="LZY54" s="4"/>
      <c r="LZZ54" s="4"/>
      <c r="MAA54" s="4"/>
      <c r="MAB54" s="4"/>
      <c r="MAC54" s="4"/>
      <c r="MAD54" s="4"/>
      <c r="MAE54" s="4"/>
      <c r="MAF54" s="4"/>
      <c r="MAG54" s="4"/>
      <c r="MAH54" s="4"/>
      <c r="MAI54" s="4"/>
      <c r="MAJ54" s="4"/>
      <c r="MAK54" s="4"/>
      <c r="MAL54" s="4"/>
      <c r="MAM54" s="4"/>
      <c r="MAN54" s="4"/>
      <c r="MAO54" s="4"/>
      <c r="MAP54" s="4"/>
      <c r="MAQ54" s="4"/>
      <c r="MAR54" s="4"/>
      <c r="MAS54" s="4"/>
      <c r="MAT54" s="4"/>
      <c r="MAU54" s="4"/>
      <c r="MAV54" s="4"/>
      <c r="MAW54" s="4"/>
      <c r="MAX54" s="4"/>
      <c r="MAY54" s="4"/>
      <c r="MAZ54" s="4"/>
      <c r="MBA54" s="4"/>
      <c r="MBB54" s="4"/>
      <c r="MBC54" s="4"/>
      <c r="MBD54" s="4"/>
      <c r="MBE54" s="4"/>
      <c r="MBF54" s="4"/>
      <c r="MBG54" s="4"/>
      <c r="MBH54" s="4"/>
      <c r="MBI54" s="4"/>
      <c r="MBJ54" s="4"/>
      <c r="MBK54" s="4"/>
      <c r="MBL54" s="4"/>
      <c r="MBM54" s="4"/>
      <c r="MBN54" s="4"/>
      <c r="MBO54" s="4"/>
      <c r="MBP54" s="4"/>
      <c r="MBQ54" s="4"/>
      <c r="MBR54" s="4"/>
      <c r="MBS54" s="4"/>
      <c r="MBT54" s="4"/>
      <c r="MBU54" s="4"/>
      <c r="MBV54" s="4"/>
      <c r="MBW54" s="4"/>
      <c r="MBX54" s="4"/>
      <c r="MBY54" s="4"/>
      <c r="MBZ54" s="4"/>
      <c r="MCA54" s="4"/>
      <c r="MCB54" s="4"/>
      <c r="MCC54" s="4"/>
      <c r="MCD54" s="4"/>
      <c r="MCE54" s="4"/>
      <c r="MCF54" s="4"/>
      <c r="MCG54" s="4"/>
      <c r="MCH54" s="4"/>
      <c r="MCI54" s="4"/>
      <c r="MCJ54" s="4"/>
      <c r="MCK54" s="4"/>
      <c r="MCL54" s="4"/>
      <c r="MCM54" s="4"/>
      <c r="MCN54" s="4"/>
      <c r="MCO54" s="4"/>
      <c r="MCP54" s="4"/>
      <c r="MCQ54" s="4"/>
      <c r="MCR54" s="4"/>
      <c r="MCS54" s="4"/>
      <c r="MCT54" s="4"/>
      <c r="MCU54" s="4"/>
      <c r="MCV54" s="4"/>
      <c r="MCW54" s="4"/>
      <c r="MCX54" s="4"/>
      <c r="MCY54" s="4"/>
      <c r="MCZ54" s="4"/>
      <c r="MDA54" s="4"/>
      <c r="MDB54" s="4"/>
      <c r="MDC54" s="4"/>
      <c r="MDD54" s="4"/>
      <c r="MDE54" s="4"/>
      <c r="MDF54" s="4"/>
      <c r="MDG54" s="4"/>
      <c r="MDH54" s="4"/>
      <c r="MDI54" s="4"/>
      <c r="MDJ54" s="4"/>
      <c r="MDK54" s="4"/>
      <c r="MDL54" s="4"/>
      <c r="MDM54" s="4"/>
      <c r="MDN54" s="4"/>
      <c r="MDO54" s="4"/>
      <c r="MDP54" s="4"/>
      <c r="MDQ54" s="4"/>
      <c r="MDR54" s="4"/>
      <c r="MDS54" s="4"/>
      <c r="MDT54" s="4"/>
      <c r="MDU54" s="4"/>
      <c r="MDV54" s="4"/>
      <c r="MDW54" s="4"/>
      <c r="MDX54" s="4"/>
      <c r="MDY54" s="4"/>
      <c r="MDZ54" s="4"/>
      <c r="MEA54" s="4"/>
      <c r="MEB54" s="4"/>
      <c r="MEC54" s="4"/>
      <c r="MED54" s="4"/>
      <c r="MEE54" s="4"/>
      <c r="MEF54" s="4"/>
      <c r="MEG54" s="4"/>
      <c r="MEH54" s="4"/>
      <c r="MEI54" s="4"/>
      <c r="MEJ54" s="4"/>
      <c r="MEK54" s="4"/>
      <c r="MEL54" s="4"/>
      <c r="MEM54" s="4"/>
      <c r="MEN54" s="4"/>
      <c r="MEO54" s="4"/>
      <c r="MEP54" s="4"/>
      <c r="MEQ54" s="4"/>
      <c r="MER54" s="4"/>
      <c r="MES54" s="4"/>
      <c r="MET54" s="4"/>
      <c r="MEU54" s="4"/>
      <c r="MEV54" s="4"/>
      <c r="MEW54" s="4"/>
      <c r="MEX54" s="4"/>
      <c r="MEY54" s="4"/>
      <c r="MEZ54" s="4"/>
      <c r="MFA54" s="4"/>
      <c r="MFB54" s="4"/>
      <c r="MFC54" s="4"/>
      <c r="MFD54" s="4"/>
      <c r="MFE54" s="4"/>
      <c r="MFF54" s="4"/>
      <c r="MFG54" s="4"/>
      <c r="MFH54" s="4"/>
      <c r="MFI54" s="4"/>
      <c r="MFJ54" s="4"/>
      <c r="MFK54" s="4"/>
      <c r="MFL54" s="4"/>
      <c r="MFM54" s="4"/>
      <c r="MFN54" s="4"/>
      <c r="MFO54" s="4"/>
      <c r="MFP54" s="4"/>
      <c r="MFQ54" s="4"/>
      <c r="MFR54" s="4"/>
      <c r="MFS54" s="4"/>
      <c r="MFT54" s="4"/>
      <c r="MFU54" s="4"/>
      <c r="MFV54" s="4"/>
      <c r="MFW54" s="4"/>
      <c r="MFX54" s="4"/>
      <c r="MFY54" s="4"/>
      <c r="MFZ54" s="4"/>
      <c r="MGA54" s="4"/>
      <c r="MGB54" s="4"/>
      <c r="MGC54" s="4"/>
      <c r="MGD54" s="4"/>
      <c r="MGE54" s="4"/>
      <c r="MGF54" s="4"/>
      <c r="MGG54" s="4"/>
      <c r="MGH54" s="4"/>
      <c r="MGI54" s="4"/>
      <c r="MGJ54" s="4"/>
      <c r="MGK54" s="4"/>
      <c r="MGL54" s="4"/>
      <c r="MGM54" s="4"/>
      <c r="MGN54" s="4"/>
      <c r="MGO54" s="4"/>
      <c r="MGP54" s="4"/>
      <c r="MGQ54" s="4"/>
      <c r="MGR54" s="4"/>
      <c r="MGS54" s="4"/>
      <c r="MGT54" s="4"/>
      <c r="MGU54" s="4"/>
      <c r="MGV54" s="4"/>
      <c r="MGW54" s="4"/>
      <c r="MGX54" s="4"/>
      <c r="MGY54" s="4"/>
      <c r="MGZ54" s="4"/>
      <c r="MHA54" s="4"/>
      <c r="MHB54" s="4"/>
      <c r="MHC54" s="4"/>
      <c r="MHD54" s="4"/>
      <c r="MHE54" s="4"/>
      <c r="MHF54" s="4"/>
      <c r="MHG54" s="4"/>
      <c r="MHH54" s="4"/>
      <c r="MHI54" s="4"/>
      <c r="MHJ54" s="4"/>
      <c r="MHK54" s="4"/>
      <c r="MHL54" s="4"/>
      <c r="MHM54" s="4"/>
      <c r="MHN54" s="4"/>
      <c r="MHO54" s="4"/>
      <c r="MHP54" s="4"/>
      <c r="MHQ54" s="4"/>
      <c r="MHR54" s="4"/>
      <c r="MHS54" s="4"/>
      <c r="MHT54" s="4"/>
      <c r="MHU54" s="4"/>
      <c r="MHV54" s="4"/>
      <c r="MHW54" s="4"/>
      <c r="MHX54" s="4"/>
      <c r="MHY54" s="4"/>
      <c r="MHZ54" s="4"/>
      <c r="MIA54" s="4"/>
      <c r="MIB54" s="4"/>
      <c r="MIC54" s="4"/>
      <c r="MID54" s="4"/>
      <c r="MIE54" s="4"/>
      <c r="MIF54" s="4"/>
      <c r="MIG54" s="4"/>
      <c r="MIH54" s="4"/>
      <c r="MII54" s="4"/>
      <c r="MIJ54" s="4"/>
      <c r="MIK54" s="4"/>
      <c r="MIL54" s="4"/>
      <c r="MIM54" s="4"/>
      <c r="MIN54" s="4"/>
      <c r="MIO54" s="4"/>
      <c r="MIP54" s="4"/>
      <c r="MIQ54" s="4"/>
      <c r="MIR54" s="4"/>
      <c r="MIS54" s="4"/>
      <c r="MIT54" s="4"/>
      <c r="MIU54" s="4"/>
      <c r="MIV54" s="4"/>
      <c r="MIW54" s="4"/>
      <c r="MIX54" s="4"/>
      <c r="MIY54" s="4"/>
      <c r="MIZ54" s="4"/>
      <c r="MJA54" s="4"/>
      <c r="MJB54" s="4"/>
      <c r="MJC54" s="4"/>
      <c r="MJD54" s="4"/>
      <c r="MJE54" s="4"/>
      <c r="MJF54" s="4"/>
      <c r="MJG54" s="4"/>
      <c r="MJH54" s="4"/>
      <c r="MJI54" s="4"/>
      <c r="MJJ54" s="4"/>
      <c r="MJK54" s="4"/>
      <c r="MJL54" s="4"/>
      <c r="MJM54" s="4"/>
      <c r="MJN54" s="4"/>
      <c r="MJO54" s="4"/>
      <c r="MJP54" s="4"/>
      <c r="MJQ54" s="4"/>
      <c r="MJR54" s="4"/>
      <c r="MJS54" s="4"/>
      <c r="MJT54" s="4"/>
      <c r="MJU54" s="4"/>
      <c r="MJV54" s="4"/>
      <c r="MJW54" s="4"/>
      <c r="MJX54" s="4"/>
      <c r="MJY54" s="4"/>
      <c r="MJZ54" s="4"/>
      <c r="MKA54" s="4"/>
      <c r="MKB54" s="4"/>
      <c r="MKC54" s="4"/>
      <c r="MKD54" s="4"/>
      <c r="MKE54" s="4"/>
      <c r="MKF54" s="4"/>
      <c r="MKG54" s="4"/>
      <c r="MKH54" s="4"/>
      <c r="MKI54" s="4"/>
      <c r="MKJ54" s="4"/>
      <c r="MKK54" s="4"/>
      <c r="MKL54" s="4"/>
      <c r="MKM54" s="4"/>
      <c r="MKN54" s="4"/>
      <c r="MKO54" s="4"/>
      <c r="MKP54" s="4"/>
      <c r="MKQ54" s="4"/>
      <c r="MKR54" s="4"/>
      <c r="MKS54" s="4"/>
      <c r="MKT54" s="4"/>
      <c r="MKU54" s="4"/>
      <c r="MKV54" s="4"/>
      <c r="MKW54" s="4"/>
      <c r="MKX54" s="4"/>
      <c r="MKY54" s="4"/>
      <c r="MKZ54" s="4"/>
      <c r="MLA54" s="4"/>
      <c r="MLB54" s="4"/>
      <c r="MLC54" s="4"/>
      <c r="MLD54" s="4"/>
      <c r="MLE54" s="4"/>
      <c r="MLF54" s="4"/>
      <c r="MLG54" s="4"/>
      <c r="MLH54" s="4"/>
      <c r="MLI54" s="4"/>
      <c r="MLJ54" s="4"/>
      <c r="MLK54" s="4"/>
      <c r="MLL54" s="4"/>
      <c r="MLM54" s="4"/>
      <c r="MLN54" s="4"/>
      <c r="MLO54" s="4"/>
      <c r="MLP54" s="4"/>
      <c r="MLQ54" s="4"/>
      <c r="MLR54" s="4"/>
      <c r="MLS54" s="4"/>
      <c r="MLT54" s="4"/>
      <c r="MLU54" s="4"/>
      <c r="MLV54" s="4"/>
      <c r="MLW54" s="4"/>
      <c r="MLX54" s="4"/>
      <c r="MLY54" s="4"/>
      <c r="MLZ54" s="4"/>
      <c r="MMA54" s="4"/>
      <c r="MMB54" s="4"/>
      <c r="MMC54" s="4"/>
      <c r="MMD54" s="4"/>
      <c r="MME54" s="4"/>
      <c r="MMF54" s="4"/>
      <c r="MMG54" s="4"/>
      <c r="MMH54" s="4"/>
      <c r="MMI54" s="4"/>
      <c r="MMJ54" s="4"/>
      <c r="MMK54" s="4"/>
      <c r="MML54" s="4"/>
      <c r="MMM54" s="4"/>
      <c r="MMN54" s="4"/>
      <c r="MMO54" s="4"/>
      <c r="MMP54" s="4"/>
      <c r="MMQ54" s="4"/>
      <c r="MMR54" s="4"/>
      <c r="MMS54" s="4"/>
      <c r="MMT54" s="4"/>
      <c r="MMU54" s="4"/>
      <c r="MMV54" s="4"/>
      <c r="MMW54" s="4"/>
      <c r="MMX54" s="4"/>
      <c r="MMY54" s="4"/>
      <c r="MMZ54" s="4"/>
      <c r="MNA54" s="4"/>
      <c r="MNB54" s="4"/>
      <c r="MNC54" s="4"/>
      <c r="MND54" s="4"/>
      <c r="MNE54" s="4"/>
      <c r="MNF54" s="4"/>
      <c r="MNG54" s="4"/>
      <c r="MNH54" s="4"/>
      <c r="MNI54" s="4"/>
      <c r="MNJ54" s="4"/>
      <c r="MNK54" s="4"/>
      <c r="MNL54" s="4"/>
      <c r="MNM54" s="4"/>
      <c r="MNN54" s="4"/>
      <c r="MNO54" s="4"/>
      <c r="MNP54" s="4"/>
      <c r="MNQ54" s="4"/>
      <c r="MNR54" s="4"/>
      <c r="MNS54" s="4"/>
      <c r="MNT54" s="4"/>
      <c r="MNU54" s="4"/>
      <c r="MNV54" s="4"/>
      <c r="MNW54" s="4"/>
      <c r="MNX54" s="4"/>
      <c r="MNY54" s="4"/>
      <c r="MNZ54" s="4"/>
      <c r="MOA54" s="4"/>
      <c r="MOB54" s="4"/>
      <c r="MOC54" s="4"/>
      <c r="MOD54" s="4"/>
      <c r="MOE54" s="4"/>
      <c r="MOF54" s="4"/>
      <c r="MOG54" s="4"/>
      <c r="MOH54" s="4"/>
      <c r="MOI54" s="4"/>
      <c r="MOJ54" s="4"/>
      <c r="MOK54" s="4"/>
      <c r="MOL54" s="4"/>
      <c r="MOM54" s="4"/>
      <c r="MON54" s="4"/>
      <c r="MOO54" s="4"/>
      <c r="MOP54" s="4"/>
      <c r="MOQ54" s="4"/>
      <c r="MOR54" s="4"/>
      <c r="MOS54" s="4"/>
      <c r="MOT54" s="4"/>
      <c r="MOU54" s="4"/>
      <c r="MOV54" s="4"/>
      <c r="MOW54" s="4"/>
      <c r="MOX54" s="4"/>
      <c r="MOY54" s="4"/>
      <c r="MOZ54" s="4"/>
      <c r="MPA54" s="4"/>
      <c r="MPB54" s="4"/>
      <c r="MPC54" s="4"/>
      <c r="MPD54" s="4"/>
      <c r="MPE54" s="4"/>
      <c r="MPF54" s="4"/>
      <c r="MPG54" s="4"/>
      <c r="MPH54" s="4"/>
      <c r="MPI54" s="4"/>
      <c r="MPJ54" s="4"/>
      <c r="MPK54" s="4"/>
      <c r="MPL54" s="4"/>
      <c r="MPM54" s="4"/>
      <c r="MPN54" s="4"/>
      <c r="MPO54" s="4"/>
      <c r="MPP54" s="4"/>
      <c r="MPQ54" s="4"/>
      <c r="MPR54" s="4"/>
      <c r="MPS54" s="4"/>
      <c r="MPT54" s="4"/>
      <c r="MPU54" s="4"/>
      <c r="MPV54" s="4"/>
      <c r="MPW54" s="4"/>
      <c r="MPX54" s="4"/>
      <c r="MPY54" s="4"/>
      <c r="MPZ54" s="4"/>
      <c r="MQA54" s="4"/>
      <c r="MQB54" s="4"/>
      <c r="MQC54" s="4"/>
      <c r="MQD54" s="4"/>
      <c r="MQE54" s="4"/>
      <c r="MQF54" s="4"/>
      <c r="MQG54" s="4"/>
      <c r="MQH54" s="4"/>
      <c r="MQI54" s="4"/>
      <c r="MQJ54" s="4"/>
      <c r="MQK54" s="4"/>
      <c r="MQL54" s="4"/>
      <c r="MQM54" s="4"/>
      <c r="MQN54" s="4"/>
      <c r="MQO54" s="4"/>
      <c r="MQP54" s="4"/>
      <c r="MQQ54" s="4"/>
      <c r="MQR54" s="4"/>
      <c r="MQS54" s="4"/>
      <c r="MQT54" s="4"/>
      <c r="MQU54" s="4"/>
      <c r="MQV54" s="4"/>
      <c r="MQW54" s="4"/>
      <c r="MQX54" s="4"/>
      <c r="MQY54" s="4"/>
      <c r="MQZ54" s="4"/>
      <c r="MRA54" s="4"/>
      <c r="MRB54" s="4"/>
      <c r="MRC54" s="4"/>
      <c r="MRD54" s="4"/>
      <c r="MRE54" s="4"/>
      <c r="MRF54" s="4"/>
      <c r="MRG54" s="4"/>
      <c r="MRH54" s="4"/>
      <c r="MRI54" s="4"/>
      <c r="MRJ54" s="4"/>
      <c r="MRK54" s="4"/>
      <c r="MRL54" s="4"/>
      <c r="MRM54" s="4"/>
      <c r="MRN54" s="4"/>
      <c r="MRO54" s="4"/>
      <c r="MRP54" s="4"/>
      <c r="MRQ54" s="4"/>
      <c r="MRR54" s="4"/>
      <c r="MRS54" s="4"/>
      <c r="MRT54" s="4"/>
      <c r="MRU54" s="4"/>
      <c r="MRV54" s="4"/>
      <c r="MRW54" s="4"/>
      <c r="MRX54" s="4"/>
      <c r="MRY54" s="4"/>
      <c r="MRZ54" s="4"/>
      <c r="MSA54" s="4"/>
      <c r="MSB54" s="4"/>
      <c r="MSC54" s="4"/>
      <c r="MSD54" s="4"/>
      <c r="MSE54" s="4"/>
      <c r="MSF54" s="4"/>
      <c r="MSG54" s="4"/>
      <c r="MSH54" s="4"/>
      <c r="MSI54" s="4"/>
      <c r="MSJ54" s="4"/>
      <c r="MSK54" s="4"/>
      <c r="MSL54" s="4"/>
      <c r="MSM54" s="4"/>
      <c r="MSN54" s="4"/>
      <c r="MSO54" s="4"/>
      <c r="MSP54" s="4"/>
      <c r="MSQ54" s="4"/>
      <c r="MSR54" s="4"/>
      <c r="MSS54" s="4"/>
      <c r="MST54" s="4"/>
      <c r="MSU54" s="4"/>
      <c r="MSV54" s="4"/>
      <c r="MSW54" s="4"/>
      <c r="MSX54" s="4"/>
      <c r="MSY54" s="4"/>
      <c r="MSZ54" s="4"/>
      <c r="MTA54" s="4"/>
      <c r="MTB54" s="4"/>
      <c r="MTC54" s="4"/>
      <c r="MTD54" s="4"/>
      <c r="MTE54" s="4"/>
      <c r="MTF54" s="4"/>
      <c r="MTG54" s="4"/>
      <c r="MTH54" s="4"/>
      <c r="MTI54" s="4"/>
      <c r="MTJ54" s="4"/>
      <c r="MTK54" s="4"/>
      <c r="MTL54" s="4"/>
      <c r="MTM54" s="4"/>
      <c r="MTN54" s="4"/>
      <c r="MTO54" s="4"/>
      <c r="MTP54" s="4"/>
      <c r="MTQ54" s="4"/>
      <c r="MTR54" s="4"/>
      <c r="MTS54" s="4"/>
      <c r="MTT54" s="4"/>
      <c r="MTU54" s="4"/>
      <c r="MTV54" s="4"/>
      <c r="MTW54" s="4"/>
      <c r="MTX54" s="4"/>
      <c r="MTY54" s="4"/>
      <c r="MTZ54" s="4"/>
      <c r="MUA54" s="4"/>
      <c r="MUB54" s="4"/>
      <c r="MUC54" s="4"/>
      <c r="MUD54" s="4"/>
      <c r="MUE54" s="4"/>
      <c r="MUF54" s="4"/>
      <c r="MUG54" s="4"/>
      <c r="MUH54" s="4"/>
      <c r="MUI54" s="4"/>
      <c r="MUJ54" s="4"/>
      <c r="MUK54" s="4"/>
      <c r="MUL54" s="4"/>
      <c r="MUM54" s="4"/>
      <c r="MUN54" s="4"/>
      <c r="MUO54" s="4"/>
      <c r="MUP54" s="4"/>
      <c r="MUQ54" s="4"/>
      <c r="MUR54" s="4"/>
      <c r="MUS54" s="4"/>
      <c r="MUT54" s="4"/>
      <c r="MUU54" s="4"/>
      <c r="MUV54" s="4"/>
      <c r="MUW54" s="4"/>
      <c r="MUX54" s="4"/>
      <c r="MUY54" s="4"/>
      <c r="MUZ54" s="4"/>
      <c r="MVA54" s="4"/>
      <c r="MVB54" s="4"/>
      <c r="MVC54" s="4"/>
      <c r="MVD54" s="4"/>
      <c r="MVE54" s="4"/>
      <c r="MVF54" s="4"/>
      <c r="MVG54" s="4"/>
      <c r="MVH54" s="4"/>
      <c r="MVI54" s="4"/>
      <c r="MVJ54" s="4"/>
      <c r="MVK54" s="4"/>
      <c r="MVL54" s="4"/>
      <c r="MVM54" s="4"/>
      <c r="MVN54" s="4"/>
      <c r="MVO54" s="4"/>
      <c r="MVP54" s="4"/>
      <c r="MVQ54" s="4"/>
      <c r="MVR54" s="4"/>
      <c r="MVS54" s="4"/>
      <c r="MVT54" s="4"/>
      <c r="MVU54" s="4"/>
      <c r="MVV54" s="4"/>
      <c r="MVW54" s="4"/>
      <c r="MVX54" s="4"/>
      <c r="MVY54" s="4"/>
      <c r="MVZ54" s="4"/>
      <c r="MWA54" s="4"/>
      <c r="MWB54" s="4"/>
      <c r="MWC54" s="4"/>
      <c r="MWD54" s="4"/>
      <c r="MWE54" s="4"/>
      <c r="MWF54" s="4"/>
      <c r="MWG54" s="4"/>
      <c r="MWH54" s="4"/>
      <c r="MWI54" s="4"/>
      <c r="MWJ54" s="4"/>
      <c r="MWK54" s="4"/>
      <c r="MWL54" s="4"/>
      <c r="MWM54" s="4"/>
      <c r="MWN54" s="4"/>
      <c r="MWO54" s="4"/>
      <c r="MWP54" s="4"/>
      <c r="MWQ54" s="4"/>
      <c r="MWR54" s="4"/>
      <c r="MWS54" s="4"/>
      <c r="MWT54" s="4"/>
      <c r="MWU54" s="4"/>
      <c r="MWV54" s="4"/>
      <c r="MWW54" s="4"/>
      <c r="MWX54" s="4"/>
      <c r="MWY54" s="4"/>
      <c r="MWZ54" s="4"/>
      <c r="MXA54" s="4"/>
      <c r="MXB54" s="4"/>
      <c r="MXC54" s="4"/>
      <c r="MXD54" s="4"/>
      <c r="MXE54" s="4"/>
      <c r="MXF54" s="4"/>
      <c r="MXG54" s="4"/>
      <c r="MXH54" s="4"/>
      <c r="MXI54" s="4"/>
      <c r="MXJ54" s="4"/>
      <c r="MXK54" s="4"/>
      <c r="MXL54" s="4"/>
      <c r="MXM54" s="4"/>
      <c r="MXN54" s="4"/>
      <c r="MXO54" s="4"/>
      <c r="MXP54" s="4"/>
      <c r="MXQ54" s="4"/>
      <c r="MXR54" s="4"/>
      <c r="MXS54" s="4"/>
      <c r="MXT54" s="4"/>
      <c r="MXU54" s="4"/>
      <c r="MXV54" s="4"/>
      <c r="MXW54" s="4"/>
      <c r="MXX54" s="4"/>
      <c r="MXY54" s="4"/>
      <c r="MXZ54" s="4"/>
      <c r="MYA54" s="4"/>
      <c r="MYB54" s="4"/>
      <c r="MYC54" s="4"/>
      <c r="MYD54" s="4"/>
      <c r="MYE54" s="4"/>
      <c r="MYF54" s="4"/>
      <c r="MYG54" s="4"/>
      <c r="MYH54" s="4"/>
      <c r="MYI54" s="4"/>
      <c r="MYJ54" s="4"/>
      <c r="MYK54" s="4"/>
      <c r="MYL54" s="4"/>
      <c r="MYM54" s="4"/>
      <c r="MYN54" s="4"/>
      <c r="MYO54" s="4"/>
      <c r="MYP54" s="4"/>
      <c r="MYQ54" s="4"/>
      <c r="MYR54" s="4"/>
      <c r="MYS54" s="4"/>
      <c r="MYT54" s="4"/>
      <c r="MYU54" s="4"/>
      <c r="MYV54" s="4"/>
      <c r="MYW54" s="4"/>
      <c r="MYX54" s="4"/>
      <c r="MYY54" s="4"/>
      <c r="MYZ54" s="4"/>
      <c r="MZA54" s="4"/>
      <c r="MZB54" s="4"/>
      <c r="MZC54" s="4"/>
      <c r="MZD54" s="4"/>
      <c r="MZE54" s="4"/>
      <c r="MZF54" s="4"/>
      <c r="MZG54" s="4"/>
      <c r="MZH54" s="4"/>
      <c r="MZI54" s="4"/>
      <c r="MZJ54" s="4"/>
      <c r="MZK54" s="4"/>
      <c r="MZL54" s="4"/>
      <c r="MZM54" s="4"/>
      <c r="MZN54" s="4"/>
      <c r="MZO54" s="4"/>
      <c r="MZP54" s="4"/>
      <c r="MZQ54" s="4"/>
      <c r="MZR54" s="4"/>
      <c r="MZS54" s="4"/>
      <c r="MZT54" s="4"/>
      <c r="MZU54" s="4"/>
      <c r="MZV54" s="4"/>
      <c r="MZW54" s="4"/>
      <c r="MZX54" s="4"/>
      <c r="MZY54" s="4"/>
      <c r="MZZ54" s="4"/>
      <c r="NAA54" s="4"/>
      <c r="NAB54" s="4"/>
      <c r="NAC54" s="4"/>
      <c r="NAD54" s="4"/>
      <c r="NAE54" s="4"/>
      <c r="NAF54" s="4"/>
      <c r="NAG54" s="4"/>
      <c r="NAH54" s="4"/>
      <c r="NAI54" s="4"/>
      <c r="NAJ54" s="4"/>
      <c r="NAK54" s="4"/>
      <c r="NAL54" s="4"/>
      <c r="NAM54" s="4"/>
      <c r="NAN54" s="4"/>
      <c r="NAO54" s="4"/>
      <c r="NAP54" s="4"/>
      <c r="NAQ54" s="4"/>
      <c r="NAR54" s="4"/>
      <c r="NAS54" s="4"/>
      <c r="NAT54" s="4"/>
      <c r="NAU54" s="4"/>
      <c r="NAV54" s="4"/>
      <c r="NAW54" s="4"/>
      <c r="NAX54" s="4"/>
      <c r="NAY54" s="4"/>
      <c r="NAZ54" s="4"/>
      <c r="NBA54" s="4"/>
      <c r="NBB54" s="4"/>
      <c r="NBC54" s="4"/>
      <c r="NBD54" s="4"/>
      <c r="NBE54" s="4"/>
      <c r="NBF54" s="4"/>
      <c r="NBG54" s="4"/>
      <c r="NBH54" s="4"/>
      <c r="NBI54" s="4"/>
      <c r="NBJ54" s="4"/>
      <c r="NBK54" s="4"/>
      <c r="NBL54" s="4"/>
      <c r="NBM54" s="4"/>
      <c r="NBN54" s="4"/>
      <c r="NBO54" s="4"/>
      <c r="NBP54" s="4"/>
      <c r="NBQ54" s="4"/>
      <c r="NBR54" s="4"/>
      <c r="NBS54" s="4"/>
      <c r="NBT54" s="4"/>
      <c r="NBU54" s="4"/>
      <c r="NBV54" s="4"/>
      <c r="NBW54" s="4"/>
      <c r="NBX54" s="4"/>
      <c r="NBY54" s="4"/>
      <c r="NBZ54" s="4"/>
      <c r="NCA54" s="4"/>
      <c r="NCB54" s="4"/>
      <c r="NCC54" s="4"/>
      <c r="NCD54" s="4"/>
      <c r="NCE54" s="4"/>
      <c r="NCF54" s="4"/>
      <c r="NCG54" s="4"/>
      <c r="NCH54" s="4"/>
      <c r="NCI54" s="4"/>
      <c r="NCJ54" s="4"/>
      <c r="NCK54" s="4"/>
      <c r="NCL54" s="4"/>
      <c r="NCM54" s="4"/>
      <c r="NCN54" s="4"/>
      <c r="NCO54" s="4"/>
      <c r="NCP54" s="4"/>
      <c r="NCQ54" s="4"/>
      <c r="NCR54" s="4"/>
      <c r="NCS54" s="4"/>
      <c r="NCT54" s="4"/>
      <c r="NCU54" s="4"/>
      <c r="NCV54" s="4"/>
      <c r="NCW54" s="4"/>
      <c r="NCX54" s="4"/>
      <c r="NCY54" s="4"/>
      <c r="NCZ54" s="4"/>
      <c r="NDA54" s="4"/>
      <c r="NDB54" s="4"/>
      <c r="NDC54" s="4"/>
      <c r="NDD54" s="4"/>
      <c r="NDE54" s="4"/>
      <c r="NDF54" s="4"/>
      <c r="NDG54" s="4"/>
      <c r="NDH54" s="4"/>
      <c r="NDI54" s="4"/>
      <c r="NDJ54" s="4"/>
      <c r="NDK54" s="4"/>
      <c r="NDL54" s="4"/>
      <c r="NDM54" s="4"/>
      <c r="NDN54" s="4"/>
      <c r="NDO54" s="4"/>
      <c r="NDP54" s="4"/>
      <c r="NDQ54" s="4"/>
      <c r="NDR54" s="4"/>
      <c r="NDS54" s="4"/>
      <c r="NDT54" s="4"/>
      <c r="NDU54" s="4"/>
      <c r="NDV54" s="4"/>
      <c r="NDW54" s="4"/>
      <c r="NDX54" s="4"/>
      <c r="NDY54" s="4"/>
      <c r="NDZ54" s="4"/>
      <c r="NEA54" s="4"/>
      <c r="NEB54" s="4"/>
      <c r="NEC54" s="4"/>
      <c r="NED54" s="4"/>
      <c r="NEE54" s="4"/>
      <c r="NEF54" s="4"/>
      <c r="NEG54" s="4"/>
      <c r="NEH54" s="4"/>
      <c r="NEI54" s="4"/>
      <c r="NEJ54" s="4"/>
      <c r="NEK54" s="4"/>
      <c r="NEL54" s="4"/>
      <c r="NEM54" s="4"/>
      <c r="NEN54" s="4"/>
      <c r="NEO54" s="4"/>
      <c r="NEP54" s="4"/>
      <c r="NEQ54" s="4"/>
      <c r="NER54" s="4"/>
      <c r="NES54" s="4"/>
      <c r="NET54" s="4"/>
      <c r="NEU54" s="4"/>
      <c r="NEV54" s="4"/>
      <c r="NEW54" s="4"/>
      <c r="NEX54" s="4"/>
      <c r="NEY54" s="4"/>
      <c r="NEZ54" s="4"/>
      <c r="NFA54" s="4"/>
      <c r="NFB54" s="4"/>
      <c r="NFC54" s="4"/>
      <c r="NFD54" s="4"/>
      <c r="NFE54" s="4"/>
      <c r="NFF54" s="4"/>
      <c r="NFG54" s="4"/>
      <c r="NFH54" s="4"/>
      <c r="NFI54" s="4"/>
      <c r="NFJ54" s="4"/>
      <c r="NFK54" s="4"/>
      <c r="NFL54" s="4"/>
      <c r="NFM54" s="4"/>
      <c r="NFN54" s="4"/>
      <c r="NFO54" s="4"/>
      <c r="NFP54" s="4"/>
      <c r="NFQ54" s="4"/>
      <c r="NFR54" s="4"/>
      <c r="NFS54" s="4"/>
      <c r="NFT54" s="4"/>
      <c r="NFU54" s="4"/>
      <c r="NFV54" s="4"/>
      <c r="NFW54" s="4"/>
      <c r="NFX54" s="4"/>
      <c r="NFY54" s="4"/>
      <c r="NFZ54" s="4"/>
      <c r="NGA54" s="4"/>
      <c r="NGB54" s="4"/>
      <c r="NGC54" s="4"/>
      <c r="NGD54" s="4"/>
      <c r="NGE54" s="4"/>
      <c r="NGF54" s="4"/>
      <c r="NGG54" s="4"/>
      <c r="NGH54" s="4"/>
      <c r="NGI54" s="4"/>
      <c r="NGJ54" s="4"/>
      <c r="NGK54" s="4"/>
      <c r="NGL54" s="4"/>
      <c r="NGM54" s="4"/>
      <c r="NGN54" s="4"/>
      <c r="NGO54" s="4"/>
      <c r="NGP54" s="4"/>
      <c r="NGQ54" s="4"/>
      <c r="NGR54" s="4"/>
      <c r="NGS54" s="4"/>
      <c r="NGT54" s="4"/>
      <c r="NGU54" s="4"/>
      <c r="NGV54" s="4"/>
      <c r="NGW54" s="4"/>
      <c r="NGX54" s="4"/>
      <c r="NGY54" s="4"/>
      <c r="NGZ54" s="4"/>
      <c r="NHA54" s="4"/>
      <c r="NHB54" s="4"/>
      <c r="NHC54" s="4"/>
      <c r="NHD54" s="4"/>
      <c r="NHE54" s="4"/>
      <c r="NHF54" s="4"/>
      <c r="NHG54" s="4"/>
      <c r="NHH54" s="4"/>
      <c r="NHI54" s="4"/>
      <c r="NHJ54" s="4"/>
      <c r="NHK54" s="4"/>
      <c r="NHL54" s="4"/>
      <c r="NHM54" s="4"/>
      <c r="NHN54" s="4"/>
      <c r="NHO54" s="4"/>
      <c r="NHP54" s="4"/>
      <c r="NHQ54" s="4"/>
      <c r="NHR54" s="4"/>
      <c r="NHS54" s="4"/>
      <c r="NHT54" s="4"/>
      <c r="NHU54" s="4"/>
      <c r="NHV54" s="4"/>
      <c r="NHW54" s="4"/>
      <c r="NHX54" s="4"/>
      <c r="NHY54" s="4"/>
      <c r="NHZ54" s="4"/>
      <c r="NIA54" s="4"/>
      <c r="NIB54" s="4"/>
      <c r="NIC54" s="4"/>
      <c r="NID54" s="4"/>
      <c r="NIE54" s="4"/>
      <c r="NIF54" s="4"/>
      <c r="NIG54" s="4"/>
      <c r="NIH54" s="4"/>
      <c r="NII54" s="4"/>
      <c r="NIJ54" s="4"/>
      <c r="NIK54" s="4"/>
      <c r="NIL54" s="4"/>
      <c r="NIM54" s="4"/>
      <c r="NIN54" s="4"/>
      <c r="NIO54" s="4"/>
      <c r="NIP54" s="4"/>
      <c r="NIQ54" s="4"/>
      <c r="NIR54" s="4"/>
      <c r="NIS54" s="4"/>
      <c r="NIT54" s="4"/>
      <c r="NIU54" s="4"/>
      <c r="NIV54" s="4"/>
      <c r="NIW54" s="4"/>
      <c r="NIX54" s="4"/>
      <c r="NIY54" s="4"/>
      <c r="NIZ54" s="4"/>
      <c r="NJA54" s="4"/>
      <c r="NJB54" s="4"/>
      <c r="NJC54" s="4"/>
      <c r="NJD54" s="4"/>
      <c r="NJE54" s="4"/>
      <c r="NJF54" s="4"/>
      <c r="NJG54" s="4"/>
      <c r="NJH54" s="4"/>
      <c r="NJI54" s="4"/>
      <c r="NJJ54" s="4"/>
      <c r="NJK54" s="4"/>
      <c r="NJL54" s="4"/>
      <c r="NJM54" s="4"/>
      <c r="NJN54" s="4"/>
      <c r="NJO54" s="4"/>
      <c r="NJP54" s="4"/>
      <c r="NJQ54" s="4"/>
      <c r="NJR54" s="4"/>
      <c r="NJS54" s="4"/>
      <c r="NJT54" s="4"/>
      <c r="NJU54" s="4"/>
      <c r="NJV54" s="4"/>
      <c r="NJW54" s="4"/>
      <c r="NJX54" s="4"/>
      <c r="NJY54" s="4"/>
      <c r="NJZ54" s="4"/>
      <c r="NKA54" s="4"/>
      <c r="NKB54" s="4"/>
      <c r="NKC54" s="4"/>
      <c r="NKD54" s="4"/>
      <c r="NKE54" s="4"/>
      <c r="NKF54" s="4"/>
      <c r="NKG54" s="4"/>
      <c r="NKH54" s="4"/>
      <c r="NKI54" s="4"/>
      <c r="NKJ54" s="4"/>
      <c r="NKK54" s="4"/>
      <c r="NKL54" s="4"/>
      <c r="NKM54" s="4"/>
      <c r="NKN54" s="4"/>
      <c r="NKO54" s="4"/>
      <c r="NKP54" s="4"/>
      <c r="NKQ54" s="4"/>
      <c r="NKR54" s="4"/>
      <c r="NKS54" s="4"/>
      <c r="NKT54" s="4"/>
      <c r="NKU54" s="4"/>
      <c r="NKV54" s="4"/>
      <c r="NKW54" s="4"/>
      <c r="NKX54" s="4"/>
      <c r="NKY54" s="4"/>
      <c r="NKZ54" s="4"/>
      <c r="NLA54" s="4"/>
      <c r="NLB54" s="4"/>
      <c r="NLC54" s="4"/>
      <c r="NLD54" s="4"/>
      <c r="NLE54" s="4"/>
      <c r="NLF54" s="4"/>
      <c r="NLG54" s="4"/>
      <c r="NLH54" s="4"/>
      <c r="NLI54" s="4"/>
      <c r="NLJ54" s="4"/>
      <c r="NLK54" s="4"/>
      <c r="NLL54" s="4"/>
      <c r="NLM54" s="4"/>
      <c r="NLN54" s="4"/>
      <c r="NLO54" s="4"/>
      <c r="NLP54" s="4"/>
      <c r="NLQ54" s="4"/>
      <c r="NLR54" s="4"/>
      <c r="NLS54" s="4"/>
      <c r="NLT54" s="4"/>
      <c r="NLU54" s="4"/>
      <c r="NLV54" s="4"/>
      <c r="NLW54" s="4"/>
      <c r="NLX54" s="4"/>
      <c r="NLY54" s="4"/>
      <c r="NLZ54" s="4"/>
      <c r="NMA54" s="4"/>
      <c r="NMB54" s="4"/>
      <c r="NMC54" s="4"/>
      <c r="NMD54" s="4"/>
      <c r="NME54" s="4"/>
      <c r="NMF54" s="4"/>
      <c r="NMG54" s="4"/>
      <c r="NMH54" s="4"/>
      <c r="NMI54" s="4"/>
      <c r="NMJ54" s="4"/>
      <c r="NMK54" s="4"/>
      <c r="NML54" s="4"/>
      <c r="NMM54" s="4"/>
      <c r="NMN54" s="4"/>
      <c r="NMO54" s="4"/>
      <c r="NMP54" s="4"/>
      <c r="NMQ54" s="4"/>
      <c r="NMR54" s="4"/>
      <c r="NMS54" s="4"/>
      <c r="NMT54" s="4"/>
      <c r="NMU54" s="4"/>
      <c r="NMV54" s="4"/>
      <c r="NMW54" s="4"/>
      <c r="NMX54" s="4"/>
      <c r="NMY54" s="4"/>
      <c r="NMZ54" s="4"/>
      <c r="NNA54" s="4"/>
      <c r="NNB54" s="4"/>
      <c r="NNC54" s="4"/>
      <c r="NND54" s="4"/>
      <c r="NNE54" s="4"/>
      <c r="NNF54" s="4"/>
      <c r="NNG54" s="4"/>
      <c r="NNH54" s="4"/>
      <c r="NNI54" s="4"/>
      <c r="NNJ54" s="4"/>
      <c r="NNK54" s="4"/>
      <c r="NNL54" s="4"/>
      <c r="NNM54" s="4"/>
      <c r="NNN54" s="4"/>
      <c r="NNO54" s="4"/>
      <c r="NNP54" s="4"/>
      <c r="NNQ54" s="4"/>
      <c r="NNR54" s="4"/>
      <c r="NNS54" s="4"/>
      <c r="NNT54" s="4"/>
      <c r="NNU54" s="4"/>
      <c r="NNV54" s="4"/>
      <c r="NNW54" s="4"/>
      <c r="NNX54" s="4"/>
      <c r="NNY54" s="4"/>
      <c r="NNZ54" s="4"/>
      <c r="NOA54" s="4"/>
      <c r="NOB54" s="4"/>
      <c r="NOC54" s="4"/>
      <c r="NOD54" s="4"/>
      <c r="NOE54" s="4"/>
      <c r="NOF54" s="4"/>
      <c r="NOG54" s="4"/>
      <c r="NOH54" s="4"/>
      <c r="NOI54" s="4"/>
      <c r="NOJ54" s="4"/>
      <c r="NOK54" s="4"/>
      <c r="NOL54" s="4"/>
      <c r="NOM54" s="4"/>
      <c r="NON54" s="4"/>
      <c r="NOO54" s="4"/>
      <c r="NOP54" s="4"/>
      <c r="NOQ54" s="4"/>
      <c r="NOR54" s="4"/>
      <c r="NOS54" s="4"/>
      <c r="NOT54" s="4"/>
      <c r="NOU54" s="4"/>
      <c r="NOV54" s="4"/>
      <c r="NOW54" s="4"/>
      <c r="NOX54" s="4"/>
      <c r="NOY54" s="4"/>
      <c r="NOZ54" s="4"/>
      <c r="NPA54" s="4"/>
      <c r="NPB54" s="4"/>
      <c r="NPC54" s="4"/>
      <c r="NPD54" s="4"/>
      <c r="NPE54" s="4"/>
      <c r="NPF54" s="4"/>
      <c r="NPG54" s="4"/>
      <c r="NPH54" s="4"/>
      <c r="NPI54" s="4"/>
      <c r="NPJ54" s="4"/>
      <c r="NPK54" s="4"/>
      <c r="NPL54" s="4"/>
      <c r="NPM54" s="4"/>
      <c r="NPN54" s="4"/>
      <c r="NPO54" s="4"/>
      <c r="NPP54" s="4"/>
      <c r="NPQ54" s="4"/>
      <c r="NPR54" s="4"/>
      <c r="NPS54" s="4"/>
      <c r="NPT54" s="4"/>
      <c r="NPU54" s="4"/>
      <c r="NPV54" s="4"/>
      <c r="NPW54" s="4"/>
      <c r="NPX54" s="4"/>
      <c r="NPY54" s="4"/>
      <c r="NPZ54" s="4"/>
      <c r="NQA54" s="4"/>
      <c r="NQB54" s="4"/>
      <c r="NQC54" s="4"/>
      <c r="NQD54" s="4"/>
      <c r="NQE54" s="4"/>
      <c r="NQF54" s="4"/>
      <c r="NQG54" s="4"/>
      <c r="NQH54" s="4"/>
      <c r="NQI54" s="4"/>
      <c r="NQJ54" s="4"/>
      <c r="NQK54" s="4"/>
      <c r="NQL54" s="4"/>
      <c r="NQM54" s="4"/>
      <c r="NQN54" s="4"/>
      <c r="NQO54" s="4"/>
      <c r="NQP54" s="4"/>
      <c r="NQQ54" s="4"/>
      <c r="NQR54" s="4"/>
      <c r="NQS54" s="4"/>
      <c r="NQT54" s="4"/>
      <c r="NQU54" s="4"/>
      <c r="NQV54" s="4"/>
      <c r="NQW54" s="4"/>
      <c r="NQX54" s="4"/>
      <c r="NQY54" s="4"/>
      <c r="NQZ54" s="4"/>
      <c r="NRA54" s="4"/>
      <c r="NRB54" s="4"/>
      <c r="NRC54" s="4"/>
      <c r="NRD54" s="4"/>
      <c r="NRE54" s="4"/>
      <c r="NRF54" s="4"/>
      <c r="NRG54" s="4"/>
      <c r="NRH54" s="4"/>
      <c r="NRI54" s="4"/>
      <c r="NRJ54" s="4"/>
      <c r="NRK54" s="4"/>
      <c r="NRL54" s="4"/>
      <c r="NRM54" s="4"/>
      <c r="NRN54" s="4"/>
      <c r="NRO54" s="4"/>
      <c r="NRP54" s="4"/>
      <c r="NRQ54" s="4"/>
      <c r="NRR54" s="4"/>
      <c r="NRS54" s="4"/>
      <c r="NRT54" s="4"/>
      <c r="NRU54" s="4"/>
      <c r="NRV54" s="4"/>
      <c r="NRW54" s="4"/>
      <c r="NRX54" s="4"/>
      <c r="NRY54" s="4"/>
      <c r="NRZ54" s="4"/>
      <c r="NSA54" s="4"/>
      <c r="NSB54" s="4"/>
      <c r="NSC54" s="4"/>
      <c r="NSD54" s="4"/>
      <c r="NSE54" s="4"/>
      <c r="NSF54" s="4"/>
      <c r="NSG54" s="4"/>
      <c r="NSH54" s="4"/>
      <c r="NSI54" s="4"/>
      <c r="NSJ54" s="4"/>
      <c r="NSK54" s="4"/>
      <c r="NSL54" s="4"/>
      <c r="NSM54" s="4"/>
      <c r="NSN54" s="4"/>
      <c r="NSO54" s="4"/>
      <c r="NSP54" s="4"/>
      <c r="NSQ54" s="4"/>
      <c r="NSR54" s="4"/>
      <c r="NSS54" s="4"/>
      <c r="NST54" s="4"/>
      <c r="NSU54" s="4"/>
      <c r="NSV54" s="4"/>
      <c r="NSW54" s="4"/>
      <c r="NSX54" s="4"/>
      <c r="NSY54" s="4"/>
      <c r="NSZ54" s="4"/>
      <c r="NTA54" s="4"/>
      <c r="NTB54" s="4"/>
      <c r="NTC54" s="4"/>
      <c r="NTD54" s="4"/>
      <c r="NTE54" s="4"/>
      <c r="NTF54" s="4"/>
      <c r="NTG54" s="4"/>
      <c r="NTH54" s="4"/>
      <c r="NTI54" s="4"/>
      <c r="NTJ54" s="4"/>
      <c r="NTK54" s="4"/>
      <c r="NTL54" s="4"/>
      <c r="NTM54" s="4"/>
      <c r="NTN54" s="4"/>
      <c r="NTO54" s="4"/>
      <c r="NTP54" s="4"/>
      <c r="NTQ54" s="4"/>
      <c r="NTR54" s="4"/>
      <c r="NTS54" s="4"/>
      <c r="NTT54" s="4"/>
      <c r="NTU54" s="4"/>
      <c r="NTV54" s="4"/>
      <c r="NTW54" s="4"/>
      <c r="NTX54" s="4"/>
      <c r="NTY54" s="4"/>
      <c r="NTZ54" s="4"/>
      <c r="NUA54" s="4"/>
      <c r="NUB54" s="4"/>
      <c r="NUC54" s="4"/>
      <c r="NUD54" s="4"/>
      <c r="NUE54" s="4"/>
      <c r="NUF54" s="4"/>
      <c r="NUG54" s="4"/>
      <c r="NUH54" s="4"/>
      <c r="NUI54" s="4"/>
      <c r="NUJ54" s="4"/>
      <c r="NUK54" s="4"/>
      <c r="NUL54" s="4"/>
      <c r="NUM54" s="4"/>
      <c r="NUN54" s="4"/>
      <c r="NUO54" s="4"/>
      <c r="NUP54" s="4"/>
      <c r="NUQ54" s="4"/>
      <c r="NUR54" s="4"/>
      <c r="NUS54" s="4"/>
      <c r="NUT54" s="4"/>
      <c r="NUU54" s="4"/>
      <c r="NUV54" s="4"/>
      <c r="NUW54" s="4"/>
      <c r="NUX54" s="4"/>
      <c r="NUY54" s="4"/>
      <c r="NUZ54" s="4"/>
      <c r="NVA54" s="4"/>
      <c r="NVB54" s="4"/>
      <c r="NVC54" s="4"/>
      <c r="NVD54" s="4"/>
      <c r="NVE54" s="4"/>
      <c r="NVF54" s="4"/>
      <c r="NVG54" s="4"/>
      <c r="NVH54" s="4"/>
      <c r="NVI54" s="4"/>
      <c r="NVJ54" s="4"/>
      <c r="NVK54" s="4"/>
      <c r="NVL54" s="4"/>
      <c r="NVM54" s="4"/>
      <c r="NVN54" s="4"/>
      <c r="NVO54" s="4"/>
      <c r="NVP54" s="4"/>
      <c r="NVQ54" s="4"/>
      <c r="NVR54" s="4"/>
      <c r="NVS54" s="4"/>
      <c r="NVT54" s="4"/>
      <c r="NVU54" s="4"/>
      <c r="NVV54" s="4"/>
      <c r="NVW54" s="4"/>
      <c r="NVX54" s="4"/>
      <c r="NVY54" s="4"/>
      <c r="NVZ54" s="4"/>
      <c r="NWA54" s="4"/>
      <c r="NWB54" s="4"/>
      <c r="NWC54" s="4"/>
      <c r="NWD54" s="4"/>
      <c r="NWE54" s="4"/>
      <c r="NWF54" s="4"/>
      <c r="NWG54" s="4"/>
      <c r="NWH54" s="4"/>
      <c r="NWI54" s="4"/>
      <c r="NWJ54" s="4"/>
      <c r="NWK54" s="4"/>
      <c r="NWL54" s="4"/>
      <c r="NWM54" s="4"/>
      <c r="NWN54" s="4"/>
      <c r="NWO54" s="4"/>
      <c r="NWP54" s="4"/>
      <c r="NWQ54" s="4"/>
      <c r="NWR54" s="4"/>
      <c r="NWS54" s="4"/>
      <c r="NWT54" s="4"/>
      <c r="NWU54" s="4"/>
      <c r="NWV54" s="4"/>
      <c r="NWW54" s="4"/>
      <c r="NWX54" s="4"/>
      <c r="NWY54" s="4"/>
      <c r="NWZ54" s="4"/>
      <c r="NXA54" s="4"/>
      <c r="NXB54" s="4"/>
      <c r="NXC54" s="4"/>
      <c r="NXD54" s="4"/>
      <c r="NXE54" s="4"/>
      <c r="NXF54" s="4"/>
      <c r="NXG54" s="4"/>
      <c r="NXH54" s="4"/>
      <c r="NXI54" s="4"/>
      <c r="NXJ54" s="4"/>
      <c r="NXK54" s="4"/>
      <c r="NXL54" s="4"/>
      <c r="NXM54" s="4"/>
      <c r="NXN54" s="4"/>
      <c r="NXO54" s="4"/>
      <c r="NXP54" s="4"/>
      <c r="NXQ54" s="4"/>
      <c r="NXR54" s="4"/>
      <c r="NXS54" s="4"/>
      <c r="NXT54" s="4"/>
      <c r="NXU54" s="4"/>
      <c r="NXV54" s="4"/>
      <c r="NXW54" s="4"/>
      <c r="NXX54" s="4"/>
      <c r="NXY54" s="4"/>
      <c r="NXZ54" s="4"/>
      <c r="NYA54" s="4"/>
      <c r="NYB54" s="4"/>
      <c r="NYC54" s="4"/>
      <c r="NYD54" s="4"/>
      <c r="NYE54" s="4"/>
      <c r="NYF54" s="4"/>
      <c r="NYG54" s="4"/>
      <c r="NYH54" s="4"/>
      <c r="NYI54" s="4"/>
      <c r="NYJ54" s="4"/>
      <c r="NYK54" s="4"/>
      <c r="NYL54" s="4"/>
      <c r="NYM54" s="4"/>
      <c r="NYN54" s="4"/>
      <c r="NYO54" s="4"/>
      <c r="NYP54" s="4"/>
      <c r="NYQ54" s="4"/>
      <c r="NYR54" s="4"/>
      <c r="NYS54" s="4"/>
      <c r="NYT54" s="4"/>
      <c r="NYU54" s="4"/>
      <c r="NYV54" s="4"/>
      <c r="NYW54" s="4"/>
      <c r="NYX54" s="4"/>
      <c r="NYY54" s="4"/>
      <c r="NYZ54" s="4"/>
      <c r="NZA54" s="4"/>
      <c r="NZB54" s="4"/>
      <c r="NZC54" s="4"/>
      <c r="NZD54" s="4"/>
      <c r="NZE54" s="4"/>
      <c r="NZF54" s="4"/>
      <c r="NZG54" s="4"/>
      <c r="NZH54" s="4"/>
      <c r="NZI54" s="4"/>
      <c r="NZJ54" s="4"/>
      <c r="NZK54" s="4"/>
      <c r="NZL54" s="4"/>
      <c r="NZM54" s="4"/>
      <c r="NZN54" s="4"/>
      <c r="NZO54" s="4"/>
      <c r="NZP54" s="4"/>
      <c r="NZQ54" s="4"/>
      <c r="NZR54" s="4"/>
      <c r="NZS54" s="4"/>
      <c r="NZT54" s="4"/>
      <c r="NZU54" s="4"/>
      <c r="NZV54" s="4"/>
      <c r="NZW54" s="4"/>
      <c r="NZX54" s="4"/>
      <c r="NZY54" s="4"/>
      <c r="NZZ54" s="4"/>
      <c r="OAA54" s="4"/>
      <c r="OAB54" s="4"/>
      <c r="OAC54" s="4"/>
      <c r="OAD54" s="4"/>
      <c r="OAE54" s="4"/>
      <c r="OAF54" s="4"/>
      <c r="OAG54" s="4"/>
      <c r="OAH54" s="4"/>
      <c r="OAI54" s="4"/>
      <c r="OAJ54" s="4"/>
      <c r="OAK54" s="4"/>
      <c r="OAL54" s="4"/>
      <c r="OAM54" s="4"/>
      <c r="OAN54" s="4"/>
      <c r="OAO54" s="4"/>
      <c r="OAP54" s="4"/>
      <c r="OAQ54" s="4"/>
      <c r="OAR54" s="4"/>
      <c r="OAS54" s="4"/>
      <c r="OAT54" s="4"/>
      <c r="OAU54" s="4"/>
      <c r="OAV54" s="4"/>
      <c r="OAW54" s="4"/>
      <c r="OAX54" s="4"/>
      <c r="OAY54" s="4"/>
      <c r="OAZ54" s="4"/>
      <c r="OBA54" s="4"/>
      <c r="OBB54" s="4"/>
      <c r="OBC54" s="4"/>
      <c r="OBD54" s="4"/>
      <c r="OBE54" s="4"/>
      <c r="OBF54" s="4"/>
      <c r="OBG54" s="4"/>
      <c r="OBH54" s="4"/>
      <c r="OBI54" s="4"/>
      <c r="OBJ54" s="4"/>
      <c r="OBK54" s="4"/>
      <c r="OBL54" s="4"/>
      <c r="OBM54" s="4"/>
      <c r="OBN54" s="4"/>
      <c r="OBO54" s="4"/>
      <c r="OBP54" s="4"/>
      <c r="OBQ54" s="4"/>
      <c r="OBR54" s="4"/>
      <c r="OBS54" s="4"/>
      <c r="OBT54" s="4"/>
      <c r="OBU54" s="4"/>
      <c r="OBV54" s="4"/>
      <c r="OBW54" s="4"/>
      <c r="OBX54" s="4"/>
      <c r="OBY54" s="4"/>
      <c r="OBZ54" s="4"/>
      <c r="OCA54" s="4"/>
      <c r="OCB54" s="4"/>
      <c r="OCC54" s="4"/>
      <c r="OCD54" s="4"/>
      <c r="OCE54" s="4"/>
      <c r="OCF54" s="4"/>
      <c r="OCG54" s="4"/>
      <c r="OCH54" s="4"/>
      <c r="OCI54" s="4"/>
      <c r="OCJ54" s="4"/>
      <c r="OCK54" s="4"/>
      <c r="OCL54" s="4"/>
      <c r="OCM54" s="4"/>
      <c r="OCN54" s="4"/>
      <c r="OCO54" s="4"/>
      <c r="OCP54" s="4"/>
      <c r="OCQ54" s="4"/>
      <c r="OCR54" s="4"/>
      <c r="OCS54" s="4"/>
      <c r="OCT54" s="4"/>
      <c r="OCU54" s="4"/>
      <c r="OCV54" s="4"/>
      <c r="OCW54" s="4"/>
      <c r="OCX54" s="4"/>
      <c r="OCY54" s="4"/>
      <c r="OCZ54" s="4"/>
      <c r="ODA54" s="4"/>
      <c r="ODB54" s="4"/>
      <c r="ODC54" s="4"/>
      <c r="ODD54" s="4"/>
      <c r="ODE54" s="4"/>
      <c r="ODF54" s="4"/>
      <c r="ODG54" s="4"/>
      <c r="ODH54" s="4"/>
      <c r="ODI54" s="4"/>
      <c r="ODJ54" s="4"/>
      <c r="ODK54" s="4"/>
      <c r="ODL54" s="4"/>
      <c r="ODM54" s="4"/>
      <c r="ODN54" s="4"/>
      <c r="ODO54" s="4"/>
      <c r="ODP54" s="4"/>
      <c r="ODQ54" s="4"/>
      <c r="ODR54" s="4"/>
      <c r="ODS54" s="4"/>
      <c r="ODT54" s="4"/>
      <c r="ODU54" s="4"/>
      <c r="ODV54" s="4"/>
      <c r="ODW54" s="4"/>
      <c r="ODX54" s="4"/>
      <c r="ODY54" s="4"/>
      <c r="ODZ54" s="4"/>
      <c r="OEA54" s="4"/>
      <c r="OEB54" s="4"/>
      <c r="OEC54" s="4"/>
      <c r="OED54" s="4"/>
      <c r="OEE54" s="4"/>
      <c r="OEF54" s="4"/>
      <c r="OEG54" s="4"/>
      <c r="OEH54" s="4"/>
      <c r="OEI54" s="4"/>
      <c r="OEJ54" s="4"/>
      <c r="OEK54" s="4"/>
      <c r="OEL54" s="4"/>
      <c r="OEM54" s="4"/>
      <c r="OEN54" s="4"/>
      <c r="OEO54" s="4"/>
      <c r="OEP54" s="4"/>
      <c r="OEQ54" s="4"/>
      <c r="OER54" s="4"/>
      <c r="OES54" s="4"/>
      <c r="OET54" s="4"/>
      <c r="OEU54" s="4"/>
      <c r="OEV54" s="4"/>
      <c r="OEW54" s="4"/>
      <c r="OEX54" s="4"/>
      <c r="OEY54" s="4"/>
      <c r="OEZ54" s="4"/>
      <c r="OFA54" s="4"/>
      <c r="OFB54" s="4"/>
      <c r="OFC54" s="4"/>
      <c r="OFD54" s="4"/>
      <c r="OFE54" s="4"/>
      <c r="OFF54" s="4"/>
      <c r="OFG54" s="4"/>
      <c r="OFH54" s="4"/>
      <c r="OFI54" s="4"/>
      <c r="OFJ54" s="4"/>
      <c r="OFK54" s="4"/>
      <c r="OFL54" s="4"/>
      <c r="OFM54" s="4"/>
      <c r="OFN54" s="4"/>
      <c r="OFO54" s="4"/>
      <c r="OFP54" s="4"/>
      <c r="OFQ54" s="4"/>
      <c r="OFR54" s="4"/>
      <c r="OFS54" s="4"/>
      <c r="OFT54" s="4"/>
      <c r="OFU54" s="4"/>
      <c r="OFV54" s="4"/>
      <c r="OFW54" s="4"/>
      <c r="OFX54" s="4"/>
      <c r="OFY54" s="4"/>
      <c r="OFZ54" s="4"/>
      <c r="OGA54" s="4"/>
      <c r="OGB54" s="4"/>
      <c r="OGC54" s="4"/>
      <c r="OGD54" s="4"/>
      <c r="OGE54" s="4"/>
      <c r="OGF54" s="4"/>
      <c r="OGG54" s="4"/>
      <c r="OGH54" s="4"/>
      <c r="OGI54" s="4"/>
      <c r="OGJ54" s="4"/>
      <c r="OGK54" s="4"/>
      <c r="OGL54" s="4"/>
      <c r="OGM54" s="4"/>
      <c r="OGN54" s="4"/>
      <c r="OGO54" s="4"/>
      <c r="OGP54" s="4"/>
      <c r="OGQ54" s="4"/>
      <c r="OGR54" s="4"/>
      <c r="OGS54" s="4"/>
      <c r="OGT54" s="4"/>
      <c r="OGU54" s="4"/>
      <c r="OGV54" s="4"/>
      <c r="OGW54" s="4"/>
      <c r="OGX54" s="4"/>
      <c r="OGY54" s="4"/>
      <c r="OGZ54" s="4"/>
      <c r="OHA54" s="4"/>
      <c r="OHB54" s="4"/>
      <c r="OHC54" s="4"/>
      <c r="OHD54" s="4"/>
      <c r="OHE54" s="4"/>
      <c r="OHF54" s="4"/>
      <c r="OHG54" s="4"/>
      <c r="OHH54" s="4"/>
      <c r="OHI54" s="4"/>
      <c r="OHJ54" s="4"/>
      <c r="OHK54" s="4"/>
      <c r="OHL54" s="4"/>
      <c r="OHM54" s="4"/>
      <c r="OHN54" s="4"/>
      <c r="OHO54" s="4"/>
      <c r="OHP54" s="4"/>
      <c r="OHQ54" s="4"/>
      <c r="OHR54" s="4"/>
      <c r="OHS54" s="4"/>
      <c r="OHT54" s="4"/>
      <c r="OHU54" s="4"/>
      <c r="OHV54" s="4"/>
      <c r="OHW54" s="4"/>
      <c r="OHX54" s="4"/>
      <c r="OHY54" s="4"/>
      <c r="OHZ54" s="4"/>
      <c r="OIA54" s="4"/>
      <c r="OIB54" s="4"/>
      <c r="OIC54" s="4"/>
      <c r="OID54" s="4"/>
      <c r="OIE54" s="4"/>
      <c r="OIF54" s="4"/>
      <c r="OIG54" s="4"/>
      <c r="OIH54" s="4"/>
      <c r="OII54" s="4"/>
      <c r="OIJ54" s="4"/>
      <c r="OIK54" s="4"/>
      <c r="OIL54" s="4"/>
      <c r="OIM54" s="4"/>
      <c r="OIN54" s="4"/>
      <c r="OIO54" s="4"/>
      <c r="OIP54" s="4"/>
      <c r="OIQ54" s="4"/>
      <c r="OIR54" s="4"/>
      <c r="OIS54" s="4"/>
      <c r="OIT54" s="4"/>
      <c r="OIU54" s="4"/>
      <c r="OIV54" s="4"/>
      <c r="OIW54" s="4"/>
      <c r="OIX54" s="4"/>
      <c r="OIY54" s="4"/>
      <c r="OIZ54" s="4"/>
      <c r="OJA54" s="4"/>
      <c r="OJB54" s="4"/>
      <c r="OJC54" s="4"/>
      <c r="OJD54" s="4"/>
      <c r="OJE54" s="4"/>
      <c r="OJF54" s="4"/>
      <c r="OJG54" s="4"/>
      <c r="OJH54" s="4"/>
      <c r="OJI54" s="4"/>
      <c r="OJJ54" s="4"/>
      <c r="OJK54" s="4"/>
      <c r="OJL54" s="4"/>
      <c r="OJM54" s="4"/>
      <c r="OJN54" s="4"/>
      <c r="OJO54" s="4"/>
      <c r="OJP54" s="4"/>
      <c r="OJQ54" s="4"/>
      <c r="OJR54" s="4"/>
      <c r="OJS54" s="4"/>
      <c r="OJT54" s="4"/>
      <c r="OJU54" s="4"/>
      <c r="OJV54" s="4"/>
      <c r="OJW54" s="4"/>
      <c r="OJX54" s="4"/>
      <c r="OJY54" s="4"/>
      <c r="OJZ54" s="4"/>
      <c r="OKA54" s="4"/>
      <c r="OKB54" s="4"/>
      <c r="OKC54" s="4"/>
      <c r="OKD54" s="4"/>
      <c r="OKE54" s="4"/>
      <c r="OKF54" s="4"/>
      <c r="OKG54" s="4"/>
      <c r="OKH54" s="4"/>
      <c r="OKI54" s="4"/>
      <c r="OKJ54" s="4"/>
      <c r="OKK54" s="4"/>
      <c r="OKL54" s="4"/>
      <c r="OKM54" s="4"/>
      <c r="OKN54" s="4"/>
      <c r="OKO54" s="4"/>
      <c r="OKP54" s="4"/>
      <c r="OKQ54" s="4"/>
      <c r="OKR54" s="4"/>
      <c r="OKS54" s="4"/>
      <c r="OKT54" s="4"/>
      <c r="OKU54" s="4"/>
      <c r="OKV54" s="4"/>
      <c r="OKW54" s="4"/>
      <c r="OKX54" s="4"/>
      <c r="OKY54" s="4"/>
      <c r="OKZ54" s="4"/>
      <c r="OLA54" s="4"/>
      <c r="OLB54" s="4"/>
      <c r="OLC54" s="4"/>
      <c r="OLD54" s="4"/>
      <c r="OLE54" s="4"/>
      <c r="OLF54" s="4"/>
      <c r="OLG54" s="4"/>
      <c r="OLH54" s="4"/>
      <c r="OLI54" s="4"/>
      <c r="OLJ54" s="4"/>
      <c r="OLK54" s="4"/>
      <c r="OLL54" s="4"/>
      <c r="OLM54" s="4"/>
      <c r="OLN54" s="4"/>
      <c r="OLO54" s="4"/>
      <c r="OLP54" s="4"/>
      <c r="OLQ54" s="4"/>
      <c r="OLR54" s="4"/>
      <c r="OLS54" s="4"/>
      <c r="OLT54" s="4"/>
      <c r="OLU54" s="4"/>
      <c r="OLV54" s="4"/>
      <c r="OLW54" s="4"/>
      <c r="OLX54" s="4"/>
      <c r="OLY54" s="4"/>
      <c r="OLZ54" s="4"/>
      <c r="OMA54" s="4"/>
      <c r="OMB54" s="4"/>
      <c r="OMC54" s="4"/>
      <c r="OMD54" s="4"/>
      <c r="OME54" s="4"/>
      <c r="OMF54" s="4"/>
      <c r="OMG54" s="4"/>
      <c r="OMH54" s="4"/>
      <c r="OMI54" s="4"/>
      <c r="OMJ54" s="4"/>
      <c r="OMK54" s="4"/>
      <c r="OML54" s="4"/>
      <c r="OMM54" s="4"/>
      <c r="OMN54" s="4"/>
      <c r="OMO54" s="4"/>
      <c r="OMP54" s="4"/>
      <c r="OMQ54" s="4"/>
      <c r="OMR54" s="4"/>
      <c r="OMS54" s="4"/>
      <c r="OMT54" s="4"/>
      <c r="OMU54" s="4"/>
      <c r="OMV54" s="4"/>
      <c r="OMW54" s="4"/>
      <c r="OMX54" s="4"/>
      <c r="OMY54" s="4"/>
      <c r="OMZ54" s="4"/>
      <c r="ONA54" s="4"/>
      <c r="ONB54" s="4"/>
      <c r="ONC54" s="4"/>
      <c r="OND54" s="4"/>
      <c r="ONE54" s="4"/>
      <c r="ONF54" s="4"/>
      <c r="ONG54" s="4"/>
      <c r="ONH54" s="4"/>
      <c r="ONI54" s="4"/>
      <c r="ONJ54" s="4"/>
      <c r="ONK54" s="4"/>
      <c r="ONL54" s="4"/>
      <c r="ONM54" s="4"/>
      <c r="ONN54" s="4"/>
      <c r="ONO54" s="4"/>
      <c r="ONP54" s="4"/>
      <c r="ONQ54" s="4"/>
      <c r="ONR54" s="4"/>
      <c r="ONS54" s="4"/>
      <c r="ONT54" s="4"/>
      <c r="ONU54" s="4"/>
      <c r="ONV54" s="4"/>
      <c r="ONW54" s="4"/>
      <c r="ONX54" s="4"/>
      <c r="ONY54" s="4"/>
      <c r="ONZ54" s="4"/>
      <c r="OOA54" s="4"/>
      <c r="OOB54" s="4"/>
      <c r="OOC54" s="4"/>
      <c r="OOD54" s="4"/>
      <c r="OOE54" s="4"/>
      <c r="OOF54" s="4"/>
      <c r="OOG54" s="4"/>
      <c r="OOH54" s="4"/>
      <c r="OOI54" s="4"/>
      <c r="OOJ54" s="4"/>
      <c r="OOK54" s="4"/>
      <c r="OOL54" s="4"/>
      <c r="OOM54" s="4"/>
      <c r="OON54" s="4"/>
      <c r="OOO54" s="4"/>
      <c r="OOP54" s="4"/>
      <c r="OOQ54" s="4"/>
      <c r="OOR54" s="4"/>
      <c r="OOS54" s="4"/>
      <c r="OOT54" s="4"/>
      <c r="OOU54" s="4"/>
      <c r="OOV54" s="4"/>
      <c r="OOW54" s="4"/>
      <c r="OOX54" s="4"/>
      <c r="OOY54" s="4"/>
      <c r="OOZ54" s="4"/>
      <c r="OPA54" s="4"/>
      <c r="OPB54" s="4"/>
      <c r="OPC54" s="4"/>
      <c r="OPD54" s="4"/>
      <c r="OPE54" s="4"/>
      <c r="OPF54" s="4"/>
      <c r="OPG54" s="4"/>
      <c r="OPH54" s="4"/>
      <c r="OPI54" s="4"/>
      <c r="OPJ54" s="4"/>
      <c r="OPK54" s="4"/>
      <c r="OPL54" s="4"/>
      <c r="OPM54" s="4"/>
      <c r="OPN54" s="4"/>
      <c r="OPO54" s="4"/>
      <c r="OPP54" s="4"/>
      <c r="OPQ54" s="4"/>
      <c r="OPR54" s="4"/>
      <c r="OPS54" s="4"/>
      <c r="OPT54" s="4"/>
      <c r="OPU54" s="4"/>
      <c r="OPV54" s="4"/>
      <c r="OPW54" s="4"/>
      <c r="OPX54" s="4"/>
      <c r="OPY54" s="4"/>
      <c r="OPZ54" s="4"/>
      <c r="OQA54" s="4"/>
      <c r="OQB54" s="4"/>
      <c r="OQC54" s="4"/>
      <c r="OQD54" s="4"/>
      <c r="OQE54" s="4"/>
      <c r="OQF54" s="4"/>
      <c r="OQG54" s="4"/>
      <c r="OQH54" s="4"/>
      <c r="OQI54" s="4"/>
      <c r="OQJ54" s="4"/>
      <c r="OQK54" s="4"/>
      <c r="OQL54" s="4"/>
      <c r="OQM54" s="4"/>
      <c r="OQN54" s="4"/>
      <c r="OQO54" s="4"/>
      <c r="OQP54" s="4"/>
      <c r="OQQ54" s="4"/>
      <c r="OQR54" s="4"/>
      <c r="OQS54" s="4"/>
      <c r="OQT54" s="4"/>
      <c r="OQU54" s="4"/>
      <c r="OQV54" s="4"/>
      <c r="OQW54" s="4"/>
      <c r="OQX54" s="4"/>
      <c r="OQY54" s="4"/>
      <c r="OQZ54" s="4"/>
      <c r="ORA54" s="4"/>
      <c r="ORB54" s="4"/>
      <c r="ORC54" s="4"/>
      <c r="ORD54" s="4"/>
      <c r="ORE54" s="4"/>
      <c r="ORF54" s="4"/>
      <c r="ORG54" s="4"/>
      <c r="ORH54" s="4"/>
      <c r="ORI54" s="4"/>
      <c r="ORJ54" s="4"/>
      <c r="ORK54" s="4"/>
      <c r="ORL54" s="4"/>
      <c r="ORM54" s="4"/>
      <c r="ORN54" s="4"/>
      <c r="ORO54" s="4"/>
      <c r="ORP54" s="4"/>
      <c r="ORQ54" s="4"/>
      <c r="ORR54" s="4"/>
      <c r="ORS54" s="4"/>
      <c r="ORT54" s="4"/>
      <c r="ORU54" s="4"/>
      <c r="ORV54" s="4"/>
      <c r="ORW54" s="4"/>
      <c r="ORX54" s="4"/>
      <c r="ORY54" s="4"/>
      <c r="ORZ54" s="4"/>
      <c r="OSA54" s="4"/>
      <c r="OSB54" s="4"/>
      <c r="OSC54" s="4"/>
      <c r="OSD54" s="4"/>
      <c r="OSE54" s="4"/>
      <c r="OSF54" s="4"/>
      <c r="OSG54" s="4"/>
      <c r="OSH54" s="4"/>
      <c r="OSI54" s="4"/>
      <c r="OSJ54" s="4"/>
      <c r="OSK54" s="4"/>
      <c r="OSL54" s="4"/>
      <c r="OSM54" s="4"/>
      <c r="OSN54" s="4"/>
      <c r="OSO54" s="4"/>
      <c r="OSP54" s="4"/>
      <c r="OSQ54" s="4"/>
      <c r="OSR54" s="4"/>
      <c r="OSS54" s="4"/>
      <c r="OST54" s="4"/>
      <c r="OSU54" s="4"/>
      <c r="OSV54" s="4"/>
      <c r="OSW54" s="4"/>
      <c r="OSX54" s="4"/>
      <c r="OSY54" s="4"/>
      <c r="OSZ54" s="4"/>
      <c r="OTA54" s="4"/>
      <c r="OTB54" s="4"/>
      <c r="OTC54" s="4"/>
      <c r="OTD54" s="4"/>
      <c r="OTE54" s="4"/>
      <c r="OTF54" s="4"/>
      <c r="OTG54" s="4"/>
      <c r="OTH54" s="4"/>
      <c r="OTI54" s="4"/>
      <c r="OTJ54" s="4"/>
      <c r="OTK54" s="4"/>
      <c r="OTL54" s="4"/>
      <c r="OTM54" s="4"/>
      <c r="OTN54" s="4"/>
      <c r="OTO54" s="4"/>
      <c r="OTP54" s="4"/>
      <c r="OTQ54" s="4"/>
      <c r="OTR54" s="4"/>
      <c r="OTS54" s="4"/>
      <c r="OTT54" s="4"/>
      <c r="OTU54" s="4"/>
      <c r="OTV54" s="4"/>
      <c r="OTW54" s="4"/>
      <c r="OTX54" s="4"/>
      <c r="OTY54" s="4"/>
      <c r="OTZ54" s="4"/>
      <c r="OUA54" s="4"/>
      <c r="OUB54" s="4"/>
      <c r="OUC54" s="4"/>
      <c r="OUD54" s="4"/>
      <c r="OUE54" s="4"/>
      <c r="OUF54" s="4"/>
      <c r="OUG54" s="4"/>
      <c r="OUH54" s="4"/>
      <c r="OUI54" s="4"/>
      <c r="OUJ54" s="4"/>
      <c r="OUK54" s="4"/>
      <c r="OUL54" s="4"/>
      <c r="OUM54" s="4"/>
      <c r="OUN54" s="4"/>
      <c r="OUO54" s="4"/>
      <c r="OUP54" s="4"/>
      <c r="OUQ54" s="4"/>
      <c r="OUR54" s="4"/>
      <c r="OUS54" s="4"/>
      <c r="OUT54" s="4"/>
      <c r="OUU54" s="4"/>
      <c r="OUV54" s="4"/>
      <c r="OUW54" s="4"/>
      <c r="OUX54" s="4"/>
      <c r="OUY54" s="4"/>
      <c r="OUZ54" s="4"/>
      <c r="OVA54" s="4"/>
      <c r="OVB54" s="4"/>
      <c r="OVC54" s="4"/>
      <c r="OVD54" s="4"/>
      <c r="OVE54" s="4"/>
      <c r="OVF54" s="4"/>
      <c r="OVG54" s="4"/>
      <c r="OVH54" s="4"/>
      <c r="OVI54" s="4"/>
      <c r="OVJ54" s="4"/>
      <c r="OVK54" s="4"/>
      <c r="OVL54" s="4"/>
      <c r="OVM54" s="4"/>
      <c r="OVN54" s="4"/>
      <c r="OVO54" s="4"/>
      <c r="OVP54" s="4"/>
      <c r="OVQ54" s="4"/>
      <c r="OVR54" s="4"/>
      <c r="OVS54" s="4"/>
      <c r="OVT54" s="4"/>
      <c r="OVU54" s="4"/>
      <c r="OVV54" s="4"/>
      <c r="OVW54" s="4"/>
      <c r="OVX54" s="4"/>
      <c r="OVY54" s="4"/>
      <c r="OVZ54" s="4"/>
      <c r="OWA54" s="4"/>
      <c r="OWB54" s="4"/>
      <c r="OWC54" s="4"/>
      <c r="OWD54" s="4"/>
      <c r="OWE54" s="4"/>
      <c r="OWF54" s="4"/>
      <c r="OWG54" s="4"/>
      <c r="OWH54" s="4"/>
      <c r="OWI54" s="4"/>
      <c r="OWJ54" s="4"/>
      <c r="OWK54" s="4"/>
      <c r="OWL54" s="4"/>
      <c r="OWM54" s="4"/>
      <c r="OWN54" s="4"/>
      <c r="OWO54" s="4"/>
      <c r="OWP54" s="4"/>
      <c r="OWQ54" s="4"/>
      <c r="OWR54" s="4"/>
      <c r="OWS54" s="4"/>
      <c r="OWT54" s="4"/>
      <c r="OWU54" s="4"/>
      <c r="OWV54" s="4"/>
      <c r="OWW54" s="4"/>
      <c r="OWX54" s="4"/>
      <c r="OWY54" s="4"/>
      <c r="OWZ54" s="4"/>
      <c r="OXA54" s="4"/>
      <c r="OXB54" s="4"/>
      <c r="OXC54" s="4"/>
      <c r="OXD54" s="4"/>
      <c r="OXE54" s="4"/>
      <c r="OXF54" s="4"/>
      <c r="OXG54" s="4"/>
      <c r="OXH54" s="4"/>
      <c r="OXI54" s="4"/>
      <c r="OXJ54" s="4"/>
      <c r="OXK54" s="4"/>
      <c r="OXL54" s="4"/>
      <c r="OXM54" s="4"/>
      <c r="OXN54" s="4"/>
      <c r="OXO54" s="4"/>
      <c r="OXP54" s="4"/>
      <c r="OXQ54" s="4"/>
      <c r="OXR54" s="4"/>
      <c r="OXS54" s="4"/>
      <c r="OXT54" s="4"/>
      <c r="OXU54" s="4"/>
      <c r="OXV54" s="4"/>
      <c r="OXW54" s="4"/>
      <c r="OXX54" s="4"/>
      <c r="OXY54" s="4"/>
      <c r="OXZ54" s="4"/>
      <c r="OYA54" s="4"/>
      <c r="OYB54" s="4"/>
      <c r="OYC54" s="4"/>
      <c r="OYD54" s="4"/>
      <c r="OYE54" s="4"/>
      <c r="OYF54" s="4"/>
      <c r="OYG54" s="4"/>
      <c r="OYH54" s="4"/>
      <c r="OYI54" s="4"/>
      <c r="OYJ54" s="4"/>
      <c r="OYK54" s="4"/>
      <c r="OYL54" s="4"/>
      <c r="OYM54" s="4"/>
      <c r="OYN54" s="4"/>
      <c r="OYO54" s="4"/>
      <c r="OYP54" s="4"/>
      <c r="OYQ54" s="4"/>
      <c r="OYR54" s="4"/>
      <c r="OYS54" s="4"/>
      <c r="OYT54" s="4"/>
      <c r="OYU54" s="4"/>
      <c r="OYV54" s="4"/>
      <c r="OYW54" s="4"/>
      <c r="OYX54" s="4"/>
      <c r="OYY54" s="4"/>
      <c r="OYZ54" s="4"/>
      <c r="OZA54" s="4"/>
      <c r="OZB54" s="4"/>
      <c r="OZC54" s="4"/>
      <c r="OZD54" s="4"/>
      <c r="OZE54" s="4"/>
      <c r="OZF54" s="4"/>
      <c r="OZG54" s="4"/>
      <c r="OZH54" s="4"/>
      <c r="OZI54" s="4"/>
      <c r="OZJ54" s="4"/>
      <c r="OZK54" s="4"/>
      <c r="OZL54" s="4"/>
      <c r="OZM54" s="4"/>
      <c r="OZN54" s="4"/>
      <c r="OZO54" s="4"/>
      <c r="OZP54" s="4"/>
      <c r="OZQ54" s="4"/>
      <c r="OZR54" s="4"/>
      <c r="OZS54" s="4"/>
      <c r="OZT54" s="4"/>
      <c r="OZU54" s="4"/>
      <c r="OZV54" s="4"/>
      <c r="OZW54" s="4"/>
      <c r="OZX54" s="4"/>
      <c r="OZY54" s="4"/>
      <c r="OZZ54" s="4"/>
      <c r="PAA54" s="4"/>
      <c r="PAB54" s="4"/>
      <c r="PAC54" s="4"/>
      <c r="PAD54" s="4"/>
      <c r="PAE54" s="4"/>
      <c r="PAF54" s="4"/>
      <c r="PAG54" s="4"/>
      <c r="PAH54" s="4"/>
      <c r="PAI54" s="4"/>
      <c r="PAJ54" s="4"/>
      <c r="PAK54" s="4"/>
      <c r="PAL54" s="4"/>
      <c r="PAM54" s="4"/>
      <c r="PAN54" s="4"/>
      <c r="PAO54" s="4"/>
      <c r="PAP54" s="4"/>
      <c r="PAQ54" s="4"/>
      <c r="PAR54" s="4"/>
      <c r="PAS54" s="4"/>
      <c r="PAT54" s="4"/>
      <c r="PAU54" s="4"/>
      <c r="PAV54" s="4"/>
      <c r="PAW54" s="4"/>
      <c r="PAX54" s="4"/>
      <c r="PAY54" s="4"/>
      <c r="PAZ54" s="4"/>
      <c r="PBA54" s="4"/>
      <c r="PBB54" s="4"/>
      <c r="PBC54" s="4"/>
      <c r="PBD54" s="4"/>
      <c r="PBE54" s="4"/>
      <c r="PBF54" s="4"/>
      <c r="PBG54" s="4"/>
      <c r="PBH54" s="4"/>
      <c r="PBI54" s="4"/>
      <c r="PBJ54" s="4"/>
      <c r="PBK54" s="4"/>
      <c r="PBL54" s="4"/>
      <c r="PBM54" s="4"/>
      <c r="PBN54" s="4"/>
      <c r="PBO54" s="4"/>
      <c r="PBP54" s="4"/>
      <c r="PBQ54" s="4"/>
      <c r="PBR54" s="4"/>
      <c r="PBS54" s="4"/>
      <c r="PBT54" s="4"/>
      <c r="PBU54" s="4"/>
      <c r="PBV54" s="4"/>
      <c r="PBW54" s="4"/>
      <c r="PBX54" s="4"/>
      <c r="PBY54" s="4"/>
      <c r="PBZ54" s="4"/>
      <c r="PCA54" s="4"/>
      <c r="PCB54" s="4"/>
      <c r="PCC54" s="4"/>
      <c r="PCD54" s="4"/>
      <c r="PCE54" s="4"/>
      <c r="PCF54" s="4"/>
      <c r="PCG54" s="4"/>
      <c r="PCH54" s="4"/>
      <c r="PCI54" s="4"/>
      <c r="PCJ54" s="4"/>
      <c r="PCK54" s="4"/>
      <c r="PCL54" s="4"/>
      <c r="PCM54" s="4"/>
      <c r="PCN54" s="4"/>
      <c r="PCO54" s="4"/>
      <c r="PCP54" s="4"/>
      <c r="PCQ54" s="4"/>
      <c r="PCR54" s="4"/>
      <c r="PCS54" s="4"/>
      <c r="PCT54" s="4"/>
      <c r="PCU54" s="4"/>
      <c r="PCV54" s="4"/>
      <c r="PCW54" s="4"/>
      <c r="PCX54" s="4"/>
      <c r="PCY54" s="4"/>
      <c r="PCZ54" s="4"/>
      <c r="PDA54" s="4"/>
      <c r="PDB54" s="4"/>
      <c r="PDC54" s="4"/>
      <c r="PDD54" s="4"/>
      <c r="PDE54" s="4"/>
      <c r="PDF54" s="4"/>
      <c r="PDG54" s="4"/>
      <c r="PDH54" s="4"/>
      <c r="PDI54" s="4"/>
      <c r="PDJ54" s="4"/>
      <c r="PDK54" s="4"/>
      <c r="PDL54" s="4"/>
      <c r="PDM54" s="4"/>
      <c r="PDN54" s="4"/>
      <c r="PDO54" s="4"/>
      <c r="PDP54" s="4"/>
      <c r="PDQ54" s="4"/>
      <c r="PDR54" s="4"/>
      <c r="PDS54" s="4"/>
      <c r="PDT54" s="4"/>
      <c r="PDU54" s="4"/>
      <c r="PDV54" s="4"/>
      <c r="PDW54" s="4"/>
      <c r="PDX54" s="4"/>
      <c r="PDY54" s="4"/>
      <c r="PDZ54" s="4"/>
      <c r="PEA54" s="4"/>
      <c r="PEB54" s="4"/>
      <c r="PEC54" s="4"/>
      <c r="PED54" s="4"/>
      <c r="PEE54" s="4"/>
      <c r="PEF54" s="4"/>
      <c r="PEG54" s="4"/>
      <c r="PEH54" s="4"/>
      <c r="PEI54" s="4"/>
      <c r="PEJ54" s="4"/>
      <c r="PEK54" s="4"/>
      <c r="PEL54" s="4"/>
      <c r="PEM54" s="4"/>
      <c r="PEN54" s="4"/>
      <c r="PEO54" s="4"/>
      <c r="PEP54" s="4"/>
      <c r="PEQ54" s="4"/>
      <c r="PER54" s="4"/>
      <c r="PES54" s="4"/>
      <c r="PET54" s="4"/>
      <c r="PEU54" s="4"/>
      <c r="PEV54" s="4"/>
      <c r="PEW54" s="4"/>
      <c r="PEX54" s="4"/>
      <c r="PEY54" s="4"/>
      <c r="PEZ54" s="4"/>
      <c r="PFA54" s="4"/>
      <c r="PFB54" s="4"/>
      <c r="PFC54" s="4"/>
      <c r="PFD54" s="4"/>
      <c r="PFE54" s="4"/>
      <c r="PFF54" s="4"/>
      <c r="PFG54" s="4"/>
      <c r="PFH54" s="4"/>
      <c r="PFI54" s="4"/>
      <c r="PFJ54" s="4"/>
      <c r="PFK54" s="4"/>
      <c r="PFL54" s="4"/>
      <c r="PFM54" s="4"/>
      <c r="PFN54" s="4"/>
      <c r="PFO54" s="4"/>
      <c r="PFP54" s="4"/>
      <c r="PFQ54" s="4"/>
      <c r="PFR54" s="4"/>
      <c r="PFS54" s="4"/>
      <c r="PFT54" s="4"/>
      <c r="PFU54" s="4"/>
      <c r="PFV54" s="4"/>
      <c r="PFW54" s="4"/>
      <c r="PFX54" s="4"/>
      <c r="PFY54" s="4"/>
      <c r="PFZ54" s="4"/>
      <c r="PGA54" s="4"/>
      <c r="PGB54" s="4"/>
      <c r="PGC54" s="4"/>
      <c r="PGD54" s="4"/>
      <c r="PGE54" s="4"/>
      <c r="PGF54" s="4"/>
      <c r="PGG54" s="4"/>
      <c r="PGH54" s="4"/>
      <c r="PGI54" s="4"/>
      <c r="PGJ54" s="4"/>
      <c r="PGK54" s="4"/>
      <c r="PGL54" s="4"/>
      <c r="PGM54" s="4"/>
      <c r="PGN54" s="4"/>
      <c r="PGO54" s="4"/>
      <c r="PGP54" s="4"/>
      <c r="PGQ54" s="4"/>
      <c r="PGR54" s="4"/>
      <c r="PGS54" s="4"/>
      <c r="PGT54" s="4"/>
      <c r="PGU54" s="4"/>
      <c r="PGV54" s="4"/>
      <c r="PGW54" s="4"/>
      <c r="PGX54" s="4"/>
      <c r="PGY54" s="4"/>
      <c r="PGZ54" s="4"/>
      <c r="PHA54" s="4"/>
      <c r="PHB54" s="4"/>
      <c r="PHC54" s="4"/>
      <c r="PHD54" s="4"/>
      <c r="PHE54" s="4"/>
      <c r="PHF54" s="4"/>
      <c r="PHG54" s="4"/>
      <c r="PHH54" s="4"/>
      <c r="PHI54" s="4"/>
      <c r="PHJ54" s="4"/>
      <c r="PHK54" s="4"/>
      <c r="PHL54" s="4"/>
      <c r="PHM54" s="4"/>
      <c r="PHN54" s="4"/>
      <c r="PHO54" s="4"/>
      <c r="PHP54" s="4"/>
      <c r="PHQ54" s="4"/>
      <c r="PHR54" s="4"/>
      <c r="PHS54" s="4"/>
      <c r="PHT54" s="4"/>
      <c r="PHU54" s="4"/>
      <c r="PHV54" s="4"/>
      <c r="PHW54" s="4"/>
      <c r="PHX54" s="4"/>
      <c r="PHY54" s="4"/>
      <c r="PHZ54" s="4"/>
      <c r="PIA54" s="4"/>
      <c r="PIB54" s="4"/>
      <c r="PIC54" s="4"/>
      <c r="PID54" s="4"/>
      <c r="PIE54" s="4"/>
      <c r="PIF54" s="4"/>
      <c r="PIG54" s="4"/>
      <c r="PIH54" s="4"/>
      <c r="PII54" s="4"/>
      <c r="PIJ54" s="4"/>
      <c r="PIK54" s="4"/>
      <c r="PIL54" s="4"/>
      <c r="PIM54" s="4"/>
      <c r="PIN54" s="4"/>
      <c r="PIO54" s="4"/>
      <c r="PIP54" s="4"/>
      <c r="PIQ54" s="4"/>
      <c r="PIR54" s="4"/>
      <c r="PIS54" s="4"/>
      <c r="PIT54" s="4"/>
      <c r="PIU54" s="4"/>
      <c r="PIV54" s="4"/>
      <c r="PIW54" s="4"/>
      <c r="PIX54" s="4"/>
      <c r="PIY54" s="4"/>
      <c r="PIZ54" s="4"/>
      <c r="PJA54" s="4"/>
      <c r="PJB54" s="4"/>
      <c r="PJC54" s="4"/>
      <c r="PJD54" s="4"/>
      <c r="PJE54" s="4"/>
      <c r="PJF54" s="4"/>
      <c r="PJG54" s="4"/>
      <c r="PJH54" s="4"/>
      <c r="PJI54" s="4"/>
      <c r="PJJ54" s="4"/>
      <c r="PJK54" s="4"/>
      <c r="PJL54" s="4"/>
      <c r="PJM54" s="4"/>
      <c r="PJN54" s="4"/>
      <c r="PJO54" s="4"/>
      <c r="PJP54" s="4"/>
      <c r="PJQ54" s="4"/>
      <c r="PJR54" s="4"/>
      <c r="PJS54" s="4"/>
      <c r="PJT54" s="4"/>
      <c r="PJU54" s="4"/>
      <c r="PJV54" s="4"/>
      <c r="PJW54" s="4"/>
      <c r="PJX54" s="4"/>
      <c r="PJY54" s="4"/>
      <c r="PJZ54" s="4"/>
      <c r="PKA54" s="4"/>
      <c r="PKB54" s="4"/>
      <c r="PKC54" s="4"/>
      <c r="PKD54" s="4"/>
      <c r="PKE54" s="4"/>
      <c r="PKF54" s="4"/>
      <c r="PKG54" s="4"/>
      <c r="PKH54" s="4"/>
      <c r="PKI54" s="4"/>
      <c r="PKJ54" s="4"/>
      <c r="PKK54" s="4"/>
      <c r="PKL54" s="4"/>
      <c r="PKM54" s="4"/>
      <c r="PKN54" s="4"/>
      <c r="PKO54" s="4"/>
      <c r="PKP54" s="4"/>
      <c r="PKQ54" s="4"/>
      <c r="PKR54" s="4"/>
      <c r="PKS54" s="4"/>
      <c r="PKT54" s="4"/>
      <c r="PKU54" s="4"/>
      <c r="PKV54" s="4"/>
      <c r="PKW54" s="4"/>
      <c r="PKX54" s="4"/>
      <c r="PKY54" s="4"/>
      <c r="PKZ54" s="4"/>
      <c r="PLA54" s="4"/>
      <c r="PLB54" s="4"/>
      <c r="PLC54" s="4"/>
      <c r="PLD54" s="4"/>
      <c r="PLE54" s="4"/>
      <c r="PLF54" s="4"/>
      <c r="PLG54" s="4"/>
      <c r="PLH54" s="4"/>
      <c r="PLI54" s="4"/>
      <c r="PLJ54" s="4"/>
      <c r="PLK54" s="4"/>
      <c r="PLL54" s="4"/>
      <c r="PLM54" s="4"/>
      <c r="PLN54" s="4"/>
      <c r="PLO54" s="4"/>
      <c r="PLP54" s="4"/>
      <c r="PLQ54" s="4"/>
      <c r="PLR54" s="4"/>
      <c r="PLS54" s="4"/>
      <c r="PLT54" s="4"/>
      <c r="PLU54" s="4"/>
      <c r="PLV54" s="4"/>
      <c r="PLW54" s="4"/>
      <c r="PLX54" s="4"/>
      <c r="PLY54" s="4"/>
      <c r="PLZ54" s="4"/>
      <c r="PMA54" s="4"/>
      <c r="PMB54" s="4"/>
      <c r="PMC54" s="4"/>
      <c r="PMD54" s="4"/>
      <c r="PME54" s="4"/>
      <c r="PMF54" s="4"/>
      <c r="PMG54" s="4"/>
      <c r="PMH54" s="4"/>
      <c r="PMI54" s="4"/>
      <c r="PMJ54" s="4"/>
      <c r="PMK54" s="4"/>
      <c r="PML54" s="4"/>
      <c r="PMM54" s="4"/>
      <c r="PMN54" s="4"/>
      <c r="PMO54" s="4"/>
      <c r="PMP54" s="4"/>
      <c r="PMQ54" s="4"/>
      <c r="PMR54" s="4"/>
      <c r="PMS54" s="4"/>
      <c r="PMT54" s="4"/>
      <c r="PMU54" s="4"/>
      <c r="PMV54" s="4"/>
      <c r="PMW54" s="4"/>
      <c r="PMX54" s="4"/>
      <c r="PMY54" s="4"/>
      <c r="PMZ54" s="4"/>
      <c r="PNA54" s="4"/>
      <c r="PNB54" s="4"/>
      <c r="PNC54" s="4"/>
      <c r="PND54" s="4"/>
      <c r="PNE54" s="4"/>
      <c r="PNF54" s="4"/>
      <c r="PNG54" s="4"/>
      <c r="PNH54" s="4"/>
      <c r="PNI54" s="4"/>
      <c r="PNJ54" s="4"/>
      <c r="PNK54" s="4"/>
      <c r="PNL54" s="4"/>
      <c r="PNM54" s="4"/>
      <c r="PNN54" s="4"/>
      <c r="PNO54" s="4"/>
      <c r="PNP54" s="4"/>
      <c r="PNQ54" s="4"/>
      <c r="PNR54" s="4"/>
      <c r="PNS54" s="4"/>
      <c r="PNT54" s="4"/>
      <c r="PNU54" s="4"/>
      <c r="PNV54" s="4"/>
      <c r="PNW54" s="4"/>
      <c r="PNX54" s="4"/>
      <c r="PNY54" s="4"/>
      <c r="PNZ54" s="4"/>
      <c r="POA54" s="4"/>
      <c r="POB54" s="4"/>
      <c r="POC54" s="4"/>
      <c r="POD54" s="4"/>
      <c r="POE54" s="4"/>
      <c r="POF54" s="4"/>
      <c r="POG54" s="4"/>
      <c r="POH54" s="4"/>
      <c r="POI54" s="4"/>
      <c r="POJ54" s="4"/>
      <c r="POK54" s="4"/>
      <c r="POL54" s="4"/>
      <c r="POM54" s="4"/>
      <c r="PON54" s="4"/>
      <c r="POO54" s="4"/>
      <c r="POP54" s="4"/>
      <c r="POQ54" s="4"/>
      <c r="POR54" s="4"/>
      <c r="POS54" s="4"/>
      <c r="POT54" s="4"/>
      <c r="POU54" s="4"/>
      <c r="POV54" s="4"/>
      <c r="POW54" s="4"/>
      <c r="POX54" s="4"/>
      <c r="POY54" s="4"/>
      <c r="POZ54" s="4"/>
      <c r="PPA54" s="4"/>
      <c r="PPB54" s="4"/>
      <c r="PPC54" s="4"/>
      <c r="PPD54" s="4"/>
      <c r="PPE54" s="4"/>
      <c r="PPF54" s="4"/>
      <c r="PPG54" s="4"/>
      <c r="PPH54" s="4"/>
      <c r="PPI54" s="4"/>
      <c r="PPJ54" s="4"/>
      <c r="PPK54" s="4"/>
      <c r="PPL54" s="4"/>
      <c r="PPM54" s="4"/>
      <c r="PPN54" s="4"/>
      <c r="PPO54" s="4"/>
      <c r="PPP54" s="4"/>
      <c r="PPQ54" s="4"/>
      <c r="PPR54" s="4"/>
      <c r="PPS54" s="4"/>
      <c r="PPT54" s="4"/>
      <c r="PPU54" s="4"/>
      <c r="PPV54" s="4"/>
      <c r="PPW54" s="4"/>
      <c r="PPX54" s="4"/>
      <c r="PPY54" s="4"/>
      <c r="PPZ54" s="4"/>
      <c r="PQA54" s="4"/>
      <c r="PQB54" s="4"/>
      <c r="PQC54" s="4"/>
      <c r="PQD54" s="4"/>
      <c r="PQE54" s="4"/>
      <c r="PQF54" s="4"/>
      <c r="PQG54" s="4"/>
      <c r="PQH54" s="4"/>
      <c r="PQI54" s="4"/>
      <c r="PQJ54" s="4"/>
      <c r="PQK54" s="4"/>
      <c r="PQL54" s="4"/>
      <c r="PQM54" s="4"/>
      <c r="PQN54" s="4"/>
      <c r="PQO54" s="4"/>
      <c r="PQP54" s="4"/>
      <c r="PQQ54" s="4"/>
      <c r="PQR54" s="4"/>
      <c r="PQS54" s="4"/>
      <c r="PQT54" s="4"/>
      <c r="PQU54" s="4"/>
      <c r="PQV54" s="4"/>
      <c r="PQW54" s="4"/>
      <c r="PQX54" s="4"/>
      <c r="PQY54" s="4"/>
      <c r="PQZ54" s="4"/>
      <c r="PRA54" s="4"/>
      <c r="PRB54" s="4"/>
      <c r="PRC54" s="4"/>
      <c r="PRD54" s="4"/>
      <c r="PRE54" s="4"/>
      <c r="PRF54" s="4"/>
      <c r="PRG54" s="4"/>
      <c r="PRH54" s="4"/>
      <c r="PRI54" s="4"/>
      <c r="PRJ54" s="4"/>
      <c r="PRK54" s="4"/>
      <c r="PRL54" s="4"/>
      <c r="PRM54" s="4"/>
      <c r="PRN54" s="4"/>
      <c r="PRO54" s="4"/>
      <c r="PRP54" s="4"/>
      <c r="PRQ54" s="4"/>
      <c r="PRR54" s="4"/>
      <c r="PRS54" s="4"/>
      <c r="PRT54" s="4"/>
      <c r="PRU54" s="4"/>
      <c r="PRV54" s="4"/>
      <c r="PRW54" s="4"/>
      <c r="PRX54" s="4"/>
      <c r="PRY54" s="4"/>
      <c r="PRZ54" s="4"/>
      <c r="PSA54" s="4"/>
      <c r="PSB54" s="4"/>
      <c r="PSC54" s="4"/>
      <c r="PSD54" s="4"/>
      <c r="PSE54" s="4"/>
      <c r="PSF54" s="4"/>
      <c r="PSG54" s="4"/>
      <c r="PSH54" s="4"/>
      <c r="PSI54" s="4"/>
      <c r="PSJ54" s="4"/>
      <c r="PSK54" s="4"/>
      <c r="PSL54" s="4"/>
      <c r="PSM54" s="4"/>
      <c r="PSN54" s="4"/>
      <c r="PSO54" s="4"/>
      <c r="PSP54" s="4"/>
      <c r="PSQ54" s="4"/>
      <c r="PSR54" s="4"/>
      <c r="PSS54" s="4"/>
      <c r="PST54" s="4"/>
      <c r="PSU54" s="4"/>
      <c r="PSV54" s="4"/>
      <c r="PSW54" s="4"/>
      <c r="PSX54" s="4"/>
      <c r="PSY54" s="4"/>
      <c r="PSZ54" s="4"/>
      <c r="PTA54" s="4"/>
      <c r="PTB54" s="4"/>
      <c r="PTC54" s="4"/>
      <c r="PTD54" s="4"/>
      <c r="PTE54" s="4"/>
      <c r="PTF54" s="4"/>
      <c r="PTG54" s="4"/>
      <c r="PTH54" s="4"/>
      <c r="PTI54" s="4"/>
      <c r="PTJ54" s="4"/>
      <c r="PTK54" s="4"/>
      <c r="PTL54" s="4"/>
      <c r="PTM54" s="4"/>
      <c r="PTN54" s="4"/>
      <c r="PTO54" s="4"/>
      <c r="PTP54" s="4"/>
      <c r="PTQ54" s="4"/>
      <c r="PTR54" s="4"/>
      <c r="PTS54" s="4"/>
      <c r="PTT54" s="4"/>
      <c r="PTU54" s="4"/>
      <c r="PTV54" s="4"/>
      <c r="PTW54" s="4"/>
      <c r="PTX54" s="4"/>
      <c r="PTY54" s="4"/>
      <c r="PTZ54" s="4"/>
      <c r="PUA54" s="4"/>
      <c r="PUB54" s="4"/>
      <c r="PUC54" s="4"/>
      <c r="PUD54" s="4"/>
      <c r="PUE54" s="4"/>
      <c r="PUF54" s="4"/>
      <c r="PUG54" s="4"/>
      <c r="PUH54" s="4"/>
      <c r="PUI54" s="4"/>
      <c r="PUJ54" s="4"/>
      <c r="PUK54" s="4"/>
      <c r="PUL54" s="4"/>
      <c r="PUM54" s="4"/>
      <c r="PUN54" s="4"/>
      <c r="PUO54" s="4"/>
      <c r="PUP54" s="4"/>
      <c r="PUQ54" s="4"/>
      <c r="PUR54" s="4"/>
      <c r="PUS54" s="4"/>
      <c r="PUT54" s="4"/>
      <c r="PUU54" s="4"/>
      <c r="PUV54" s="4"/>
      <c r="PUW54" s="4"/>
      <c r="PUX54" s="4"/>
      <c r="PUY54" s="4"/>
      <c r="PUZ54" s="4"/>
      <c r="PVA54" s="4"/>
      <c r="PVB54" s="4"/>
      <c r="PVC54" s="4"/>
      <c r="PVD54" s="4"/>
      <c r="PVE54" s="4"/>
      <c r="PVF54" s="4"/>
      <c r="PVG54" s="4"/>
      <c r="PVH54" s="4"/>
      <c r="PVI54" s="4"/>
      <c r="PVJ54" s="4"/>
      <c r="PVK54" s="4"/>
      <c r="PVL54" s="4"/>
      <c r="PVM54" s="4"/>
      <c r="PVN54" s="4"/>
      <c r="PVO54" s="4"/>
      <c r="PVP54" s="4"/>
      <c r="PVQ54" s="4"/>
      <c r="PVR54" s="4"/>
      <c r="PVS54" s="4"/>
      <c r="PVT54" s="4"/>
      <c r="PVU54" s="4"/>
      <c r="PVV54" s="4"/>
      <c r="PVW54" s="4"/>
      <c r="PVX54" s="4"/>
      <c r="PVY54" s="4"/>
      <c r="PVZ54" s="4"/>
      <c r="PWA54" s="4"/>
      <c r="PWB54" s="4"/>
      <c r="PWC54" s="4"/>
      <c r="PWD54" s="4"/>
      <c r="PWE54" s="4"/>
      <c r="PWF54" s="4"/>
      <c r="PWG54" s="4"/>
      <c r="PWH54" s="4"/>
      <c r="PWI54" s="4"/>
      <c r="PWJ54" s="4"/>
      <c r="PWK54" s="4"/>
      <c r="PWL54" s="4"/>
      <c r="PWM54" s="4"/>
      <c r="PWN54" s="4"/>
      <c r="PWO54" s="4"/>
      <c r="PWP54" s="4"/>
      <c r="PWQ54" s="4"/>
      <c r="PWR54" s="4"/>
      <c r="PWS54" s="4"/>
      <c r="PWT54" s="4"/>
      <c r="PWU54" s="4"/>
      <c r="PWV54" s="4"/>
      <c r="PWW54" s="4"/>
      <c r="PWX54" s="4"/>
      <c r="PWY54" s="4"/>
      <c r="PWZ54" s="4"/>
      <c r="PXA54" s="4"/>
      <c r="PXB54" s="4"/>
      <c r="PXC54" s="4"/>
      <c r="PXD54" s="4"/>
      <c r="PXE54" s="4"/>
      <c r="PXF54" s="4"/>
      <c r="PXG54" s="4"/>
      <c r="PXH54" s="4"/>
      <c r="PXI54" s="4"/>
      <c r="PXJ54" s="4"/>
      <c r="PXK54" s="4"/>
      <c r="PXL54" s="4"/>
      <c r="PXM54" s="4"/>
      <c r="PXN54" s="4"/>
      <c r="PXO54" s="4"/>
      <c r="PXP54" s="4"/>
      <c r="PXQ54" s="4"/>
      <c r="PXR54" s="4"/>
      <c r="PXS54" s="4"/>
      <c r="PXT54" s="4"/>
      <c r="PXU54" s="4"/>
      <c r="PXV54" s="4"/>
      <c r="PXW54" s="4"/>
      <c r="PXX54" s="4"/>
      <c r="PXY54" s="4"/>
      <c r="PXZ54" s="4"/>
      <c r="PYA54" s="4"/>
      <c r="PYB54" s="4"/>
      <c r="PYC54" s="4"/>
      <c r="PYD54" s="4"/>
      <c r="PYE54" s="4"/>
      <c r="PYF54" s="4"/>
      <c r="PYG54" s="4"/>
      <c r="PYH54" s="4"/>
      <c r="PYI54" s="4"/>
      <c r="PYJ54" s="4"/>
      <c r="PYK54" s="4"/>
      <c r="PYL54" s="4"/>
      <c r="PYM54" s="4"/>
      <c r="PYN54" s="4"/>
      <c r="PYO54" s="4"/>
      <c r="PYP54" s="4"/>
      <c r="PYQ54" s="4"/>
      <c r="PYR54" s="4"/>
      <c r="PYS54" s="4"/>
      <c r="PYT54" s="4"/>
      <c r="PYU54" s="4"/>
      <c r="PYV54" s="4"/>
      <c r="PYW54" s="4"/>
      <c r="PYX54" s="4"/>
      <c r="PYY54" s="4"/>
      <c r="PYZ54" s="4"/>
      <c r="PZA54" s="4"/>
      <c r="PZB54" s="4"/>
      <c r="PZC54" s="4"/>
      <c r="PZD54" s="4"/>
      <c r="PZE54" s="4"/>
      <c r="PZF54" s="4"/>
      <c r="PZG54" s="4"/>
      <c r="PZH54" s="4"/>
      <c r="PZI54" s="4"/>
      <c r="PZJ54" s="4"/>
      <c r="PZK54" s="4"/>
      <c r="PZL54" s="4"/>
      <c r="PZM54" s="4"/>
      <c r="PZN54" s="4"/>
      <c r="PZO54" s="4"/>
      <c r="PZP54" s="4"/>
      <c r="PZQ54" s="4"/>
      <c r="PZR54" s="4"/>
      <c r="PZS54" s="4"/>
      <c r="PZT54" s="4"/>
      <c r="PZU54" s="4"/>
      <c r="PZV54" s="4"/>
      <c r="PZW54" s="4"/>
      <c r="PZX54" s="4"/>
      <c r="PZY54" s="4"/>
      <c r="PZZ54" s="4"/>
      <c r="QAA54" s="4"/>
      <c r="QAB54" s="4"/>
      <c r="QAC54" s="4"/>
      <c r="QAD54" s="4"/>
      <c r="QAE54" s="4"/>
      <c r="QAF54" s="4"/>
      <c r="QAG54" s="4"/>
      <c r="QAH54" s="4"/>
      <c r="QAI54" s="4"/>
      <c r="QAJ54" s="4"/>
      <c r="QAK54" s="4"/>
      <c r="QAL54" s="4"/>
      <c r="QAM54" s="4"/>
      <c r="QAN54" s="4"/>
      <c r="QAO54" s="4"/>
      <c r="QAP54" s="4"/>
      <c r="QAQ54" s="4"/>
      <c r="QAR54" s="4"/>
      <c r="QAS54" s="4"/>
      <c r="QAT54" s="4"/>
      <c r="QAU54" s="4"/>
      <c r="QAV54" s="4"/>
      <c r="QAW54" s="4"/>
      <c r="QAX54" s="4"/>
      <c r="QAY54" s="4"/>
      <c r="QAZ54" s="4"/>
      <c r="QBA54" s="4"/>
      <c r="QBB54" s="4"/>
      <c r="QBC54" s="4"/>
      <c r="QBD54" s="4"/>
      <c r="QBE54" s="4"/>
      <c r="QBF54" s="4"/>
      <c r="QBG54" s="4"/>
      <c r="QBH54" s="4"/>
      <c r="QBI54" s="4"/>
      <c r="QBJ54" s="4"/>
      <c r="QBK54" s="4"/>
      <c r="QBL54" s="4"/>
      <c r="QBM54" s="4"/>
      <c r="QBN54" s="4"/>
      <c r="QBO54" s="4"/>
      <c r="QBP54" s="4"/>
      <c r="QBQ54" s="4"/>
      <c r="QBR54" s="4"/>
      <c r="QBS54" s="4"/>
      <c r="QBT54" s="4"/>
      <c r="QBU54" s="4"/>
      <c r="QBV54" s="4"/>
      <c r="QBW54" s="4"/>
      <c r="QBX54" s="4"/>
      <c r="QBY54" s="4"/>
      <c r="QBZ54" s="4"/>
      <c r="QCA54" s="4"/>
      <c r="QCB54" s="4"/>
      <c r="QCC54" s="4"/>
      <c r="QCD54" s="4"/>
      <c r="QCE54" s="4"/>
      <c r="QCF54" s="4"/>
      <c r="QCG54" s="4"/>
      <c r="QCH54" s="4"/>
      <c r="QCI54" s="4"/>
      <c r="QCJ54" s="4"/>
      <c r="QCK54" s="4"/>
      <c r="QCL54" s="4"/>
      <c r="QCM54" s="4"/>
      <c r="QCN54" s="4"/>
      <c r="QCO54" s="4"/>
      <c r="QCP54" s="4"/>
      <c r="QCQ54" s="4"/>
      <c r="QCR54" s="4"/>
      <c r="QCS54" s="4"/>
      <c r="QCT54" s="4"/>
      <c r="QCU54" s="4"/>
      <c r="QCV54" s="4"/>
      <c r="QCW54" s="4"/>
      <c r="QCX54" s="4"/>
      <c r="QCY54" s="4"/>
      <c r="QCZ54" s="4"/>
      <c r="QDA54" s="4"/>
      <c r="QDB54" s="4"/>
      <c r="QDC54" s="4"/>
      <c r="QDD54" s="4"/>
      <c r="QDE54" s="4"/>
      <c r="QDF54" s="4"/>
      <c r="QDG54" s="4"/>
      <c r="QDH54" s="4"/>
      <c r="QDI54" s="4"/>
      <c r="QDJ54" s="4"/>
      <c r="QDK54" s="4"/>
      <c r="QDL54" s="4"/>
      <c r="QDM54" s="4"/>
      <c r="QDN54" s="4"/>
      <c r="QDO54" s="4"/>
      <c r="QDP54" s="4"/>
      <c r="QDQ54" s="4"/>
      <c r="QDR54" s="4"/>
      <c r="QDS54" s="4"/>
      <c r="QDT54" s="4"/>
      <c r="QDU54" s="4"/>
      <c r="QDV54" s="4"/>
      <c r="QDW54" s="4"/>
      <c r="QDX54" s="4"/>
      <c r="QDY54" s="4"/>
      <c r="QDZ54" s="4"/>
      <c r="QEA54" s="4"/>
      <c r="QEB54" s="4"/>
      <c r="QEC54" s="4"/>
      <c r="QED54" s="4"/>
      <c r="QEE54" s="4"/>
      <c r="QEF54" s="4"/>
      <c r="QEG54" s="4"/>
      <c r="QEH54" s="4"/>
      <c r="QEI54" s="4"/>
      <c r="QEJ54" s="4"/>
      <c r="QEK54" s="4"/>
      <c r="QEL54" s="4"/>
      <c r="QEM54" s="4"/>
      <c r="QEN54" s="4"/>
      <c r="QEO54" s="4"/>
      <c r="QEP54" s="4"/>
      <c r="QEQ54" s="4"/>
      <c r="QER54" s="4"/>
      <c r="QES54" s="4"/>
      <c r="QET54" s="4"/>
      <c r="QEU54" s="4"/>
      <c r="QEV54" s="4"/>
      <c r="QEW54" s="4"/>
      <c r="QEX54" s="4"/>
      <c r="QEY54" s="4"/>
      <c r="QEZ54" s="4"/>
      <c r="QFA54" s="4"/>
      <c r="QFB54" s="4"/>
      <c r="QFC54" s="4"/>
      <c r="QFD54" s="4"/>
      <c r="QFE54" s="4"/>
      <c r="QFF54" s="4"/>
      <c r="QFG54" s="4"/>
      <c r="QFH54" s="4"/>
      <c r="QFI54" s="4"/>
      <c r="QFJ54" s="4"/>
      <c r="QFK54" s="4"/>
      <c r="QFL54" s="4"/>
      <c r="QFM54" s="4"/>
      <c r="QFN54" s="4"/>
      <c r="QFO54" s="4"/>
      <c r="QFP54" s="4"/>
      <c r="QFQ54" s="4"/>
      <c r="QFR54" s="4"/>
      <c r="QFS54" s="4"/>
      <c r="QFT54" s="4"/>
      <c r="QFU54" s="4"/>
      <c r="QFV54" s="4"/>
      <c r="QFW54" s="4"/>
      <c r="QFX54" s="4"/>
      <c r="QFY54" s="4"/>
      <c r="QFZ54" s="4"/>
      <c r="QGA54" s="4"/>
      <c r="QGB54" s="4"/>
      <c r="QGC54" s="4"/>
      <c r="QGD54" s="4"/>
      <c r="QGE54" s="4"/>
      <c r="QGF54" s="4"/>
      <c r="QGG54" s="4"/>
      <c r="QGH54" s="4"/>
      <c r="QGI54" s="4"/>
      <c r="QGJ54" s="4"/>
      <c r="QGK54" s="4"/>
      <c r="QGL54" s="4"/>
      <c r="QGM54" s="4"/>
      <c r="QGN54" s="4"/>
      <c r="QGO54" s="4"/>
      <c r="QGP54" s="4"/>
      <c r="QGQ54" s="4"/>
      <c r="QGR54" s="4"/>
      <c r="QGS54" s="4"/>
      <c r="QGT54" s="4"/>
      <c r="QGU54" s="4"/>
      <c r="QGV54" s="4"/>
      <c r="QGW54" s="4"/>
      <c r="QGX54" s="4"/>
      <c r="QGY54" s="4"/>
      <c r="QGZ54" s="4"/>
      <c r="QHA54" s="4"/>
      <c r="QHB54" s="4"/>
      <c r="QHC54" s="4"/>
      <c r="QHD54" s="4"/>
      <c r="QHE54" s="4"/>
      <c r="QHF54" s="4"/>
      <c r="QHG54" s="4"/>
      <c r="QHH54" s="4"/>
      <c r="QHI54" s="4"/>
      <c r="QHJ54" s="4"/>
      <c r="QHK54" s="4"/>
      <c r="QHL54" s="4"/>
      <c r="QHM54" s="4"/>
      <c r="QHN54" s="4"/>
      <c r="QHO54" s="4"/>
      <c r="QHP54" s="4"/>
      <c r="QHQ54" s="4"/>
      <c r="QHR54" s="4"/>
      <c r="QHS54" s="4"/>
      <c r="QHT54" s="4"/>
      <c r="QHU54" s="4"/>
      <c r="QHV54" s="4"/>
      <c r="QHW54" s="4"/>
      <c r="QHX54" s="4"/>
      <c r="QHY54" s="4"/>
      <c r="QHZ54" s="4"/>
      <c r="QIA54" s="4"/>
      <c r="QIB54" s="4"/>
      <c r="QIC54" s="4"/>
      <c r="QID54" s="4"/>
      <c r="QIE54" s="4"/>
      <c r="QIF54" s="4"/>
      <c r="QIG54" s="4"/>
      <c r="QIH54" s="4"/>
      <c r="QII54" s="4"/>
      <c r="QIJ54" s="4"/>
      <c r="QIK54" s="4"/>
      <c r="QIL54" s="4"/>
      <c r="QIM54" s="4"/>
      <c r="QIN54" s="4"/>
      <c r="QIO54" s="4"/>
      <c r="QIP54" s="4"/>
      <c r="QIQ54" s="4"/>
      <c r="QIR54" s="4"/>
      <c r="QIS54" s="4"/>
      <c r="QIT54" s="4"/>
      <c r="QIU54" s="4"/>
      <c r="QIV54" s="4"/>
      <c r="QIW54" s="4"/>
      <c r="QIX54" s="4"/>
      <c r="QIY54" s="4"/>
      <c r="QIZ54" s="4"/>
      <c r="QJA54" s="4"/>
      <c r="QJB54" s="4"/>
      <c r="QJC54" s="4"/>
      <c r="QJD54" s="4"/>
      <c r="QJE54" s="4"/>
      <c r="QJF54" s="4"/>
      <c r="QJG54" s="4"/>
      <c r="QJH54" s="4"/>
      <c r="QJI54" s="4"/>
      <c r="QJJ54" s="4"/>
      <c r="QJK54" s="4"/>
      <c r="QJL54" s="4"/>
      <c r="QJM54" s="4"/>
      <c r="QJN54" s="4"/>
      <c r="QJO54" s="4"/>
      <c r="QJP54" s="4"/>
      <c r="QJQ54" s="4"/>
      <c r="QJR54" s="4"/>
      <c r="QJS54" s="4"/>
      <c r="QJT54" s="4"/>
      <c r="QJU54" s="4"/>
      <c r="QJV54" s="4"/>
      <c r="QJW54" s="4"/>
      <c r="QJX54" s="4"/>
      <c r="QJY54" s="4"/>
      <c r="QJZ54" s="4"/>
      <c r="QKA54" s="4"/>
      <c r="QKB54" s="4"/>
      <c r="QKC54" s="4"/>
      <c r="QKD54" s="4"/>
      <c r="QKE54" s="4"/>
      <c r="QKF54" s="4"/>
      <c r="QKG54" s="4"/>
      <c r="QKH54" s="4"/>
      <c r="QKI54" s="4"/>
      <c r="QKJ54" s="4"/>
      <c r="QKK54" s="4"/>
      <c r="QKL54" s="4"/>
      <c r="QKM54" s="4"/>
      <c r="QKN54" s="4"/>
      <c r="QKO54" s="4"/>
      <c r="QKP54" s="4"/>
      <c r="QKQ54" s="4"/>
      <c r="QKR54" s="4"/>
      <c r="QKS54" s="4"/>
      <c r="QKT54" s="4"/>
      <c r="QKU54" s="4"/>
      <c r="QKV54" s="4"/>
      <c r="QKW54" s="4"/>
      <c r="QKX54" s="4"/>
      <c r="QKY54" s="4"/>
      <c r="QKZ54" s="4"/>
      <c r="QLA54" s="4"/>
      <c r="QLB54" s="4"/>
      <c r="QLC54" s="4"/>
      <c r="QLD54" s="4"/>
      <c r="QLE54" s="4"/>
      <c r="QLF54" s="4"/>
      <c r="QLG54" s="4"/>
      <c r="QLH54" s="4"/>
      <c r="QLI54" s="4"/>
      <c r="QLJ54" s="4"/>
      <c r="QLK54" s="4"/>
      <c r="QLL54" s="4"/>
      <c r="QLM54" s="4"/>
      <c r="QLN54" s="4"/>
      <c r="QLO54" s="4"/>
      <c r="QLP54" s="4"/>
      <c r="QLQ54" s="4"/>
      <c r="QLR54" s="4"/>
      <c r="QLS54" s="4"/>
      <c r="QLT54" s="4"/>
      <c r="QLU54" s="4"/>
      <c r="QLV54" s="4"/>
      <c r="QLW54" s="4"/>
      <c r="QLX54" s="4"/>
      <c r="QLY54" s="4"/>
      <c r="QLZ54" s="4"/>
      <c r="QMA54" s="4"/>
      <c r="QMB54" s="4"/>
      <c r="QMC54" s="4"/>
      <c r="QMD54" s="4"/>
      <c r="QME54" s="4"/>
      <c r="QMF54" s="4"/>
      <c r="QMG54" s="4"/>
      <c r="QMH54" s="4"/>
      <c r="QMI54" s="4"/>
      <c r="QMJ54" s="4"/>
      <c r="QMK54" s="4"/>
      <c r="QML54" s="4"/>
      <c r="QMM54" s="4"/>
      <c r="QMN54" s="4"/>
      <c r="QMO54" s="4"/>
      <c r="QMP54" s="4"/>
      <c r="QMQ54" s="4"/>
      <c r="QMR54" s="4"/>
      <c r="QMS54" s="4"/>
      <c r="QMT54" s="4"/>
      <c r="QMU54" s="4"/>
      <c r="QMV54" s="4"/>
      <c r="QMW54" s="4"/>
      <c r="QMX54" s="4"/>
      <c r="QMY54" s="4"/>
      <c r="QMZ54" s="4"/>
      <c r="QNA54" s="4"/>
      <c r="QNB54" s="4"/>
      <c r="QNC54" s="4"/>
      <c r="QND54" s="4"/>
      <c r="QNE54" s="4"/>
      <c r="QNF54" s="4"/>
      <c r="QNG54" s="4"/>
      <c r="QNH54" s="4"/>
      <c r="QNI54" s="4"/>
      <c r="QNJ54" s="4"/>
      <c r="QNK54" s="4"/>
      <c r="QNL54" s="4"/>
      <c r="QNM54" s="4"/>
      <c r="QNN54" s="4"/>
      <c r="QNO54" s="4"/>
      <c r="QNP54" s="4"/>
      <c r="QNQ54" s="4"/>
      <c r="QNR54" s="4"/>
      <c r="QNS54" s="4"/>
      <c r="QNT54" s="4"/>
      <c r="QNU54" s="4"/>
      <c r="QNV54" s="4"/>
      <c r="QNW54" s="4"/>
      <c r="QNX54" s="4"/>
      <c r="QNY54" s="4"/>
      <c r="QNZ54" s="4"/>
      <c r="QOA54" s="4"/>
      <c r="QOB54" s="4"/>
      <c r="QOC54" s="4"/>
      <c r="QOD54" s="4"/>
      <c r="QOE54" s="4"/>
      <c r="QOF54" s="4"/>
      <c r="QOG54" s="4"/>
      <c r="QOH54" s="4"/>
      <c r="QOI54" s="4"/>
      <c r="QOJ54" s="4"/>
      <c r="QOK54" s="4"/>
      <c r="QOL54" s="4"/>
      <c r="QOM54" s="4"/>
      <c r="QON54" s="4"/>
      <c r="QOO54" s="4"/>
      <c r="QOP54" s="4"/>
      <c r="QOQ54" s="4"/>
      <c r="QOR54" s="4"/>
      <c r="QOS54" s="4"/>
      <c r="QOT54" s="4"/>
      <c r="QOU54" s="4"/>
      <c r="QOV54" s="4"/>
      <c r="QOW54" s="4"/>
      <c r="QOX54" s="4"/>
      <c r="QOY54" s="4"/>
      <c r="QOZ54" s="4"/>
      <c r="QPA54" s="4"/>
      <c r="QPB54" s="4"/>
      <c r="QPC54" s="4"/>
      <c r="QPD54" s="4"/>
      <c r="QPE54" s="4"/>
      <c r="QPF54" s="4"/>
      <c r="QPG54" s="4"/>
      <c r="QPH54" s="4"/>
      <c r="QPI54" s="4"/>
      <c r="QPJ54" s="4"/>
      <c r="QPK54" s="4"/>
      <c r="QPL54" s="4"/>
      <c r="QPM54" s="4"/>
      <c r="QPN54" s="4"/>
      <c r="QPO54" s="4"/>
      <c r="QPP54" s="4"/>
      <c r="QPQ54" s="4"/>
      <c r="QPR54" s="4"/>
      <c r="QPS54" s="4"/>
      <c r="QPT54" s="4"/>
      <c r="QPU54" s="4"/>
      <c r="QPV54" s="4"/>
      <c r="QPW54" s="4"/>
      <c r="QPX54" s="4"/>
      <c r="QPY54" s="4"/>
      <c r="QPZ54" s="4"/>
      <c r="QQA54" s="4"/>
      <c r="QQB54" s="4"/>
      <c r="QQC54" s="4"/>
      <c r="QQD54" s="4"/>
      <c r="QQE54" s="4"/>
      <c r="QQF54" s="4"/>
      <c r="QQG54" s="4"/>
      <c r="QQH54" s="4"/>
      <c r="QQI54" s="4"/>
      <c r="QQJ54" s="4"/>
      <c r="QQK54" s="4"/>
      <c r="QQL54" s="4"/>
      <c r="QQM54" s="4"/>
      <c r="QQN54" s="4"/>
      <c r="QQO54" s="4"/>
      <c r="QQP54" s="4"/>
      <c r="QQQ54" s="4"/>
      <c r="QQR54" s="4"/>
      <c r="QQS54" s="4"/>
      <c r="QQT54" s="4"/>
      <c r="QQU54" s="4"/>
      <c r="QQV54" s="4"/>
      <c r="QQW54" s="4"/>
      <c r="QQX54" s="4"/>
      <c r="QQY54" s="4"/>
      <c r="QQZ54" s="4"/>
      <c r="QRA54" s="4"/>
      <c r="QRB54" s="4"/>
      <c r="QRC54" s="4"/>
      <c r="QRD54" s="4"/>
      <c r="QRE54" s="4"/>
      <c r="QRF54" s="4"/>
      <c r="QRG54" s="4"/>
      <c r="QRH54" s="4"/>
      <c r="QRI54" s="4"/>
      <c r="QRJ54" s="4"/>
      <c r="QRK54" s="4"/>
      <c r="QRL54" s="4"/>
      <c r="QRM54" s="4"/>
      <c r="QRN54" s="4"/>
      <c r="QRO54" s="4"/>
      <c r="QRP54" s="4"/>
      <c r="QRQ54" s="4"/>
      <c r="QRR54" s="4"/>
      <c r="QRS54" s="4"/>
      <c r="QRT54" s="4"/>
      <c r="QRU54" s="4"/>
      <c r="QRV54" s="4"/>
      <c r="QRW54" s="4"/>
      <c r="QRX54" s="4"/>
      <c r="QRY54" s="4"/>
      <c r="QRZ54" s="4"/>
      <c r="QSA54" s="4"/>
      <c r="QSB54" s="4"/>
      <c r="QSC54" s="4"/>
      <c r="QSD54" s="4"/>
      <c r="QSE54" s="4"/>
      <c r="QSF54" s="4"/>
      <c r="QSG54" s="4"/>
      <c r="QSH54" s="4"/>
      <c r="QSI54" s="4"/>
      <c r="QSJ54" s="4"/>
      <c r="QSK54" s="4"/>
      <c r="QSL54" s="4"/>
      <c r="QSM54" s="4"/>
      <c r="QSN54" s="4"/>
      <c r="QSO54" s="4"/>
      <c r="QSP54" s="4"/>
      <c r="QSQ54" s="4"/>
      <c r="QSR54" s="4"/>
      <c r="QSS54" s="4"/>
      <c r="QST54" s="4"/>
      <c r="QSU54" s="4"/>
      <c r="QSV54" s="4"/>
      <c r="QSW54" s="4"/>
      <c r="QSX54" s="4"/>
      <c r="QSY54" s="4"/>
      <c r="QSZ54" s="4"/>
      <c r="QTA54" s="4"/>
      <c r="QTB54" s="4"/>
      <c r="QTC54" s="4"/>
      <c r="QTD54" s="4"/>
      <c r="QTE54" s="4"/>
      <c r="QTF54" s="4"/>
      <c r="QTG54" s="4"/>
      <c r="QTH54" s="4"/>
      <c r="QTI54" s="4"/>
      <c r="QTJ54" s="4"/>
      <c r="QTK54" s="4"/>
      <c r="QTL54" s="4"/>
      <c r="QTM54" s="4"/>
      <c r="QTN54" s="4"/>
      <c r="QTO54" s="4"/>
      <c r="QTP54" s="4"/>
      <c r="QTQ54" s="4"/>
      <c r="QTR54" s="4"/>
      <c r="QTS54" s="4"/>
      <c r="QTT54" s="4"/>
      <c r="QTU54" s="4"/>
      <c r="QTV54" s="4"/>
      <c r="QTW54" s="4"/>
      <c r="QTX54" s="4"/>
      <c r="QTY54" s="4"/>
      <c r="QTZ54" s="4"/>
      <c r="QUA54" s="4"/>
      <c r="QUB54" s="4"/>
      <c r="QUC54" s="4"/>
      <c r="QUD54" s="4"/>
      <c r="QUE54" s="4"/>
      <c r="QUF54" s="4"/>
      <c r="QUG54" s="4"/>
      <c r="QUH54" s="4"/>
      <c r="QUI54" s="4"/>
      <c r="QUJ54" s="4"/>
      <c r="QUK54" s="4"/>
      <c r="QUL54" s="4"/>
      <c r="QUM54" s="4"/>
      <c r="QUN54" s="4"/>
      <c r="QUO54" s="4"/>
      <c r="QUP54" s="4"/>
      <c r="QUQ54" s="4"/>
      <c r="QUR54" s="4"/>
      <c r="QUS54" s="4"/>
      <c r="QUT54" s="4"/>
      <c r="QUU54" s="4"/>
      <c r="QUV54" s="4"/>
      <c r="QUW54" s="4"/>
      <c r="QUX54" s="4"/>
      <c r="QUY54" s="4"/>
      <c r="QUZ54" s="4"/>
      <c r="QVA54" s="4"/>
      <c r="QVB54" s="4"/>
      <c r="QVC54" s="4"/>
      <c r="QVD54" s="4"/>
      <c r="QVE54" s="4"/>
      <c r="QVF54" s="4"/>
      <c r="QVG54" s="4"/>
      <c r="QVH54" s="4"/>
      <c r="QVI54" s="4"/>
      <c r="QVJ54" s="4"/>
      <c r="QVK54" s="4"/>
      <c r="QVL54" s="4"/>
      <c r="QVM54" s="4"/>
      <c r="QVN54" s="4"/>
      <c r="QVO54" s="4"/>
      <c r="QVP54" s="4"/>
      <c r="QVQ54" s="4"/>
      <c r="QVR54" s="4"/>
      <c r="QVS54" s="4"/>
      <c r="QVT54" s="4"/>
      <c r="QVU54" s="4"/>
      <c r="QVV54" s="4"/>
      <c r="QVW54" s="4"/>
      <c r="QVX54" s="4"/>
      <c r="QVY54" s="4"/>
      <c r="QVZ54" s="4"/>
      <c r="QWA54" s="4"/>
      <c r="QWB54" s="4"/>
      <c r="QWC54" s="4"/>
      <c r="QWD54" s="4"/>
      <c r="QWE54" s="4"/>
      <c r="QWF54" s="4"/>
      <c r="QWG54" s="4"/>
      <c r="QWH54" s="4"/>
      <c r="QWI54" s="4"/>
      <c r="QWJ54" s="4"/>
      <c r="QWK54" s="4"/>
      <c r="QWL54" s="4"/>
      <c r="QWM54" s="4"/>
      <c r="QWN54" s="4"/>
      <c r="QWO54" s="4"/>
      <c r="QWP54" s="4"/>
      <c r="QWQ54" s="4"/>
      <c r="QWR54" s="4"/>
      <c r="QWS54" s="4"/>
      <c r="QWT54" s="4"/>
      <c r="QWU54" s="4"/>
      <c r="QWV54" s="4"/>
      <c r="QWW54" s="4"/>
      <c r="QWX54" s="4"/>
      <c r="QWY54" s="4"/>
      <c r="QWZ54" s="4"/>
      <c r="QXA54" s="4"/>
      <c r="QXB54" s="4"/>
      <c r="QXC54" s="4"/>
      <c r="QXD54" s="4"/>
      <c r="QXE54" s="4"/>
      <c r="QXF54" s="4"/>
      <c r="QXG54" s="4"/>
      <c r="QXH54" s="4"/>
      <c r="QXI54" s="4"/>
      <c r="QXJ54" s="4"/>
      <c r="QXK54" s="4"/>
      <c r="QXL54" s="4"/>
      <c r="QXM54" s="4"/>
      <c r="QXN54" s="4"/>
      <c r="QXO54" s="4"/>
      <c r="QXP54" s="4"/>
      <c r="QXQ54" s="4"/>
      <c r="QXR54" s="4"/>
      <c r="QXS54" s="4"/>
      <c r="QXT54" s="4"/>
      <c r="QXU54" s="4"/>
      <c r="QXV54" s="4"/>
      <c r="QXW54" s="4"/>
      <c r="QXX54" s="4"/>
      <c r="QXY54" s="4"/>
      <c r="QXZ54" s="4"/>
      <c r="QYA54" s="4"/>
      <c r="QYB54" s="4"/>
      <c r="QYC54" s="4"/>
      <c r="QYD54" s="4"/>
      <c r="QYE54" s="4"/>
      <c r="QYF54" s="4"/>
      <c r="QYG54" s="4"/>
      <c r="QYH54" s="4"/>
      <c r="QYI54" s="4"/>
      <c r="QYJ54" s="4"/>
      <c r="QYK54" s="4"/>
      <c r="QYL54" s="4"/>
      <c r="QYM54" s="4"/>
      <c r="QYN54" s="4"/>
      <c r="QYO54" s="4"/>
      <c r="QYP54" s="4"/>
      <c r="QYQ54" s="4"/>
      <c r="QYR54" s="4"/>
      <c r="QYS54" s="4"/>
      <c r="QYT54" s="4"/>
      <c r="QYU54" s="4"/>
      <c r="QYV54" s="4"/>
      <c r="QYW54" s="4"/>
      <c r="QYX54" s="4"/>
      <c r="QYY54" s="4"/>
      <c r="QYZ54" s="4"/>
      <c r="QZA54" s="4"/>
      <c r="QZB54" s="4"/>
      <c r="QZC54" s="4"/>
      <c r="QZD54" s="4"/>
      <c r="QZE54" s="4"/>
      <c r="QZF54" s="4"/>
      <c r="QZG54" s="4"/>
      <c r="QZH54" s="4"/>
      <c r="QZI54" s="4"/>
      <c r="QZJ54" s="4"/>
      <c r="QZK54" s="4"/>
      <c r="QZL54" s="4"/>
      <c r="QZM54" s="4"/>
      <c r="QZN54" s="4"/>
      <c r="QZO54" s="4"/>
      <c r="QZP54" s="4"/>
      <c r="QZQ54" s="4"/>
      <c r="QZR54" s="4"/>
      <c r="QZS54" s="4"/>
      <c r="QZT54" s="4"/>
      <c r="QZU54" s="4"/>
      <c r="QZV54" s="4"/>
      <c r="QZW54" s="4"/>
      <c r="QZX54" s="4"/>
      <c r="QZY54" s="4"/>
      <c r="QZZ54" s="4"/>
      <c r="RAA54" s="4"/>
      <c r="RAB54" s="4"/>
      <c r="RAC54" s="4"/>
      <c r="RAD54" s="4"/>
      <c r="RAE54" s="4"/>
      <c r="RAF54" s="4"/>
      <c r="RAG54" s="4"/>
      <c r="RAH54" s="4"/>
      <c r="RAI54" s="4"/>
      <c r="RAJ54" s="4"/>
      <c r="RAK54" s="4"/>
      <c r="RAL54" s="4"/>
      <c r="RAM54" s="4"/>
      <c r="RAN54" s="4"/>
      <c r="RAO54" s="4"/>
      <c r="RAP54" s="4"/>
      <c r="RAQ54" s="4"/>
      <c r="RAR54" s="4"/>
      <c r="RAS54" s="4"/>
      <c r="RAT54" s="4"/>
      <c r="RAU54" s="4"/>
      <c r="RAV54" s="4"/>
      <c r="RAW54" s="4"/>
      <c r="RAX54" s="4"/>
      <c r="RAY54" s="4"/>
      <c r="RAZ54" s="4"/>
      <c r="RBA54" s="4"/>
      <c r="RBB54" s="4"/>
      <c r="RBC54" s="4"/>
      <c r="RBD54" s="4"/>
      <c r="RBE54" s="4"/>
      <c r="RBF54" s="4"/>
      <c r="RBG54" s="4"/>
      <c r="RBH54" s="4"/>
      <c r="RBI54" s="4"/>
      <c r="RBJ54" s="4"/>
      <c r="RBK54" s="4"/>
      <c r="RBL54" s="4"/>
      <c r="RBM54" s="4"/>
      <c r="RBN54" s="4"/>
      <c r="RBO54" s="4"/>
      <c r="RBP54" s="4"/>
      <c r="RBQ54" s="4"/>
      <c r="RBR54" s="4"/>
      <c r="RBS54" s="4"/>
      <c r="RBT54" s="4"/>
      <c r="RBU54" s="4"/>
      <c r="RBV54" s="4"/>
      <c r="RBW54" s="4"/>
      <c r="RBX54" s="4"/>
      <c r="RBY54" s="4"/>
      <c r="RBZ54" s="4"/>
      <c r="RCA54" s="4"/>
      <c r="RCB54" s="4"/>
      <c r="RCC54" s="4"/>
      <c r="RCD54" s="4"/>
      <c r="RCE54" s="4"/>
      <c r="RCF54" s="4"/>
      <c r="RCG54" s="4"/>
      <c r="RCH54" s="4"/>
      <c r="RCI54" s="4"/>
      <c r="RCJ54" s="4"/>
      <c r="RCK54" s="4"/>
      <c r="RCL54" s="4"/>
      <c r="RCM54" s="4"/>
      <c r="RCN54" s="4"/>
      <c r="RCO54" s="4"/>
      <c r="RCP54" s="4"/>
      <c r="RCQ54" s="4"/>
      <c r="RCR54" s="4"/>
      <c r="RCS54" s="4"/>
      <c r="RCT54" s="4"/>
      <c r="RCU54" s="4"/>
      <c r="RCV54" s="4"/>
      <c r="RCW54" s="4"/>
      <c r="RCX54" s="4"/>
      <c r="RCY54" s="4"/>
      <c r="RCZ54" s="4"/>
      <c r="RDA54" s="4"/>
      <c r="RDB54" s="4"/>
      <c r="RDC54" s="4"/>
      <c r="RDD54" s="4"/>
      <c r="RDE54" s="4"/>
      <c r="RDF54" s="4"/>
      <c r="RDG54" s="4"/>
      <c r="RDH54" s="4"/>
      <c r="RDI54" s="4"/>
      <c r="RDJ54" s="4"/>
      <c r="RDK54" s="4"/>
      <c r="RDL54" s="4"/>
      <c r="RDM54" s="4"/>
      <c r="RDN54" s="4"/>
      <c r="RDO54" s="4"/>
      <c r="RDP54" s="4"/>
      <c r="RDQ54" s="4"/>
      <c r="RDR54" s="4"/>
      <c r="RDS54" s="4"/>
      <c r="RDT54" s="4"/>
      <c r="RDU54" s="4"/>
      <c r="RDV54" s="4"/>
      <c r="RDW54" s="4"/>
      <c r="RDX54" s="4"/>
      <c r="RDY54" s="4"/>
      <c r="RDZ54" s="4"/>
      <c r="REA54" s="4"/>
      <c r="REB54" s="4"/>
      <c r="REC54" s="4"/>
      <c r="RED54" s="4"/>
      <c r="REE54" s="4"/>
      <c r="REF54" s="4"/>
      <c r="REG54" s="4"/>
      <c r="REH54" s="4"/>
      <c r="REI54" s="4"/>
      <c r="REJ54" s="4"/>
      <c r="REK54" s="4"/>
      <c r="REL54" s="4"/>
      <c r="REM54" s="4"/>
      <c r="REN54" s="4"/>
      <c r="REO54" s="4"/>
      <c r="REP54" s="4"/>
      <c r="REQ54" s="4"/>
      <c r="RER54" s="4"/>
      <c r="RES54" s="4"/>
      <c r="RET54" s="4"/>
      <c r="REU54" s="4"/>
      <c r="REV54" s="4"/>
      <c r="REW54" s="4"/>
      <c r="REX54" s="4"/>
      <c r="REY54" s="4"/>
      <c r="REZ54" s="4"/>
      <c r="RFA54" s="4"/>
      <c r="RFB54" s="4"/>
      <c r="RFC54" s="4"/>
      <c r="RFD54" s="4"/>
      <c r="RFE54" s="4"/>
      <c r="RFF54" s="4"/>
      <c r="RFG54" s="4"/>
      <c r="RFH54" s="4"/>
      <c r="RFI54" s="4"/>
      <c r="RFJ54" s="4"/>
      <c r="RFK54" s="4"/>
      <c r="RFL54" s="4"/>
      <c r="RFM54" s="4"/>
      <c r="RFN54" s="4"/>
      <c r="RFO54" s="4"/>
      <c r="RFP54" s="4"/>
      <c r="RFQ54" s="4"/>
      <c r="RFR54" s="4"/>
      <c r="RFS54" s="4"/>
      <c r="RFT54" s="4"/>
      <c r="RFU54" s="4"/>
      <c r="RFV54" s="4"/>
      <c r="RFW54" s="4"/>
      <c r="RFX54" s="4"/>
      <c r="RFY54" s="4"/>
      <c r="RFZ54" s="4"/>
      <c r="RGA54" s="4"/>
      <c r="RGB54" s="4"/>
      <c r="RGC54" s="4"/>
      <c r="RGD54" s="4"/>
      <c r="RGE54" s="4"/>
      <c r="RGF54" s="4"/>
      <c r="RGG54" s="4"/>
      <c r="RGH54" s="4"/>
      <c r="RGI54" s="4"/>
      <c r="RGJ54" s="4"/>
      <c r="RGK54" s="4"/>
      <c r="RGL54" s="4"/>
      <c r="RGM54" s="4"/>
      <c r="RGN54" s="4"/>
      <c r="RGO54" s="4"/>
      <c r="RGP54" s="4"/>
      <c r="RGQ54" s="4"/>
      <c r="RGR54" s="4"/>
      <c r="RGS54" s="4"/>
      <c r="RGT54" s="4"/>
      <c r="RGU54" s="4"/>
      <c r="RGV54" s="4"/>
      <c r="RGW54" s="4"/>
      <c r="RGX54" s="4"/>
      <c r="RGY54" s="4"/>
      <c r="RGZ54" s="4"/>
      <c r="RHA54" s="4"/>
      <c r="RHB54" s="4"/>
      <c r="RHC54" s="4"/>
      <c r="RHD54" s="4"/>
      <c r="RHE54" s="4"/>
      <c r="RHF54" s="4"/>
      <c r="RHG54" s="4"/>
      <c r="RHH54" s="4"/>
      <c r="RHI54" s="4"/>
      <c r="RHJ54" s="4"/>
      <c r="RHK54" s="4"/>
      <c r="RHL54" s="4"/>
      <c r="RHM54" s="4"/>
      <c r="RHN54" s="4"/>
      <c r="RHO54" s="4"/>
      <c r="RHP54" s="4"/>
      <c r="RHQ54" s="4"/>
      <c r="RHR54" s="4"/>
      <c r="RHS54" s="4"/>
      <c r="RHT54" s="4"/>
      <c r="RHU54" s="4"/>
      <c r="RHV54" s="4"/>
      <c r="RHW54" s="4"/>
      <c r="RHX54" s="4"/>
      <c r="RHY54" s="4"/>
      <c r="RHZ54" s="4"/>
      <c r="RIA54" s="4"/>
      <c r="RIB54" s="4"/>
      <c r="RIC54" s="4"/>
      <c r="RID54" s="4"/>
      <c r="RIE54" s="4"/>
      <c r="RIF54" s="4"/>
      <c r="RIG54" s="4"/>
      <c r="RIH54" s="4"/>
      <c r="RII54" s="4"/>
      <c r="RIJ54" s="4"/>
      <c r="RIK54" s="4"/>
      <c r="RIL54" s="4"/>
      <c r="RIM54" s="4"/>
      <c r="RIN54" s="4"/>
      <c r="RIO54" s="4"/>
      <c r="RIP54" s="4"/>
      <c r="RIQ54" s="4"/>
      <c r="RIR54" s="4"/>
      <c r="RIS54" s="4"/>
      <c r="RIT54" s="4"/>
      <c r="RIU54" s="4"/>
      <c r="RIV54" s="4"/>
      <c r="RIW54" s="4"/>
      <c r="RIX54" s="4"/>
      <c r="RIY54" s="4"/>
      <c r="RIZ54" s="4"/>
      <c r="RJA54" s="4"/>
      <c r="RJB54" s="4"/>
      <c r="RJC54" s="4"/>
      <c r="RJD54" s="4"/>
      <c r="RJE54" s="4"/>
      <c r="RJF54" s="4"/>
      <c r="RJG54" s="4"/>
      <c r="RJH54" s="4"/>
      <c r="RJI54" s="4"/>
      <c r="RJJ54" s="4"/>
      <c r="RJK54" s="4"/>
      <c r="RJL54" s="4"/>
      <c r="RJM54" s="4"/>
      <c r="RJN54" s="4"/>
      <c r="RJO54" s="4"/>
      <c r="RJP54" s="4"/>
      <c r="RJQ54" s="4"/>
      <c r="RJR54" s="4"/>
      <c r="RJS54" s="4"/>
      <c r="RJT54" s="4"/>
      <c r="RJU54" s="4"/>
      <c r="RJV54" s="4"/>
      <c r="RJW54" s="4"/>
      <c r="RJX54" s="4"/>
      <c r="RJY54" s="4"/>
      <c r="RJZ54" s="4"/>
      <c r="RKA54" s="4"/>
      <c r="RKB54" s="4"/>
      <c r="RKC54" s="4"/>
      <c r="RKD54" s="4"/>
      <c r="RKE54" s="4"/>
      <c r="RKF54" s="4"/>
      <c r="RKG54" s="4"/>
      <c r="RKH54" s="4"/>
      <c r="RKI54" s="4"/>
      <c r="RKJ54" s="4"/>
      <c r="RKK54" s="4"/>
      <c r="RKL54" s="4"/>
      <c r="RKM54" s="4"/>
      <c r="RKN54" s="4"/>
      <c r="RKO54" s="4"/>
      <c r="RKP54" s="4"/>
      <c r="RKQ54" s="4"/>
      <c r="RKR54" s="4"/>
      <c r="RKS54" s="4"/>
      <c r="RKT54" s="4"/>
      <c r="RKU54" s="4"/>
      <c r="RKV54" s="4"/>
      <c r="RKW54" s="4"/>
      <c r="RKX54" s="4"/>
      <c r="RKY54" s="4"/>
      <c r="RKZ54" s="4"/>
      <c r="RLA54" s="4"/>
      <c r="RLB54" s="4"/>
      <c r="RLC54" s="4"/>
      <c r="RLD54" s="4"/>
      <c r="RLE54" s="4"/>
      <c r="RLF54" s="4"/>
      <c r="RLG54" s="4"/>
      <c r="RLH54" s="4"/>
      <c r="RLI54" s="4"/>
      <c r="RLJ54" s="4"/>
      <c r="RLK54" s="4"/>
      <c r="RLL54" s="4"/>
      <c r="RLM54" s="4"/>
      <c r="RLN54" s="4"/>
      <c r="RLO54" s="4"/>
      <c r="RLP54" s="4"/>
      <c r="RLQ54" s="4"/>
      <c r="RLR54" s="4"/>
      <c r="RLS54" s="4"/>
      <c r="RLT54" s="4"/>
      <c r="RLU54" s="4"/>
      <c r="RLV54" s="4"/>
      <c r="RLW54" s="4"/>
      <c r="RLX54" s="4"/>
      <c r="RLY54" s="4"/>
      <c r="RLZ54" s="4"/>
      <c r="RMA54" s="4"/>
      <c r="RMB54" s="4"/>
      <c r="RMC54" s="4"/>
      <c r="RMD54" s="4"/>
      <c r="RME54" s="4"/>
      <c r="RMF54" s="4"/>
      <c r="RMG54" s="4"/>
      <c r="RMH54" s="4"/>
      <c r="RMI54" s="4"/>
      <c r="RMJ54" s="4"/>
      <c r="RMK54" s="4"/>
      <c r="RML54" s="4"/>
      <c r="RMM54" s="4"/>
      <c r="RMN54" s="4"/>
      <c r="RMO54" s="4"/>
      <c r="RMP54" s="4"/>
      <c r="RMQ54" s="4"/>
      <c r="RMR54" s="4"/>
      <c r="RMS54" s="4"/>
      <c r="RMT54" s="4"/>
      <c r="RMU54" s="4"/>
      <c r="RMV54" s="4"/>
      <c r="RMW54" s="4"/>
      <c r="RMX54" s="4"/>
      <c r="RMY54" s="4"/>
      <c r="RMZ54" s="4"/>
      <c r="RNA54" s="4"/>
      <c r="RNB54" s="4"/>
      <c r="RNC54" s="4"/>
      <c r="RND54" s="4"/>
      <c r="RNE54" s="4"/>
      <c r="RNF54" s="4"/>
      <c r="RNG54" s="4"/>
      <c r="RNH54" s="4"/>
      <c r="RNI54" s="4"/>
      <c r="RNJ54" s="4"/>
      <c r="RNK54" s="4"/>
      <c r="RNL54" s="4"/>
      <c r="RNM54" s="4"/>
      <c r="RNN54" s="4"/>
      <c r="RNO54" s="4"/>
      <c r="RNP54" s="4"/>
      <c r="RNQ54" s="4"/>
      <c r="RNR54" s="4"/>
      <c r="RNS54" s="4"/>
      <c r="RNT54" s="4"/>
      <c r="RNU54" s="4"/>
      <c r="RNV54" s="4"/>
      <c r="RNW54" s="4"/>
      <c r="RNX54" s="4"/>
      <c r="RNY54" s="4"/>
      <c r="RNZ54" s="4"/>
      <c r="ROA54" s="4"/>
      <c r="ROB54" s="4"/>
      <c r="ROC54" s="4"/>
      <c r="ROD54" s="4"/>
      <c r="ROE54" s="4"/>
      <c r="ROF54" s="4"/>
      <c r="ROG54" s="4"/>
      <c r="ROH54" s="4"/>
      <c r="ROI54" s="4"/>
      <c r="ROJ54" s="4"/>
      <c r="ROK54" s="4"/>
      <c r="ROL54" s="4"/>
      <c r="ROM54" s="4"/>
      <c r="RON54" s="4"/>
      <c r="ROO54" s="4"/>
      <c r="ROP54" s="4"/>
      <c r="ROQ54" s="4"/>
      <c r="ROR54" s="4"/>
      <c r="ROS54" s="4"/>
      <c r="ROT54" s="4"/>
      <c r="ROU54" s="4"/>
      <c r="ROV54" s="4"/>
      <c r="ROW54" s="4"/>
      <c r="ROX54" s="4"/>
      <c r="ROY54" s="4"/>
      <c r="ROZ54" s="4"/>
      <c r="RPA54" s="4"/>
      <c r="RPB54" s="4"/>
      <c r="RPC54" s="4"/>
      <c r="RPD54" s="4"/>
      <c r="RPE54" s="4"/>
      <c r="RPF54" s="4"/>
      <c r="RPG54" s="4"/>
      <c r="RPH54" s="4"/>
      <c r="RPI54" s="4"/>
      <c r="RPJ54" s="4"/>
      <c r="RPK54" s="4"/>
      <c r="RPL54" s="4"/>
      <c r="RPM54" s="4"/>
      <c r="RPN54" s="4"/>
      <c r="RPO54" s="4"/>
      <c r="RPP54" s="4"/>
      <c r="RPQ54" s="4"/>
      <c r="RPR54" s="4"/>
      <c r="RPS54" s="4"/>
      <c r="RPT54" s="4"/>
      <c r="RPU54" s="4"/>
      <c r="RPV54" s="4"/>
      <c r="RPW54" s="4"/>
      <c r="RPX54" s="4"/>
      <c r="RPY54" s="4"/>
      <c r="RPZ54" s="4"/>
      <c r="RQA54" s="4"/>
      <c r="RQB54" s="4"/>
      <c r="RQC54" s="4"/>
      <c r="RQD54" s="4"/>
      <c r="RQE54" s="4"/>
      <c r="RQF54" s="4"/>
      <c r="RQG54" s="4"/>
      <c r="RQH54" s="4"/>
      <c r="RQI54" s="4"/>
      <c r="RQJ54" s="4"/>
      <c r="RQK54" s="4"/>
      <c r="RQL54" s="4"/>
      <c r="RQM54" s="4"/>
      <c r="RQN54" s="4"/>
      <c r="RQO54" s="4"/>
      <c r="RQP54" s="4"/>
      <c r="RQQ54" s="4"/>
      <c r="RQR54" s="4"/>
      <c r="RQS54" s="4"/>
      <c r="RQT54" s="4"/>
      <c r="RQU54" s="4"/>
      <c r="RQV54" s="4"/>
      <c r="RQW54" s="4"/>
      <c r="RQX54" s="4"/>
      <c r="RQY54" s="4"/>
      <c r="RQZ54" s="4"/>
      <c r="RRA54" s="4"/>
      <c r="RRB54" s="4"/>
      <c r="RRC54" s="4"/>
      <c r="RRD54" s="4"/>
      <c r="RRE54" s="4"/>
      <c r="RRF54" s="4"/>
      <c r="RRG54" s="4"/>
      <c r="RRH54" s="4"/>
      <c r="RRI54" s="4"/>
      <c r="RRJ54" s="4"/>
      <c r="RRK54" s="4"/>
      <c r="RRL54" s="4"/>
      <c r="RRM54" s="4"/>
      <c r="RRN54" s="4"/>
      <c r="RRO54" s="4"/>
      <c r="RRP54" s="4"/>
      <c r="RRQ54" s="4"/>
      <c r="RRR54" s="4"/>
      <c r="RRS54" s="4"/>
      <c r="RRT54" s="4"/>
      <c r="RRU54" s="4"/>
      <c r="RRV54" s="4"/>
      <c r="RRW54" s="4"/>
      <c r="RRX54" s="4"/>
      <c r="RRY54" s="4"/>
      <c r="RRZ54" s="4"/>
      <c r="RSA54" s="4"/>
      <c r="RSB54" s="4"/>
      <c r="RSC54" s="4"/>
      <c r="RSD54" s="4"/>
      <c r="RSE54" s="4"/>
      <c r="RSF54" s="4"/>
      <c r="RSG54" s="4"/>
      <c r="RSH54" s="4"/>
      <c r="RSI54" s="4"/>
      <c r="RSJ54" s="4"/>
      <c r="RSK54" s="4"/>
      <c r="RSL54" s="4"/>
      <c r="RSM54" s="4"/>
      <c r="RSN54" s="4"/>
      <c r="RSO54" s="4"/>
      <c r="RSP54" s="4"/>
      <c r="RSQ54" s="4"/>
      <c r="RSR54" s="4"/>
      <c r="RSS54" s="4"/>
      <c r="RST54" s="4"/>
      <c r="RSU54" s="4"/>
      <c r="RSV54" s="4"/>
      <c r="RSW54" s="4"/>
      <c r="RSX54" s="4"/>
      <c r="RSY54" s="4"/>
      <c r="RSZ54" s="4"/>
      <c r="RTA54" s="4"/>
      <c r="RTB54" s="4"/>
      <c r="RTC54" s="4"/>
      <c r="RTD54" s="4"/>
      <c r="RTE54" s="4"/>
      <c r="RTF54" s="4"/>
      <c r="RTG54" s="4"/>
      <c r="RTH54" s="4"/>
      <c r="RTI54" s="4"/>
      <c r="RTJ54" s="4"/>
      <c r="RTK54" s="4"/>
      <c r="RTL54" s="4"/>
      <c r="RTM54" s="4"/>
      <c r="RTN54" s="4"/>
      <c r="RTO54" s="4"/>
      <c r="RTP54" s="4"/>
      <c r="RTQ54" s="4"/>
      <c r="RTR54" s="4"/>
      <c r="RTS54" s="4"/>
      <c r="RTT54" s="4"/>
      <c r="RTU54" s="4"/>
      <c r="RTV54" s="4"/>
      <c r="RTW54" s="4"/>
      <c r="RTX54" s="4"/>
      <c r="RTY54" s="4"/>
      <c r="RTZ54" s="4"/>
      <c r="RUA54" s="4"/>
      <c r="RUB54" s="4"/>
      <c r="RUC54" s="4"/>
      <c r="RUD54" s="4"/>
      <c r="RUE54" s="4"/>
      <c r="RUF54" s="4"/>
      <c r="RUG54" s="4"/>
      <c r="RUH54" s="4"/>
      <c r="RUI54" s="4"/>
      <c r="RUJ54" s="4"/>
      <c r="RUK54" s="4"/>
      <c r="RUL54" s="4"/>
      <c r="RUM54" s="4"/>
      <c r="RUN54" s="4"/>
      <c r="RUO54" s="4"/>
      <c r="RUP54" s="4"/>
      <c r="RUQ54" s="4"/>
      <c r="RUR54" s="4"/>
      <c r="RUS54" s="4"/>
      <c r="RUT54" s="4"/>
      <c r="RUU54" s="4"/>
      <c r="RUV54" s="4"/>
      <c r="RUW54" s="4"/>
      <c r="RUX54" s="4"/>
      <c r="RUY54" s="4"/>
      <c r="RUZ54" s="4"/>
      <c r="RVA54" s="4"/>
      <c r="RVB54" s="4"/>
      <c r="RVC54" s="4"/>
      <c r="RVD54" s="4"/>
      <c r="RVE54" s="4"/>
      <c r="RVF54" s="4"/>
      <c r="RVG54" s="4"/>
      <c r="RVH54" s="4"/>
      <c r="RVI54" s="4"/>
      <c r="RVJ54" s="4"/>
      <c r="RVK54" s="4"/>
      <c r="RVL54" s="4"/>
      <c r="RVM54" s="4"/>
      <c r="RVN54" s="4"/>
      <c r="RVO54" s="4"/>
      <c r="RVP54" s="4"/>
      <c r="RVQ54" s="4"/>
      <c r="RVR54" s="4"/>
      <c r="RVS54" s="4"/>
      <c r="RVT54" s="4"/>
      <c r="RVU54" s="4"/>
      <c r="RVV54" s="4"/>
      <c r="RVW54" s="4"/>
      <c r="RVX54" s="4"/>
      <c r="RVY54" s="4"/>
      <c r="RVZ54" s="4"/>
      <c r="RWA54" s="4"/>
      <c r="RWB54" s="4"/>
      <c r="RWC54" s="4"/>
      <c r="RWD54" s="4"/>
      <c r="RWE54" s="4"/>
      <c r="RWF54" s="4"/>
      <c r="RWG54" s="4"/>
      <c r="RWH54" s="4"/>
      <c r="RWI54" s="4"/>
      <c r="RWJ54" s="4"/>
      <c r="RWK54" s="4"/>
      <c r="RWL54" s="4"/>
      <c r="RWM54" s="4"/>
      <c r="RWN54" s="4"/>
      <c r="RWO54" s="4"/>
      <c r="RWP54" s="4"/>
      <c r="RWQ54" s="4"/>
      <c r="RWR54" s="4"/>
      <c r="RWS54" s="4"/>
      <c r="RWT54" s="4"/>
      <c r="RWU54" s="4"/>
      <c r="RWV54" s="4"/>
      <c r="RWW54" s="4"/>
      <c r="RWX54" s="4"/>
      <c r="RWY54" s="4"/>
      <c r="RWZ54" s="4"/>
      <c r="RXA54" s="4"/>
      <c r="RXB54" s="4"/>
      <c r="RXC54" s="4"/>
      <c r="RXD54" s="4"/>
      <c r="RXE54" s="4"/>
      <c r="RXF54" s="4"/>
      <c r="RXG54" s="4"/>
      <c r="RXH54" s="4"/>
      <c r="RXI54" s="4"/>
      <c r="RXJ54" s="4"/>
      <c r="RXK54" s="4"/>
      <c r="RXL54" s="4"/>
      <c r="RXM54" s="4"/>
      <c r="RXN54" s="4"/>
      <c r="RXO54" s="4"/>
      <c r="RXP54" s="4"/>
      <c r="RXQ54" s="4"/>
      <c r="RXR54" s="4"/>
      <c r="RXS54" s="4"/>
      <c r="RXT54" s="4"/>
      <c r="RXU54" s="4"/>
      <c r="RXV54" s="4"/>
      <c r="RXW54" s="4"/>
      <c r="RXX54" s="4"/>
      <c r="RXY54" s="4"/>
      <c r="RXZ54" s="4"/>
      <c r="RYA54" s="4"/>
      <c r="RYB54" s="4"/>
      <c r="RYC54" s="4"/>
      <c r="RYD54" s="4"/>
      <c r="RYE54" s="4"/>
      <c r="RYF54" s="4"/>
      <c r="RYG54" s="4"/>
      <c r="RYH54" s="4"/>
      <c r="RYI54" s="4"/>
      <c r="RYJ54" s="4"/>
      <c r="RYK54" s="4"/>
      <c r="RYL54" s="4"/>
      <c r="RYM54" s="4"/>
      <c r="RYN54" s="4"/>
      <c r="RYO54" s="4"/>
      <c r="RYP54" s="4"/>
      <c r="RYQ54" s="4"/>
      <c r="RYR54" s="4"/>
      <c r="RYS54" s="4"/>
      <c r="RYT54" s="4"/>
      <c r="RYU54" s="4"/>
      <c r="RYV54" s="4"/>
      <c r="RYW54" s="4"/>
      <c r="RYX54" s="4"/>
      <c r="RYY54" s="4"/>
      <c r="RYZ54" s="4"/>
      <c r="RZA54" s="4"/>
      <c r="RZB54" s="4"/>
      <c r="RZC54" s="4"/>
      <c r="RZD54" s="4"/>
      <c r="RZE54" s="4"/>
      <c r="RZF54" s="4"/>
      <c r="RZG54" s="4"/>
      <c r="RZH54" s="4"/>
      <c r="RZI54" s="4"/>
      <c r="RZJ54" s="4"/>
      <c r="RZK54" s="4"/>
      <c r="RZL54" s="4"/>
      <c r="RZM54" s="4"/>
      <c r="RZN54" s="4"/>
      <c r="RZO54" s="4"/>
      <c r="RZP54" s="4"/>
      <c r="RZQ54" s="4"/>
      <c r="RZR54" s="4"/>
      <c r="RZS54" s="4"/>
      <c r="RZT54" s="4"/>
      <c r="RZU54" s="4"/>
      <c r="RZV54" s="4"/>
      <c r="RZW54" s="4"/>
      <c r="RZX54" s="4"/>
      <c r="RZY54" s="4"/>
      <c r="RZZ54" s="4"/>
      <c r="SAA54" s="4"/>
      <c r="SAB54" s="4"/>
      <c r="SAC54" s="4"/>
      <c r="SAD54" s="4"/>
      <c r="SAE54" s="4"/>
      <c r="SAF54" s="4"/>
      <c r="SAG54" s="4"/>
      <c r="SAH54" s="4"/>
      <c r="SAI54" s="4"/>
      <c r="SAJ54" s="4"/>
      <c r="SAK54" s="4"/>
      <c r="SAL54" s="4"/>
      <c r="SAM54" s="4"/>
      <c r="SAN54" s="4"/>
      <c r="SAO54" s="4"/>
      <c r="SAP54" s="4"/>
      <c r="SAQ54" s="4"/>
      <c r="SAR54" s="4"/>
      <c r="SAS54" s="4"/>
      <c r="SAT54" s="4"/>
      <c r="SAU54" s="4"/>
      <c r="SAV54" s="4"/>
      <c r="SAW54" s="4"/>
      <c r="SAX54" s="4"/>
      <c r="SAY54" s="4"/>
      <c r="SAZ54" s="4"/>
      <c r="SBA54" s="4"/>
      <c r="SBB54" s="4"/>
      <c r="SBC54" s="4"/>
      <c r="SBD54" s="4"/>
      <c r="SBE54" s="4"/>
      <c r="SBF54" s="4"/>
      <c r="SBG54" s="4"/>
      <c r="SBH54" s="4"/>
      <c r="SBI54" s="4"/>
      <c r="SBJ54" s="4"/>
      <c r="SBK54" s="4"/>
      <c r="SBL54" s="4"/>
      <c r="SBM54" s="4"/>
      <c r="SBN54" s="4"/>
      <c r="SBO54" s="4"/>
      <c r="SBP54" s="4"/>
      <c r="SBQ54" s="4"/>
      <c r="SBR54" s="4"/>
      <c r="SBS54" s="4"/>
      <c r="SBT54" s="4"/>
      <c r="SBU54" s="4"/>
      <c r="SBV54" s="4"/>
      <c r="SBW54" s="4"/>
      <c r="SBX54" s="4"/>
      <c r="SBY54" s="4"/>
      <c r="SBZ54" s="4"/>
      <c r="SCA54" s="4"/>
      <c r="SCB54" s="4"/>
      <c r="SCC54" s="4"/>
      <c r="SCD54" s="4"/>
      <c r="SCE54" s="4"/>
      <c r="SCF54" s="4"/>
      <c r="SCG54" s="4"/>
      <c r="SCH54" s="4"/>
      <c r="SCI54" s="4"/>
      <c r="SCJ54" s="4"/>
      <c r="SCK54" s="4"/>
      <c r="SCL54" s="4"/>
      <c r="SCM54" s="4"/>
      <c r="SCN54" s="4"/>
      <c r="SCO54" s="4"/>
      <c r="SCP54" s="4"/>
      <c r="SCQ54" s="4"/>
      <c r="SCR54" s="4"/>
      <c r="SCS54" s="4"/>
      <c r="SCT54" s="4"/>
      <c r="SCU54" s="4"/>
      <c r="SCV54" s="4"/>
      <c r="SCW54" s="4"/>
      <c r="SCX54" s="4"/>
      <c r="SCY54" s="4"/>
      <c r="SCZ54" s="4"/>
      <c r="SDA54" s="4"/>
      <c r="SDB54" s="4"/>
      <c r="SDC54" s="4"/>
      <c r="SDD54" s="4"/>
      <c r="SDE54" s="4"/>
      <c r="SDF54" s="4"/>
      <c r="SDG54" s="4"/>
      <c r="SDH54" s="4"/>
      <c r="SDI54" s="4"/>
      <c r="SDJ54" s="4"/>
      <c r="SDK54" s="4"/>
      <c r="SDL54" s="4"/>
      <c r="SDM54" s="4"/>
      <c r="SDN54" s="4"/>
      <c r="SDO54" s="4"/>
      <c r="SDP54" s="4"/>
      <c r="SDQ54" s="4"/>
      <c r="SDR54" s="4"/>
      <c r="SDS54" s="4"/>
      <c r="SDT54" s="4"/>
      <c r="SDU54" s="4"/>
      <c r="SDV54" s="4"/>
      <c r="SDW54" s="4"/>
      <c r="SDX54" s="4"/>
      <c r="SDY54" s="4"/>
      <c r="SDZ54" s="4"/>
      <c r="SEA54" s="4"/>
      <c r="SEB54" s="4"/>
      <c r="SEC54" s="4"/>
      <c r="SED54" s="4"/>
      <c r="SEE54" s="4"/>
      <c r="SEF54" s="4"/>
      <c r="SEG54" s="4"/>
      <c r="SEH54" s="4"/>
      <c r="SEI54" s="4"/>
      <c r="SEJ54" s="4"/>
      <c r="SEK54" s="4"/>
      <c r="SEL54" s="4"/>
      <c r="SEM54" s="4"/>
      <c r="SEN54" s="4"/>
      <c r="SEO54" s="4"/>
      <c r="SEP54" s="4"/>
      <c r="SEQ54" s="4"/>
      <c r="SER54" s="4"/>
      <c r="SES54" s="4"/>
      <c r="SET54" s="4"/>
      <c r="SEU54" s="4"/>
      <c r="SEV54" s="4"/>
      <c r="SEW54" s="4"/>
      <c r="SEX54" s="4"/>
      <c r="SEY54" s="4"/>
      <c r="SEZ54" s="4"/>
      <c r="SFA54" s="4"/>
      <c r="SFB54" s="4"/>
      <c r="SFC54" s="4"/>
      <c r="SFD54" s="4"/>
      <c r="SFE54" s="4"/>
      <c r="SFF54" s="4"/>
      <c r="SFG54" s="4"/>
      <c r="SFH54" s="4"/>
      <c r="SFI54" s="4"/>
      <c r="SFJ54" s="4"/>
      <c r="SFK54" s="4"/>
      <c r="SFL54" s="4"/>
      <c r="SFM54" s="4"/>
      <c r="SFN54" s="4"/>
      <c r="SFO54" s="4"/>
      <c r="SFP54" s="4"/>
      <c r="SFQ54" s="4"/>
      <c r="SFR54" s="4"/>
      <c r="SFS54" s="4"/>
      <c r="SFT54" s="4"/>
      <c r="SFU54" s="4"/>
      <c r="SFV54" s="4"/>
      <c r="SFW54" s="4"/>
      <c r="SFX54" s="4"/>
      <c r="SFY54" s="4"/>
      <c r="SFZ54" s="4"/>
      <c r="SGA54" s="4"/>
      <c r="SGB54" s="4"/>
      <c r="SGC54" s="4"/>
      <c r="SGD54" s="4"/>
      <c r="SGE54" s="4"/>
      <c r="SGF54" s="4"/>
      <c r="SGG54" s="4"/>
      <c r="SGH54" s="4"/>
      <c r="SGI54" s="4"/>
      <c r="SGJ54" s="4"/>
      <c r="SGK54" s="4"/>
      <c r="SGL54" s="4"/>
      <c r="SGM54" s="4"/>
      <c r="SGN54" s="4"/>
      <c r="SGO54" s="4"/>
      <c r="SGP54" s="4"/>
      <c r="SGQ54" s="4"/>
      <c r="SGR54" s="4"/>
      <c r="SGS54" s="4"/>
      <c r="SGT54" s="4"/>
      <c r="SGU54" s="4"/>
      <c r="SGV54" s="4"/>
      <c r="SGW54" s="4"/>
      <c r="SGX54" s="4"/>
      <c r="SGY54" s="4"/>
      <c r="SGZ54" s="4"/>
      <c r="SHA54" s="4"/>
      <c r="SHB54" s="4"/>
      <c r="SHC54" s="4"/>
      <c r="SHD54" s="4"/>
      <c r="SHE54" s="4"/>
      <c r="SHF54" s="4"/>
      <c r="SHG54" s="4"/>
      <c r="SHH54" s="4"/>
      <c r="SHI54" s="4"/>
      <c r="SHJ54" s="4"/>
      <c r="SHK54" s="4"/>
      <c r="SHL54" s="4"/>
      <c r="SHM54" s="4"/>
      <c r="SHN54" s="4"/>
      <c r="SHO54" s="4"/>
      <c r="SHP54" s="4"/>
      <c r="SHQ54" s="4"/>
      <c r="SHR54" s="4"/>
      <c r="SHS54" s="4"/>
      <c r="SHT54" s="4"/>
      <c r="SHU54" s="4"/>
      <c r="SHV54" s="4"/>
      <c r="SHW54" s="4"/>
      <c r="SHX54" s="4"/>
      <c r="SHY54" s="4"/>
      <c r="SHZ54" s="4"/>
      <c r="SIA54" s="4"/>
      <c r="SIB54" s="4"/>
      <c r="SIC54" s="4"/>
      <c r="SID54" s="4"/>
      <c r="SIE54" s="4"/>
      <c r="SIF54" s="4"/>
      <c r="SIG54" s="4"/>
      <c r="SIH54" s="4"/>
      <c r="SII54" s="4"/>
      <c r="SIJ54" s="4"/>
      <c r="SIK54" s="4"/>
      <c r="SIL54" s="4"/>
      <c r="SIM54" s="4"/>
      <c r="SIN54" s="4"/>
      <c r="SIO54" s="4"/>
      <c r="SIP54" s="4"/>
      <c r="SIQ54" s="4"/>
      <c r="SIR54" s="4"/>
      <c r="SIS54" s="4"/>
      <c r="SIT54" s="4"/>
      <c r="SIU54" s="4"/>
      <c r="SIV54" s="4"/>
      <c r="SIW54" s="4"/>
      <c r="SIX54" s="4"/>
      <c r="SIY54" s="4"/>
      <c r="SIZ54" s="4"/>
      <c r="SJA54" s="4"/>
      <c r="SJB54" s="4"/>
      <c r="SJC54" s="4"/>
      <c r="SJD54" s="4"/>
      <c r="SJE54" s="4"/>
      <c r="SJF54" s="4"/>
      <c r="SJG54" s="4"/>
      <c r="SJH54" s="4"/>
      <c r="SJI54" s="4"/>
      <c r="SJJ54" s="4"/>
      <c r="SJK54" s="4"/>
      <c r="SJL54" s="4"/>
      <c r="SJM54" s="4"/>
      <c r="SJN54" s="4"/>
      <c r="SJO54" s="4"/>
      <c r="SJP54" s="4"/>
      <c r="SJQ54" s="4"/>
      <c r="SJR54" s="4"/>
      <c r="SJS54" s="4"/>
      <c r="SJT54" s="4"/>
      <c r="SJU54" s="4"/>
      <c r="SJV54" s="4"/>
      <c r="SJW54" s="4"/>
      <c r="SJX54" s="4"/>
      <c r="SJY54" s="4"/>
      <c r="SJZ54" s="4"/>
      <c r="SKA54" s="4"/>
      <c r="SKB54" s="4"/>
      <c r="SKC54" s="4"/>
      <c r="SKD54" s="4"/>
      <c r="SKE54" s="4"/>
      <c r="SKF54" s="4"/>
      <c r="SKG54" s="4"/>
      <c r="SKH54" s="4"/>
      <c r="SKI54" s="4"/>
      <c r="SKJ54" s="4"/>
      <c r="SKK54" s="4"/>
      <c r="SKL54" s="4"/>
      <c r="SKM54" s="4"/>
      <c r="SKN54" s="4"/>
      <c r="SKO54" s="4"/>
      <c r="SKP54" s="4"/>
      <c r="SKQ54" s="4"/>
      <c r="SKR54" s="4"/>
      <c r="SKS54" s="4"/>
      <c r="SKT54" s="4"/>
      <c r="SKU54" s="4"/>
      <c r="SKV54" s="4"/>
      <c r="SKW54" s="4"/>
      <c r="SKX54" s="4"/>
      <c r="SKY54" s="4"/>
      <c r="SKZ54" s="4"/>
      <c r="SLA54" s="4"/>
      <c r="SLB54" s="4"/>
      <c r="SLC54" s="4"/>
      <c r="SLD54" s="4"/>
      <c r="SLE54" s="4"/>
      <c r="SLF54" s="4"/>
      <c r="SLG54" s="4"/>
      <c r="SLH54" s="4"/>
      <c r="SLI54" s="4"/>
      <c r="SLJ54" s="4"/>
      <c r="SLK54" s="4"/>
      <c r="SLL54" s="4"/>
      <c r="SLM54" s="4"/>
      <c r="SLN54" s="4"/>
      <c r="SLO54" s="4"/>
      <c r="SLP54" s="4"/>
      <c r="SLQ54" s="4"/>
      <c r="SLR54" s="4"/>
      <c r="SLS54" s="4"/>
      <c r="SLT54" s="4"/>
      <c r="SLU54" s="4"/>
      <c r="SLV54" s="4"/>
      <c r="SLW54" s="4"/>
      <c r="SLX54" s="4"/>
      <c r="SLY54" s="4"/>
      <c r="SLZ54" s="4"/>
      <c r="SMA54" s="4"/>
      <c r="SMB54" s="4"/>
      <c r="SMC54" s="4"/>
      <c r="SMD54" s="4"/>
      <c r="SME54" s="4"/>
      <c r="SMF54" s="4"/>
      <c r="SMG54" s="4"/>
      <c r="SMH54" s="4"/>
      <c r="SMI54" s="4"/>
      <c r="SMJ54" s="4"/>
      <c r="SMK54" s="4"/>
      <c r="SML54" s="4"/>
      <c r="SMM54" s="4"/>
      <c r="SMN54" s="4"/>
      <c r="SMO54" s="4"/>
      <c r="SMP54" s="4"/>
      <c r="SMQ54" s="4"/>
      <c r="SMR54" s="4"/>
      <c r="SMS54" s="4"/>
      <c r="SMT54" s="4"/>
      <c r="SMU54" s="4"/>
      <c r="SMV54" s="4"/>
      <c r="SMW54" s="4"/>
      <c r="SMX54" s="4"/>
      <c r="SMY54" s="4"/>
      <c r="SMZ54" s="4"/>
      <c r="SNA54" s="4"/>
      <c r="SNB54" s="4"/>
      <c r="SNC54" s="4"/>
      <c r="SND54" s="4"/>
      <c r="SNE54" s="4"/>
      <c r="SNF54" s="4"/>
      <c r="SNG54" s="4"/>
      <c r="SNH54" s="4"/>
      <c r="SNI54" s="4"/>
      <c r="SNJ54" s="4"/>
      <c r="SNK54" s="4"/>
      <c r="SNL54" s="4"/>
      <c r="SNM54" s="4"/>
      <c r="SNN54" s="4"/>
      <c r="SNO54" s="4"/>
      <c r="SNP54" s="4"/>
      <c r="SNQ54" s="4"/>
      <c r="SNR54" s="4"/>
      <c r="SNS54" s="4"/>
      <c r="SNT54" s="4"/>
      <c r="SNU54" s="4"/>
      <c r="SNV54" s="4"/>
      <c r="SNW54" s="4"/>
      <c r="SNX54" s="4"/>
      <c r="SNY54" s="4"/>
      <c r="SNZ54" s="4"/>
      <c r="SOA54" s="4"/>
      <c r="SOB54" s="4"/>
      <c r="SOC54" s="4"/>
      <c r="SOD54" s="4"/>
      <c r="SOE54" s="4"/>
      <c r="SOF54" s="4"/>
      <c r="SOG54" s="4"/>
      <c r="SOH54" s="4"/>
      <c r="SOI54" s="4"/>
      <c r="SOJ54" s="4"/>
      <c r="SOK54" s="4"/>
      <c r="SOL54" s="4"/>
      <c r="SOM54" s="4"/>
      <c r="SON54" s="4"/>
      <c r="SOO54" s="4"/>
      <c r="SOP54" s="4"/>
      <c r="SOQ54" s="4"/>
      <c r="SOR54" s="4"/>
      <c r="SOS54" s="4"/>
      <c r="SOT54" s="4"/>
      <c r="SOU54" s="4"/>
      <c r="SOV54" s="4"/>
      <c r="SOW54" s="4"/>
      <c r="SOX54" s="4"/>
      <c r="SOY54" s="4"/>
      <c r="SOZ54" s="4"/>
      <c r="SPA54" s="4"/>
      <c r="SPB54" s="4"/>
      <c r="SPC54" s="4"/>
      <c r="SPD54" s="4"/>
      <c r="SPE54" s="4"/>
      <c r="SPF54" s="4"/>
      <c r="SPG54" s="4"/>
      <c r="SPH54" s="4"/>
      <c r="SPI54" s="4"/>
      <c r="SPJ54" s="4"/>
      <c r="SPK54" s="4"/>
      <c r="SPL54" s="4"/>
      <c r="SPM54" s="4"/>
      <c r="SPN54" s="4"/>
      <c r="SPO54" s="4"/>
      <c r="SPP54" s="4"/>
      <c r="SPQ54" s="4"/>
      <c r="SPR54" s="4"/>
      <c r="SPS54" s="4"/>
      <c r="SPT54" s="4"/>
      <c r="SPU54" s="4"/>
      <c r="SPV54" s="4"/>
      <c r="SPW54" s="4"/>
      <c r="SPX54" s="4"/>
      <c r="SPY54" s="4"/>
      <c r="SPZ54" s="4"/>
      <c r="SQA54" s="4"/>
      <c r="SQB54" s="4"/>
      <c r="SQC54" s="4"/>
      <c r="SQD54" s="4"/>
      <c r="SQE54" s="4"/>
      <c r="SQF54" s="4"/>
      <c r="SQG54" s="4"/>
      <c r="SQH54" s="4"/>
      <c r="SQI54" s="4"/>
      <c r="SQJ54" s="4"/>
      <c r="SQK54" s="4"/>
      <c r="SQL54" s="4"/>
      <c r="SQM54" s="4"/>
      <c r="SQN54" s="4"/>
      <c r="SQO54" s="4"/>
      <c r="SQP54" s="4"/>
      <c r="SQQ54" s="4"/>
      <c r="SQR54" s="4"/>
      <c r="SQS54" s="4"/>
      <c r="SQT54" s="4"/>
      <c r="SQU54" s="4"/>
      <c r="SQV54" s="4"/>
      <c r="SQW54" s="4"/>
      <c r="SQX54" s="4"/>
      <c r="SQY54" s="4"/>
      <c r="SQZ54" s="4"/>
      <c r="SRA54" s="4"/>
      <c r="SRB54" s="4"/>
      <c r="SRC54" s="4"/>
      <c r="SRD54" s="4"/>
      <c r="SRE54" s="4"/>
      <c r="SRF54" s="4"/>
      <c r="SRG54" s="4"/>
      <c r="SRH54" s="4"/>
      <c r="SRI54" s="4"/>
      <c r="SRJ54" s="4"/>
      <c r="SRK54" s="4"/>
      <c r="SRL54" s="4"/>
      <c r="SRM54" s="4"/>
      <c r="SRN54" s="4"/>
      <c r="SRO54" s="4"/>
      <c r="SRP54" s="4"/>
      <c r="SRQ54" s="4"/>
      <c r="SRR54" s="4"/>
      <c r="SRS54" s="4"/>
      <c r="SRT54" s="4"/>
      <c r="SRU54" s="4"/>
      <c r="SRV54" s="4"/>
      <c r="SRW54" s="4"/>
      <c r="SRX54" s="4"/>
      <c r="SRY54" s="4"/>
      <c r="SRZ54" s="4"/>
      <c r="SSA54" s="4"/>
      <c r="SSB54" s="4"/>
      <c r="SSC54" s="4"/>
      <c r="SSD54" s="4"/>
      <c r="SSE54" s="4"/>
      <c r="SSF54" s="4"/>
      <c r="SSG54" s="4"/>
      <c r="SSH54" s="4"/>
      <c r="SSI54" s="4"/>
      <c r="SSJ54" s="4"/>
      <c r="SSK54" s="4"/>
      <c r="SSL54" s="4"/>
      <c r="SSM54" s="4"/>
      <c r="SSN54" s="4"/>
      <c r="SSO54" s="4"/>
      <c r="SSP54" s="4"/>
      <c r="SSQ54" s="4"/>
      <c r="SSR54" s="4"/>
      <c r="SSS54" s="4"/>
      <c r="SST54" s="4"/>
      <c r="SSU54" s="4"/>
      <c r="SSV54" s="4"/>
      <c r="SSW54" s="4"/>
      <c r="SSX54" s="4"/>
      <c r="SSY54" s="4"/>
      <c r="SSZ54" s="4"/>
      <c r="STA54" s="4"/>
      <c r="STB54" s="4"/>
      <c r="STC54" s="4"/>
      <c r="STD54" s="4"/>
      <c r="STE54" s="4"/>
      <c r="STF54" s="4"/>
      <c r="STG54" s="4"/>
      <c r="STH54" s="4"/>
      <c r="STI54" s="4"/>
      <c r="STJ54" s="4"/>
      <c r="STK54" s="4"/>
      <c r="STL54" s="4"/>
      <c r="STM54" s="4"/>
      <c r="STN54" s="4"/>
      <c r="STO54" s="4"/>
      <c r="STP54" s="4"/>
      <c r="STQ54" s="4"/>
      <c r="STR54" s="4"/>
      <c r="STS54" s="4"/>
      <c r="STT54" s="4"/>
      <c r="STU54" s="4"/>
      <c r="STV54" s="4"/>
      <c r="STW54" s="4"/>
      <c r="STX54" s="4"/>
      <c r="STY54" s="4"/>
      <c r="STZ54" s="4"/>
      <c r="SUA54" s="4"/>
      <c r="SUB54" s="4"/>
      <c r="SUC54" s="4"/>
      <c r="SUD54" s="4"/>
      <c r="SUE54" s="4"/>
      <c r="SUF54" s="4"/>
      <c r="SUG54" s="4"/>
      <c r="SUH54" s="4"/>
      <c r="SUI54" s="4"/>
      <c r="SUJ54" s="4"/>
      <c r="SUK54" s="4"/>
      <c r="SUL54" s="4"/>
      <c r="SUM54" s="4"/>
      <c r="SUN54" s="4"/>
      <c r="SUO54" s="4"/>
      <c r="SUP54" s="4"/>
      <c r="SUQ54" s="4"/>
      <c r="SUR54" s="4"/>
      <c r="SUS54" s="4"/>
      <c r="SUT54" s="4"/>
      <c r="SUU54" s="4"/>
      <c r="SUV54" s="4"/>
      <c r="SUW54" s="4"/>
      <c r="SUX54" s="4"/>
      <c r="SUY54" s="4"/>
      <c r="SUZ54" s="4"/>
      <c r="SVA54" s="4"/>
      <c r="SVB54" s="4"/>
      <c r="SVC54" s="4"/>
      <c r="SVD54" s="4"/>
      <c r="SVE54" s="4"/>
      <c r="SVF54" s="4"/>
      <c r="SVG54" s="4"/>
      <c r="SVH54" s="4"/>
      <c r="SVI54" s="4"/>
      <c r="SVJ54" s="4"/>
      <c r="SVK54" s="4"/>
      <c r="SVL54" s="4"/>
      <c r="SVM54" s="4"/>
      <c r="SVN54" s="4"/>
      <c r="SVO54" s="4"/>
      <c r="SVP54" s="4"/>
      <c r="SVQ54" s="4"/>
      <c r="SVR54" s="4"/>
      <c r="SVS54" s="4"/>
      <c r="SVT54" s="4"/>
      <c r="SVU54" s="4"/>
      <c r="SVV54" s="4"/>
      <c r="SVW54" s="4"/>
      <c r="SVX54" s="4"/>
      <c r="SVY54" s="4"/>
      <c r="SVZ54" s="4"/>
      <c r="SWA54" s="4"/>
      <c r="SWB54" s="4"/>
      <c r="SWC54" s="4"/>
      <c r="SWD54" s="4"/>
      <c r="SWE54" s="4"/>
      <c r="SWF54" s="4"/>
      <c r="SWG54" s="4"/>
      <c r="SWH54" s="4"/>
      <c r="SWI54" s="4"/>
      <c r="SWJ54" s="4"/>
      <c r="SWK54" s="4"/>
      <c r="SWL54" s="4"/>
      <c r="SWM54" s="4"/>
      <c r="SWN54" s="4"/>
      <c r="SWO54" s="4"/>
      <c r="SWP54" s="4"/>
      <c r="SWQ54" s="4"/>
      <c r="SWR54" s="4"/>
      <c r="SWS54" s="4"/>
      <c r="SWT54" s="4"/>
      <c r="SWU54" s="4"/>
      <c r="SWV54" s="4"/>
      <c r="SWW54" s="4"/>
      <c r="SWX54" s="4"/>
      <c r="SWY54" s="4"/>
      <c r="SWZ54" s="4"/>
      <c r="SXA54" s="4"/>
      <c r="SXB54" s="4"/>
      <c r="SXC54" s="4"/>
      <c r="SXD54" s="4"/>
      <c r="SXE54" s="4"/>
      <c r="SXF54" s="4"/>
      <c r="SXG54" s="4"/>
      <c r="SXH54" s="4"/>
      <c r="SXI54" s="4"/>
      <c r="SXJ54" s="4"/>
      <c r="SXK54" s="4"/>
      <c r="SXL54" s="4"/>
      <c r="SXM54" s="4"/>
      <c r="SXN54" s="4"/>
      <c r="SXO54" s="4"/>
      <c r="SXP54" s="4"/>
      <c r="SXQ54" s="4"/>
      <c r="SXR54" s="4"/>
      <c r="SXS54" s="4"/>
      <c r="SXT54" s="4"/>
      <c r="SXU54" s="4"/>
      <c r="SXV54" s="4"/>
      <c r="SXW54" s="4"/>
      <c r="SXX54" s="4"/>
      <c r="SXY54" s="4"/>
      <c r="SXZ54" s="4"/>
      <c r="SYA54" s="4"/>
      <c r="SYB54" s="4"/>
      <c r="SYC54" s="4"/>
      <c r="SYD54" s="4"/>
      <c r="SYE54" s="4"/>
      <c r="SYF54" s="4"/>
      <c r="SYG54" s="4"/>
      <c r="SYH54" s="4"/>
      <c r="SYI54" s="4"/>
      <c r="SYJ54" s="4"/>
      <c r="SYK54" s="4"/>
      <c r="SYL54" s="4"/>
      <c r="SYM54" s="4"/>
      <c r="SYN54" s="4"/>
      <c r="SYO54" s="4"/>
      <c r="SYP54" s="4"/>
      <c r="SYQ54" s="4"/>
      <c r="SYR54" s="4"/>
      <c r="SYS54" s="4"/>
      <c r="SYT54" s="4"/>
      <c r="SYU54" s="4"/>
      <c r="SYV54" s="4"/>
      <c r="SYW54" s="4"/>
      <c r="SYX54" s="4"/>
      <c r="SYY54" s="4"/>
      <c r="SYZ54" s="4"/>
      <c r="SZA54" s="4"/>
      <c r="SZB54" s="4"/>
      <c r="SZC54" s="4"/>
      <c r="SZD54" s="4"/>
      <c r="SZE54" s="4"/>
      <c r="SZF54" s="4"/>
      <c r="SZG54" s="4"/>
      <c r="SZH54" s="4"/>
      <c r="SZI54" s="4"/>
      <c r="SZJ54" s="4"/>
      <c r="SZK54" s="4"/>
      <c r="SZL54" s="4"/>
      <c r="SZM54" s="4"/>
      <c r="SZN54" s="4"/>
      <c r="SZO54" s="4"/>
      <c r="SZP54" s="4"/>
      <c r="SZQ54" s="4"/>
      <c r="SZR54" s="4"/>
      <c r="SZS54" s="4"/>
      <c r="SZT54" s="4"/>
      <c r="SZU54" s="4"/>
      <c r="SZV54" s="4"/>
      <c r="SZW54" s="4"/>
      <c r="SZX54" s="4"/>
      <c r="SZY54" s="4"/>
      <c r="SZZ54" s="4"/>
      <c r="TAA54" s="4"/>
      <c r="TAB54" s="4"/>
      <c r="TAC54" s="4"/>
      <c r="TAD54" s="4"/>
      <c r="TAE54" s="4"/>
      <c r="TAF54" s="4"/>
      <c r="TAG54" s="4"/>
      <c r="TAH54" s="4"/>
      <c r="TAI54" s="4"/>
      <c r="TAJ54" s="4"/>
      <c r="TAK54" s="4"/>
      <c r="TAL54" s="4"/>
      <c r="TAM54" s="4"/>
      <c r="TAN54" s="4"/>
      <c r="TAO54" s="4"/>
      <c r="TAP54" s="4"/>
      <c r="TAQ54" s="4"/>
      <c r="TAR54" s="4"/>
      <c r="TAS54" s="4"/>
      <c r="TAT54" s="4"/>
      <c r="TAU54" s="4"/>
      <c r="TAV54" s="4"/>
      <c r="TAW54" s="4"/>
      <c r="TAX54" s="4"/>
      <c r="TAY54" s="4"/>
      <c r="TAZ54" s="4"/>
      <c r="TBA54" s="4"/>
      <c r="TBB54" s="4"/>
      <c r="TBC54" s="4"/>
      <c r="TBD54" s="4"/>
      <c r="TBE54" s="4"/>
      <c r="TBF54" s="4"/>
      <c r="TBG54" s="4"/>
      <c r="TBH54" s="4"/>
      <c r="TBI54" s="4"/>
      <c r="TBJ54" s="4"/>
      <c r="TBK54" s="4"/>
      <c r="TBL54" s="4"/>
      <c r="TBM54" s="4"/>
      <c r="TBN54" s="4"/>
      <c r="TBO54" s="4"/>
      <c r="TBP54" s="4"/>
      <c r="TBQ54" s="4"/>
      <c r="TBR54" s="4"/>
      <c r="TBS54" s="4"/>
      <c r="TBT54" s="4"/>
      <c r="TBU54" s="4"/>
      <c r="TBV54" s="4"/>
      <c r="TBW54" s="4"/>
      <c r="TBX54" s="4"/>
      <c r="TBY54" s="4"/>
      <c r="TBZ54" s="4"/>
      <c r="TCA54" s="4"/>
      <c r="TCB54" s="4"/>
      <c r="TCC54" s="4"/>
      <c r="TCD54" s="4"/>
      <c r="TCE54" s="4"/>
      <c r="TCF54" s="4"/>
      <c r="TCG54" s="4"/>
      <c r="TCH54" s="4"/>
      <c r="TCI54" s="4"/>
      <c r="TCJ54" s="4"/>
      <c r="TCK54" s="4"/>
      <c r="TCL54" s="4"/>
      <c r="TCM54" s="4"/>
      <c r="TCN54" s="4"/>
      <c r="TCO54" s="4"/>
      <c r="TCP54" s="4"/>
      <c r="TCQ54" s="4"/>
      <c r="TCR54" s="4"/>
      <c r="TCS54" s="4"/>
      <c r="TCT54" s="4"/>
      <c r="TCU54" s="4"/>
      <c r="TCV54" s="4"/>
      <c r="TCW54" s="4"/>
      <c r="TCX54" s="4"/>
      <c r="TCY54" s="4"/>
      <c r="TCZ54" s="4"/>
      <c r="TDA54" s="4"/>
      <c r="TDB54" s="4"/>
      <c r="TDC54" s="4"/>
      <c r="TDD54" s="4"/>
      <c r="TDE54" s="4"/>
      <c r="TDF54" s="4"/>
      <c r="TDG54" s="4"/>
      <c r="TDH54" s="4"/>
      <c r="TDI54" s="4"/>
      <c r="TDJ54" s="4"/>
      <c r="TDK54" s="4"/>
      <c r="TDL54" s="4"/>
      <c r="TDM54" s="4"/>
      <c r="TDN54" s="4"/>
      <c r="TDO54" s="4"/>
      <c r="TDP54" s="4"/>
      <c r="TDQ54" s="4"/>
      <c r="TDR54" s="4"/>
      <c r="TDS54" s="4"/>
      <c r="TDT54" s="4"/>
      <c r="TDU54" s="4"/>
      <c r="TDV54" s="4"/>
      <c r="TDW54" s="4"/>
      <c r="TDX54" s="4"/>
      <c r="TDY54" s="4"/>
      <c r="TDZ54" s="4"/>
      <c r="TEA54" s="4"/>
      <c r="TEB54" s="4"/>
      <c r="TEC54" s="4"/>
      <c r="TED54" s="4"/>
      <c r="TEE54" s="4"/>
      <c r="TEF54" s="4"/>
      <c r="TEG54" s="4"/>
      <c r="TEH54" s="4"/>
      <c r="TEI54" s="4"/>
      <c r="TEJ54" s="4"/>
      <c r="TEK54" s="4"/>
      <c r="TEL54" s="4"/>
      <c r="TEM54" s="4"/>
      <c r="TEN54" s="4"/>
      <c r="TEO54" s="4"/>
      <c r="TEP54" s="4"/>
      <c r="TEQ54" s="4"/>
      <c r="TER54" s="4"/>
      <c r="TES54" s="4"/>
      <c r="TET54" s="4"/>
      <c r="TEU54" s="4"/>
      <c r="TEV54" s="4"/>
      <c r="TEW54" s="4"/>
      <c r="TEX54" s="4"/>
      <c r="TEY54" s="4"/>
      <c r="TEZ54" s="4"/>
      <c r="TFA54" s="4"/>
      <c r="TFB54" s="4"/>
      <c r="TFC54" s="4"/>
      <c r="TFD54" s="4"/>
      <c r="TFE54" s="4"/>
      <c r="TFF54" s="4"/>
      <c r="TFG54" s="4"/>
      <c r="TFH54" s="4"/>
      <c r="TFI54" s="4"/>
      <c r="TFJ54" s="4"/>
      <c r="TFK54" s="4"/>
      <c r="TFL54" s="4"/>
      <c r="TFM54" s="4"/>
      <c r="TFN54" s="4"/>
      <c r="TFO54" s="4"/>
      <c r="TFP54" s="4"/>
      <c r="TFQ54" s="4"/>
      <c r="TFR54" s="4"/>
      <c r="TFS54" s="4"/>
      <c r="TFT54" s="4"/>
      <c r="TFU54" s="4"/>
      <c r="TFV54" s="4"/>
      <c r="TFW54" s="4"/>
      <c r="TFX54" s="4"/>
      <c r="TFY54" s="4"/>
      <c r="TFZ54" s="4"/>
      <c r="TGA54" s="4"/>
      <c r="TGB54" s="4"/>
      <c r="TGC54" s="4"/>
      <c r="TGD54" s="4"/>
      <c r="TGE54" s="4"/>
      <c r="TGF54" s="4"/>
      <c r="TGG54" s="4"/>
      <c r="TGH54" s="4"/>
      <c r="TGI54" s="4"/>
      <c r="TGJ54" s="4"/>
      <c r="TGK54" s="4"/>
      <c r="TGL54" s="4"/>
      <c r="TGM54" s="4"/>
      <c r="TGN54" s="4"/>
      <c r="TGO54" s="4"/>
      <c r="TGP54" s="4"/>
      <c r="TGQ54" s="4"/>
      <c r="TGR54" s="4"/>
      <c r="TGS54" s="4"/>
      <c r="TGT54" s="4"/>
      <c r="TGU54" s="4"/>
      <c r="TGV54" s="4"/>
      <c r="TGW54" s="4"/>
      <c r="TGX54" s="4"/>
      <c r="TGY54" s="4"/>
      <c r="TGZ54" s="4"/>
      <c r="THA54" s="4"/>
      <c r="THB54" s="4"/>
      <c r="THC54" s="4"/>
      <c r="THD54" s="4"/>
      <c r="THE54" s="4"/>
      <c r="THF54" s="4"/>
      <c r="THG54" s="4"/>
      <c r="THH54" s="4"/>
      <c r="THI54" s="4"/>
      <c r="THJ54" s="4"/>
      <c r="THK54" s="4"/>
      <c r="THL54" s="4"/>
      <c r="THM54" s="4"/>
      <c r="THN54" s="4"/>
      <c r="THO54" s="4"/>
      <c r="THP54" s="4"/>
      <c r="THQ54" s="4"/>
      <c r="THR54" s="4"/>
      <c r="THS54" s="4"/>
      <c r="THT54" s="4"/>
      <c r="THU54" s="4"/>
      <c r="THV54" s="4"/>
      <c r="THW54" s="4"/>
      <c r="THX54" s="4"/>
      <c r="THY54" s="4"/>
      <c r="THZ54" s="4"/>
      <c r="TIA54" s="4"/>
      <c r="TIB54" s="4"/>
      <c r="TIC54" s="4"/>
      <c r="TID54" s="4"/>
      <c r="TIE54" s="4"/>
      <c r="TIF54" s="4"/>
      <c r="TIG54" s="4"/>
      <c r="TIH54" s="4"/>
      <c r="TII54" s="4"/>
      <c r="TIJ54" s="4"/>
      <c r="TIK54" s="4"/>
      <c r="TIL54" s="4"/>
      <c r="TIM54" s="4"/>
      <c r="TIN54" s="4"/>
      <c r="TIO54" s="4"/>
      <c r="TIP54" s="4"/>
      <c r="TIQ54" s="4"/>
      <c r="TIR54" s="4"/>
      <c r="TIS54" s="4"/>
      <c r="TIT54" s="4"/>
      <c r="TIU54" s="4"/>
      <c r="TIV54" s="4"/>
      <c r="TIW54" s="4"/>
      <c r="TIX54" s="4"/>
      <c r="TIY54" s="4"/>
      <c r="TIZ54" s="4"/>
      <c r="TJA54" s="4"/>
      <c r="TJB54" s="4"/>
      <c r="TJC54" s="4"/>
      <c r="TJD54" s="4"/>
      <c r="TJE54" s="4"/>
      <c r="TJF54" s="4"/>
      <c r="TJG54" s="4"/>
      <c r="TJH54" s="4"/>
      <c r="TJI54" s="4"/>
      <c r="TJJ54" s="4"/>
      <c r="TJK54" s="4"/>
      <c r="TJL54" s="4"/>
      <c r="TJM54" s="4"/>
      <c r="TJN54" s="4"/>
      <c r="TJO54" s="4"/>
      <c r="TJP54" s="4"/>
      <c r="TJQ54" s="4"/>
      <c r="TJR54" s="4"/>
      <c r="TJS54" s="4"/>
      <c r="TJT54" s="4"/>
      <c r="TJU54" s="4"/>
      <c r="TJV54" s="4"/>
      <c r="TJW54" s="4"/>
      <c r="TJX54" s="4"/>
      <c r="TJY54" s="4"/>
      <c r="TJZ54" s="4"/>
      <c r="TKA54" s="4"/>
      <c r="TKB54" s="4"/>
      <c r="TKC54" s="4"/>
      <c r="TKD54" s="4"/>
      <c r="TKE54" s="4"/>
      <c r="TKF54" s="4"/>
      <c r="TKG54" s="4"/>
      <c r="TKH54" s="4"/>
      <c r="TKI54" s="4"/>
      <c r="TKJ54" s="4"/>
      <c r="TKK54" s="4"/>
      <c r="TKL54" s="4"/>
      <c r="TKM54" s="4"/>
      <c r="TKN54" s="4"/>
      <c r="TKO54" s="4"/>
      <c r="TKP54" s="4"/>
      <c r="TKQ54" s="4"/>
      <c r="TKR54" s="4"/>
      <c r="TKS54" s="4"/>
      <c r="TKT54" s="4"/>
      <c r="TKU54" s="4"/>
      <c r="TKV54" s="4"/>
      <c r="TKW54" s="4"/>
      <c r="TKX54" s="4"/>
      <c r="TKY54" s="4"/>
      <c r="TKZ54" s="4"/>
      <c r="TLA54" s="4"/>
      <c r="TLB54" s="4"/>
      <c r="TLC54" s="4"/>
      <c r="TLD54" s="4"/>
      <c r="TLE54" s="4"/>
      <c r="TLF54" s="4"/>
      <c r="TLG54" s="4"/>
      <c r="TLH54" s="4"/>
      <c r="TLI54" s="4"/>
      <c r="TLJ54" s="4"/>
      <c r="TLK54" s="4"/>
      <c r="TLL54" s="4"/>
      <c r="TLM54" s="4"/>
      <c r="TLN54" s="4"/>
      <c r="TLO54" s="4"/>
      <c r="TLP54" s="4"/>
      <c r="TLQ54" s="4"/>
      <c r="TLR54" s="4"/>
      <c r="TLS54" s="4"/>
      <c r="TLT54" s="4"/>
      <c r="TLU54" s="4"/>
      <c r="TLV54" s="4"/>
      <c r="TLW54" s="4"/>
      <c r="TLX54" s="4"/>
      <c r="TLY54" s="4"/>
      <c r="TLZ54" s="4"/>
      <c r="TMA54" s="4"/>
      <c r="TMB54" s="4"/>
      <c r="TMC54" s="4"/>
      <c r="TMD54" s="4"/>
      <c r="TME54" s="4"/>
      <c r="TMF54" s="4"/>
      <c r="TMG54" s="4"/>
      <c r="TMH54" s="4"/>
      <c r="TMI54" s="4"/>
      <c r="TMJ54" s="4"/>
      <c r="TMK54" s="4"/>
      <c r="TML54" s="4"/>
      <c r="TMM54" s="4"/>
      <c r="TMN54" s="4"/>
      <c r="TMO54" s="4"/>
      <c r="TMP54" s="4"/>
      <c r="TMQ54" s="4"/>
      <c r="TMR54" s="4"/>
      <c r="TMS54" s="4"/>
      <c r="TMT54" s="4"/>
      <c r="TMU54" s="4"/>
      <c r="TMV54" s="4"/>
      <c r="TMW54" s="4"/>
      <c r="TMX54" s="4"/>
      <c r="TMY54" s="4"/>
      <c r="TMZ54" s="4"/>
      <c r="TNA54" s="4"/>
      <c r="TNB54" s="4"/>
      <c r="TNC54" s="4"/>
      <c r="TND54" s="4"/>
      <c r="TNE54" s="4"/>
      <c r="TNF54" s="4"/>
      <c r="TNG54" s="4"/>
      <c r="TNH54" s="4"/>
      <c r="TNI54" s="4"/>
      <c r="TNJ54" s="4"/>
      <c r="TNK54" s="4"/>
      <c r="TNL54" s="4"/>
      <c r="TNM54" s="4"/>
      <c r="TNN54" s="4"/>
      <c r="TNO54" s="4"/>
      <c r="TNP54" s="4"/>
      <c r="TNQ54" s="4"/>
      <c r="TNR54" s="4"/>
      <c r="TNS54" s="4"/>
      <c r="TNT54" s="4"/>
      <c r="TNU54" s="4"/>
      <c r="TNV54" s="4"/>
      <c r="TNW54" s="4"/>
      <c r="TNX54" s="4"/>
      <c r="TNY54" s="4"/>
      <c r="TNZ54" s="4"/>
      <c r="TOA54" s="4"/>
      <c r="TOB54" s="4"/>
      <c r="TOC54" s="4"/>
      <c r="TOD54" s="4"/>
      <c r="TOE54" s="4"/>
      <c r="TOF54" s="4"/>
      <c r="TOG54" s="4"/>
      <c r="TOH54" s="4"/>
      <c r="TOI54" s="4"/>
      <c r="TOJ54" s="4"/>
      <c r="TOK54" s="4"/>
      <c r="TOL54" s="4"/>
      <c r="TOM54" s="4"/>
      <c r="TON54" s="4"/>
      <c r="TOO54" s="4"/>
      <c r="TOP54" s="4"/>
      <c r="TOQ54" s="4"/>
      <c r="TOR54" s="4"/>
      <c r="TOS54" s="4"/>
      <c r="TOT54" s="4"/>
      <c r="TOU54" s="4"/>
      <c r="TOV54" s="4"/>
      <c r="TOW54" s="4"/>
      <c r="TOX54" s="4"/>
      <c r="TOY54" s="4"/>
      <c r="TOZ54" s="4"/>
      <c r="TPA54" s="4"/>
      <c r="TPB54" s="4"/>
      <c r="TPC54" s="4"/>
      <c r="TPD54" s="4"/>
      <c r="TPE54" s="4"/>
      <c r="TPF54" s="4"/>
      <c r="TPG54" s="4"/>
      <c r="TPH54" s="4"/>
      <c r="TPI54" s="4"/>
      <c r="TPJ54" s="4"/>
      <c r="TPK54" s="4"/>
      <c r="TPL54" s="4"/>
      <c r="TPM54" s="4"/>
      <c r="TPN54" s="4"/>
      <c r="TPO54" s="4"/>
      <c r="TPP54" s="4"/>
      <c r="TPQ54" s="4"/>
      <c r="TPR54" s="4"/>
      <c r="TPS54" s="4"/>
      <c r="TPT54" s="4"/>
      <c r="TPU54" s="4"/>
      <c r="TPV54" s="4"/>
      <c r="TPW54" s="4"/>
      <c r="TPX54" s="4"/>
      <c r="TPY54" s="4"/>
      <c r="TPZ54" s="4"/>
      <c r="TQA54" s="4"/>
      <c r="TQB54" s="4"/>
      <c r="TQC54" s="4"/>
      <c r="TQD54" s="4"/>
      <c r="TQE54" s="4"/>
      <c r="TQF54" s="4"/>
      <c r="TQG54" s="4"/>
      <c r="TQH54" s="4"/>
      <c r="TQI54" s="4"/>
      <c r="TQJ54" s="4"/>
      <c r="TQK54" s="4"/>
      <c r="TQL54" s="4"/>
      <c r="TQM54" s="4"/>
      <c r="TQN54" s="4"/>
      <c r="TQO54" s="4"/>
      <c r="TQP54" s="4"/>
      <c r="TQQ54" s="4"/>
      <c r="TQR54" s="4"/>
      <c r="TQS54" s="4"/>
      <c r="TQT54" s="4"/>
      <c r="TQU54" s="4"/>
      <c r="TQV54" s="4"/>
      <c r="TQW54" s="4"/>
      <c r="TQX54" s="4"/>
      <c r="TQY54" s="4"/>
      <c r="TQZ54" s="4"/>
      <c r="TRA54" s="4"/>
      <c r="TRB54" s="4"/>
      <c r="TRC54" s="4"/>
      <c r="TRD54" s="4"/>
      <c r="TRE54" s="4"/>
      <c r="TRF54" s="4"/>
      <c r="TRG54" s="4"/>
      <c r="TRH54" s="4"/>
      <c r="TRI54" s="4"/>
      <c r="TRJ54" s="4"/>
      <c r="TRK54" s="4"/>
      <c r="TRL54" s="4"/>
      <c r="TRM54" s="4"/>
      <c r="TRN54" s="4"/>
      <c r="TRO54" s="4"/>
      <c r="TRP54" s="4"/>
      <c r="TRQ54" s="4"/>
      <c r="TRR54" s="4"/>
      <c r="TRS54" s="4"/>
      <c r="TRT54" s="4"/>
      <c r="TRU54" s="4"/>
      <c r="TRV54" s="4"/>
      <c r="TRW54" s="4"/>
      <c r="TRX54" s="4"/>
      <c r="TRY54" s="4"/>
      <c r="TRZ54" s="4"/>
      <c r="TSA54" s="4"/>
      <c r="TSB54" s="4"/>
      <c r="TSC54" s="4"/>
      <c r="TSD54" s="4"/>
      <c r="TSE54" s="4"/>
      <c r="TSF54" s="4"/>
      <c r="TSG54" s="4"/>
      <c r="TSH54" s="4"/>
      <c r="TSI54" s="4"/>
      <c r="TSJ54" s="4"/>
      <c r="TSK54" s="4"/>
      <c r="TSL54" s="4"/>
      <c r="TSM54" s="4"/>
      <c r="TSN54" s="4"/>
      <c r="TSO54" s="4"/>
      <c r="TSP54" s="4"/>
      <c r="TSQ54" s="4"/>
      <c r="TSR54" s="4"/>
      <c r="TSS54" s="4"/>
      <c r="TST54" s="4"/>
      <c r="TSU54" s="4"/>
      <c r="TSV54" s="4"/>
      <c r="TSW54" s="4"/>
      <c r="TSX54" s="4"/>
      <c r="TSY54" s="4"/>
      <c r="TSZ54" s="4"/>
      <c r="TTA54" s="4"/>
      <c r="TTB54" s="4"/>
      <c r="TTC54" s="4"/>
      <c r="TTD54" s="4"/>
      <c r="TTE54" s="4"/>
      <c r="TTF54" s="4"/>
      <c r="TTG54" s="4"/>
      <c r="TTH54" s="4"/>
      <c r="TTI54" s="4"/>
      <c r="TTJ54" s="4"/>
      <c r="TTK54" s="4"/>
      <c r="TTL54" s="4"/>
      <c r="TTM54" s="4"/>
      <c r="TTN54" s="4"/>
      <c r="TTO54" s="4"/>
      <c r="TTP54" s="4"/>
      <c r="TTQ54" s="4"/>
      <c r="TTR54" s="4"/>
      <c r="TTS54" s="4"/>
      <c r="TTT54" s="4"/>
      <c r="TTU54" s="4"/>
      <c r="TTV54" s="4"/>
      <c r="TTW54" s="4"/>
      <c r="TTX54" s="4"/>
      <c r="TTY54" s="4"/>
      <c r="TTZ54" s="4"/>
      <c r="TUA54" s="4"/>
      <c r="TUB54" s="4"/>
      <c r="TUC54" s="4"/>
      <c r="TUD54" s="4"/>
      <c r="TUE54" s="4"/>
      <c r="TUF54" s="4"/>
      <c r="TUG54" s="4"/>
      <c r="TUH54" s="4"/>
      <c r="TUI54" s="4"/>
      <c r="TUJ54" s="4"/>
      <c r="TUK54" s="4"/>
      <c r="TUL54" s="4"/>
      <c r="TUM54" s="4"/>
      <c r="TUN54" s="4"/>
      <c r="TUO54" s="4"/>
      <c r="TUP54" s="4"/>
      <c r="TUQ54" s="4"/>
      <c r="TUR54" s="4"/>
      <c r="TUS54" s="4"/>
      <c r="TUT54" s="4"/>
      <c r="TUU54" s="4"/>
      <c r="TUV54" s="4"/>
      <c r="TUW54" s="4"/>
      <c r="TUX54" s="4"/>
      <c r="TUY54" s="4"/>
      <c r="TUZ54" s="4"/>
      <c r="TVA54" s="4"/>
      <c r="TVB54" s="4"/>
      <c r="TVC54" s="4"/>
      <c r="TVD54" s="4"/>
      <c r="TVE54" s="4"/>
      <c r="TVF54" s="4"/>
      <c r="TVG54" s="4"/>
      <c r="TVH54" s="4"/>
      <c r="TVI54" s="4"/>
      <c r="TVJ54" s="4"/>
      <c r="TVK54" s="4"/>
      <c r="TVL54" s="4"/>
      <c r="TVM54" s="4"/>
      <c r="TVN54" s="4"/>
      <c r="TVO54" s="4"/>
      <c r="TVP54" s="4"/>
      <c r="TVQ54" s="4"/>
      <c r="TVR54" s="4"/>
      <c r="TVS54" s="4"/>
      <c r="TVT54" s="4"/>
      <c r="TVU54" s="4"/>
      <c r="TVV54" s="4"/>
      <c r="TVW54" s="4"/>
      <c r="TVX54" s="4"/>
      <c r="TVY54" s="4"/>
      <c r="TVZ54" s="4"/>
      <c r="TWA54" s="4"/>
      <c r="TWB54" s="4"/>
      <c r="TWC54" s="4"/>
      <c r="TWD54" s="4"/>
      <c r="TWE54" s="4"/>
      <c r="TWF54" s="4"/>
      <c r="TWG54" s="4"/>
      <c r="TWH54" s="4"/>
      <c r="TWI54" s="4"/>
      <c r="TWJ54" s="4"/>
      <c r="TWK54" s="4"/>
      <c r="TWL54" s="4"/>
      <c r="TWM54" s="4"/>
      <c r="TWN54" s="4"/>
      <c r="TWO54" s="4"/>
      <c r="TWP54" s="4"/>
      <c r="TWQ54" s="4"/>
      <c r="TWR54" s="4"/>
      <c r="TWS54" s="4"/>
      <c r="TWT54" s="4"/>
      <c r="TWU54" s="4"/>
      <c r="TWV54" s="4"/>
      <c r="TWW54" s="4"/>
      <c r="TWX54" s="4"/>
      <c r="TWY54" s="4"/>
      <c r="TWZ54" s="4"/>
      <c r="TXA54" s="4"/>
      <c r="TXB54" s="4"/>
      <c r="TXC54" s="4"/>
      <c r="TXD54" s="4"/>
      <c r="TXE54" s="4"/>
      <c r="TXF54" s="4"/>
      <c r="TXG54" s="4"/>
      <c r="TXH54" s="4"/>
      <c r="TXI54" s="4"/>
      <c r="TXJ54" s="4"/>
      <c r="TXK54" s="4"/>
      <c r="TXL54" s="4"/>
      <c r="TXM54" s="4"/>
      <c r="TXN54" s="4"/>
      <c r="TXO54" s="4"/>
      <c r="TXP54" s="4"/>
      <c r="TXQ54" s="4"/>
      <c r="TXR54" s="4"/>
      <c r="TXS54" s="4"/>
      <c r="TXT54" s="4"/>
      <c r="TXU54" s="4"/>
      <c r="TXV54" s="4"/>
      <c r="TXW54" s="4"/>
      <c r="TXX54" s="4"/>
      <c r="TXY54" s="4"/>
      <c r="TXZ54" s="4"/>
      <c r="TYA54" s="4"/>
      <c r="TYB54" s="4"/>
      <c r="TYC54" s="4"/>
      <c r="TYD54" s="4"/>
      <c r="TYE54" s="4"/>
      <c r="TYF54" s="4"/>
      <c r="TYG54" s="4"/>
      <c r="TYH54" s="4"/>
      <c r="TYI54" s="4"/>
      <c r="TYJ54" s="4"/>
      <c r="TYK54" s="4"/>
      <c r="TYL54" s="4"/>
      <c r="TYM54" s="4"/>
      <c r="TYN54" s="4"/>
      <c r="TYO54" s="4"/>
      <c r="TYP54" s="4"/>
      <c r="TYQ54" s="4"/>
      <c r="TYR54" s="4"/>
      <c r="TYS54" s="4"/>
      <c r="TYT54" s="4"/>
      <c r="TYU54" s="4"/>
      <c r="TYV54" s="4"/>
      <c r="TYW54" s="4"/>
      <c r="TYX54" s="4"/>
      <c r="TYY54" s="4"/>
      <c r="TYZ54" s="4"/>
      <c r="TZA54" s="4"/>
      <c r="TZB54" s="4"/>
      <c r="TZC54" s="4"/>
      <c r="TZD54" s="4"/>
      <c r="TZE54" s="4"/>
      <c r="TZF54" s="4"/>
      <c r="TZG54" s="4"/>
      <c r="TZH54" s="4"/>
      <c r="TZI54" s="4"/>
      <c r="TZJ54" s="4"/>
      <c r="TZK54" s="4"/>
      <c r="TZL54" s="4"/>
      <c r="TZM54" s="4"/>
      <c r="TZN54" s="4"/>
      <c r="TZO54" s="4"/>
      <c r="TZP54" s="4"/>
      <c r="TZQ54" s="4"/>
      <c r="TZR54" s="4"/>
      <c r="TZS54" s="4"/>
      <c r="TZT54" s="4"/>
      <c r="TZU54" s="4"/>
      <c r="TZV54" s="4"/>
      <c r="TZW54" s="4"/>
      <c r="TZX54" s="4"/>
      <c r="TZY54" s="4"/>
      <c r="TZZ54" s="4"/>
      <c r="UAA54" s="4"/>
      <c r="UAB54" s="4"/>
      <c r="UAC54" s="4"/>
      <c r="UAD54" s="4"/>
      <c r="UAE54" s="4"/>
      <c r="UAF54" s="4"/>
      <c r="UAG54" s="4"/>
      <c r="UAH54" s="4"/>
      <c r="UAI54" s="4"/>
      <c r="UAJ54" s="4"/>
      <c r="UAK54" s="4"/>
      <c r="UAL54" s="4"/>
      <c r="UAM54" s="4"/>
      <c r="UAN54" s="4"/>
      <c r="UAO54" s="4"/>
      <c r="UAP54" s="4"/>
      <c r="UAQ54" s="4"/>
      <c r="UAR54" s="4"/>
      <c r="UAS54" s="4"/>
      <c r="UAT54" s="4"/>
      <c r="UAU54" s="4"/>
      <c r="UAV54" s="4"/>
      <c r="UAW54" s="4"/>
      <c r="UAX54" s="4"/>
      <c r="UAY54" s="4"/>
      <c r="UAZ54" s="4"/>
      <c r="UBA54" s="4"/>
      <c r="UBB54" s="4"/>
      <c r="UBC54" s="4"/>
      <c r="UBD54" s="4"/>
      <c r="UBE54" s="4"/>
      <c r="UBF54" s="4"/>
      <c r="UBG54" s="4"/>
      <c r="UBH54" s="4"/>
      <c r="UBI54" s="4"/>
      <c r="UBJ54" s="4"/>
      <c r="UBK54" s="4"/>
      <c r="UBL54" s="4"/>
      <c r="UBM54" s="4"/>
      <c r="UBN54" s="4"/>
      <c r="UBO54" s="4"/>
      <c r="UBP54" s="4"/>
      <c r="UBQ54" s="4"/>
      <c r="UBR54" s="4"/>
      <c r="UBS54" s="4"/>
      <c r="UBT54" s="4"/>
      <c r="UBU54" s="4"/>
      <c r="UBV54" s="4"/>
      <c r="UBW54" s="4"/>
      <c r="UBX54" s="4"/>
      <c r="UBY54" s="4"/>
      <c r="UBZ54" s="4"/>
      <c r="UCA54" s="4"/>
      <c r="UCB54" s="4"/>
      <c r="UCC54" s="4"/>
      <c r="UCD54" s="4"/>
      <c r="UCE54" s="4"/>
      <c r="UCF54" s="4"/>
      <c r="UCG54" s="4"/>
      <c r="UCH54" s="4"/>
      <c r="UCI54" s="4"/>
      <c r="UCJ54" s="4"/>
      <c r="UCK54" s="4"/>
      <c r="UCL54" s="4"/>
      <c r="UCM54" s="4"/>
      <c r="UCN54" s="4"/>
      <c r="UCO54" s="4"/>
      <c r="UCP54" s="4"/>
      <c r="UCQ54" s="4"/>
      <c r="UCR54" s="4"/>
      <c r="UCS54" s="4"/>
      <c r="UCT54" s="4"/>
      <c r="UCU54" s="4"/>
      <c r="UCV54" s="4"/>
      <c r="UCW54" s="4"/>
      <c r="UCX54" s="4"/>
      <c r="UCY54" s="4"/>
      <c r="UCZ54" s="4"/>
      <c r="UDA54" s="4"/>
      <c r="UDB54" s="4"/>
      <c r="UDC54" s="4"/>
      <c r="UDD54" s="4"/>
      <c r="UDE54" s="4"/>
      <c r="UDF54" s="4"/>
      <c r="UDG54" s="4"/>
      <c r="UDH54" s="4"/>
      <c r="UDI54" s="4"/>
      <c r="UDJ54" s="4"/>
      <c r="UDK54" s="4"/>
      <c r="UDL54" s="4"/>
      <c r="UDM54" s="4"/>
      <c r="UDN54" s="4"/>
      <c r="UDO54" s="4"/>
      <c r="UDP54" s="4"/>
      <c r="UDQ54" s="4"/>
      <c r="UDR54" s="4"/>
      <c r="UDS54" s="4"/>
      <c r="UDT54" s="4"/>
      <c r="UDU54" s="4"/>
      <c r="UDV54" s="4"/>
      <c r="UDW54" s="4"/>
      <c r="UDX54" s="4"/>
      <c r="UDY54" s="4"/>
      <c r="UDZ54" s="4"/>
      <c r="UEA54" s="4"/>
      <c r="UEB54" s="4"/>
      <c r="UEC54" s="4"/>
      <c r="UED54" s="4"/>
      <c r="UEE54" s="4"/>
      <c r="UEF54" s="4"/>
      <c r="UEG54" s="4"/>
      <c r="UEH54" s="4"/>
      <c r="UEI54" s="4"/>
      <c r="UEJ54" s="4"/>
      <c r="UEK54" s="4"/>
      <c r="UEL54" s="4"/>
      <c r="UEM54" s="4"/>
      <c r="UEN54" s="4"/>
      <c r="UEO54" s="4"/>
      <c r="UEP54" s="4"/>
      <c r="UEQ54" s="4"/>
      <c r="UER54" s="4"/>
      <c r="UES54" s="4"/>
      <c r="UET54" s="4"/>
      <c r="UEU54" s="4"/>
      <c r="UEV54" s="4"/>
      <c r="UEW54" s="4"/>
      <c r="UEX54" s="4"/>
      <c r="UEY54" s="4"/>
      <c r="UEZ54" s="4"/>
      <c r="UFA54" s="4"/>
      <c r="UFB54" s="4"/>
      <c r="UFC54" s="4"/>
      <c r="UFD54" s="4"/>
      <c r="UFE54" s="4"/>
      <c r="UFF54" s="4"/>
      <c r="UFG54" s="4"/>
      <c r="UFH54" s="4"/>
      <c r="UFI54" s="4"/>
      <c r="UFJ54" s="4"/>
      <c r="UFK54" s="4"/>
      <c r="UFL54" s="4"/>
      <c r="UFM54" s="4"/>
      <c r="UFN54" s="4"/>
      <c r="UFO54" s="4"/>
      <c r="UFP54" s="4"/>
      <c r="UFQ54" s="4"/>
      <c r="UFR54" s="4"/>
      <c r="UFS54" s="4"/>
      <c r="UFT54" s="4"/>
      <c r="UFU54" s="4"/>
      <c r="UFV54" s="4"/>
      <c r="UFW54" s="4"/>
      <c r="UFX54" s="4"/>
      <c r="UFY54" s="4"/>
      <c r="UFZ54" s="4"/>
      <c r="UGA54" s="4"/>
      <c r="UGB54" s="4"/>
      <c r="UGC54" s="4"/>
      <c r="UGD54" s="4"/>
      <c r="UGE54" s="4"/>
      <c r="UGF54" s="4"/>
      <c r="UGG54" s="4"/>
      <c r="UGH54" s="4"/>
      <c r="UGI54" s="4"/>
      <c r="UGJ54" s="4"/>
      <c r="UGK54" s="4"/>
      <c r="UGL54" s="4"/>
      <c r="UGM54" s="4"/>
      <c r="UGN54" s="4"/>
      <c r="UGO54" s="4"/>
      <c r="UGP54" s="4"/>
      <c r="UGQ54" s="4"/>
      <c r="UGR54" s="4"/>
      <c r="UGS54" s="4"/>
      <c r="UGT54" s="4"/>
      <c r="UGU54" s="4"/>
      <c r="UGV54" s="4"/>
      <c r="UGW54" s="4"/>
      <c r="UGX54" s="4"/>
      <c r="UGY54" s="4"/>
      <c r="UGZ54" s="4"/>
      <c r="UHA54" s="4"/>
      <c r="UHB54" s="4"/>
      <c r="UHC54" s="4"/>
      <c r="UHD54" s="4"/>
      <c r="UHE54" s="4"/>
      <c r="UHF54" s="4"/>
      <c r="UHG54" s="4"/>
      <c r="UHH54" s="4"/>
      <c r="UHI54" s="4"/>
      <c r="UHJ54" s="4"/>
      <c r="UHK54" s="4"/>
      <c r="UHL54" s="4"/>
      <c r="UHM54" s="4"/>
      <c r="UHN54" s="4"/>
      <c r="UHO54" s="4"/>
      <c r="UHP54" s="4"/>
      <c r="UHQ54" s="4"/>
      <c r="UHR54" s="4"/>
      <c r="UHS54" s="4"/>
      <c r="UHT54" s="4"/>
      <c r="UHU54" s="4"/>
      <c r="UHV54" s="4"/>
      <c r="UHW54" s="4"/>
      <c r="UHX54" s="4"/>
      <c r="UHY54" s="4"/>
      <c r="UHZ54" s="4"/>
      <c r="UIA54" s="4"/>
      <c r="UIB54" s="4"/>
      <c r="UIC54" s="4"/>
      <c r="UID54" s="4"/>
      <c r="UIE54" s="4"/>
      <c r="UIF54" s="4"/>
      <c r="UIG54" s="4"/>
      <c r="UIH54" s="4"/>
      <c r="UII54" s="4"/>
      <c r="UIJ54" s="4"/>
      <c r="UIK54" s="4"/>
      <c r="UIL54" s="4"/>
      <c r="UIM54" s="4"/>
      <c r="UIN54" s="4"/>
      <c r="UIO54" s="4"/>
      <c r="UIP54" s="4"/>
      <c r="UIQ54" s="4"/>
      <c r="UIR54" s="4"/>
      <c r="UIS54" s="4"/>
      <c r="UIT54" s="4"/>
      <c r="UIU54" s="4"/>
      <c r="UIV54" s="4"/>
      <c r="UIW54" s="4"/>
      <c r="UIX54" s="4"/>
      <c r="UIY54" s="4"/>
      <c r="UIZ54" s="4"/>
      <c r="UJA54" s="4"/>
      <c r="UJB54" s="4"/>
      <c r="UJC54" s="4"/>
      <c r="UJD54" s="4"/>
      <c r="UJE54" s="4"/>
      <c r="UJF54" s="4"/>
      <c r="UJG54" s="4"/>
      <c r="UJH54" s="4"/>
      <c r="UJI54" s="4"/>
      <c r="UJJ54" s="4"/>
      <c r="UJK54" s="4"/>
      <c r="UJL54" s="4"/>
      <c r="UJM54" s="4"/>
      <c r="UJN54" s="4"/>
      <c r="UJO54" s="4"/>
      <c r="UJP54" s="4"/>
      <c r="UJQ54" s="4"/>
      <c r="UJR54" s="4"/>
      <c r="UJS54" s="4"/>
      <c r="UJT54" s="4"/>
      <c r="UJU54" s="4"/>
      <c r="UJV54" s="4"/>
      <c r="UJW54" s="4"/>
      <c r="UJX54" s="4"/>
      <c r="UJY54" s="4"/>
      <c r="UJZ54" s="4"/>
      <c r="UKA54" s="4"/>
      <c r="UKB54" s="4"/>
      <c r="UKC54" s="4"/>
      <c r="UKD54" s="4"/>
      <c r="UKE54" s="4"/>
      <c r="UKF54" s="4"/>
      <c r="UKG54" s="4"/>
      <c r="UKH54" s="4"/>
      <c r="UKI54" s="4"/>
      <c r="UKJ54" s="4"/>
      <c r="UKK54" s="4"/>
      <c r="UKL54" s="4"/>
      <c r="UKM54" s="4"/>
      <c r="UKN54" s="4"/>
      <c r="UKO54" s="4"/>
      <c r="UKP54" s="4"/>
      <c r="UKQ54" s="4"/>
      <c r="UKR54" s="4"/>
      <c r="UKS54" s="4"/>
      <c r="UKT54" s="4"/>
      <c r="UKU54" s="4"/>
      <c r="UKV54" s="4"/>
      <c r="UKW54" s="4"/>
      <c r="UKX54" s="4"/>
      <c r="UKY54" s="4"/>
      <c r="UKZ54" s="4"/>
      <c r="ULA54" s="4"/>
      <c r="ULB54" s="4"/>
      <c r="ULC54" s="4"/>
      <c r="ULD54" s="4"/>
      <c r="ULE54" s="4"/>
      <c r="ULF54" s="4"/>
      <c r="ULG54" s="4"/>
      <c r="ULH54" s="4"/>
      <c r="ULI54" s="4"/>
      <c r="ULJ54" s="4"/>
      <c r="ULK54" s="4"/>
      <c r="ULL54" s="4"/>
      <c r="ULM54" s="4"/>
      <c r="ULN54" s="4"/>
      <c r="ULO54" s="4"/>
      <c r="ULP54" s="4"/>
      <c r="ULQ54" s="4"/>
      <c r="ULR54" s="4"/>
      <c r="ULS54" s="4"/>
      <c r="ULT54" s="4"/>
      <c r="ULU54" s="4"/>
      <c r="ULV54" s="4"/>
      <c r="ULW54" s="4"/>
      <c r="ULX54" s="4"/>
      <c r="ULY54" s="4"/>
      <c r="ULZ54" s="4"/>
      <c r="UMA54" s="4"/>
      <c r="UMB54" s="4"/>
      <c r="UMC54" s="4"/>
      <c r="UMD54" s="4"/>
      <c r="UME54" s="4"/>
      <c r="UMF54" s="4"/>
      <c r="UMG54" s="4"/>
      <c r="UMH54" s="4"/>
      <c r="UMI54" s="4"/>
      <c r="UMJ54" s="4"/>
      <c r="UMK54" s="4"/>
      <c r="UML54" s="4"/>
      <c r="UMM54" s="4"/>
      <c r="UMN54" s="4"/>
      <c r="UMO54" s="4"/>
      <c r="UMP54" s="4"/>
      <c r="UMQ54" s="4"/>
      <c r="UMR54" s="4"/>
      <c r="UMS54" s="4"/>
      <c r="UMT54" s="4"/>
      <c r="UMU54" s="4"/>
      <c r="UMV54" s="4"/>
      <c r="UMW54" s="4"/>
      <c r="UMX54" s="4"/>
      <c r="UMY54" s="4"/>
      <c r="UMZ54" s="4"/>
      <c r="UNA54" s="4"/>
      <c r="UNB54" s="4"/>
      <c r="UNC54" s="4"/>
      <c r="UND54" s="4"/>
      <c r="UNE54" s="4"/>
      <c r="UNF54" s="4"/>
      <c r="UNG54" s="4"/>
      <c r="UNH54" s="4"/>
      <c r="UNI54" s="4"/>
      <c r="UNJ54" s="4"/>
      <c r="UNK54" s="4"/>
      <c r="UNL54" s="4"/>
      <c r="UNM54" s="4"/>
      <c r="UNN54" s="4"/>
      <c r="UNO54" s="4"/>
      <c r="UNP54" s="4"/>
      <c r="UNQ54" s="4"/>
      <c r="UNR54" s="4"/>
      <c r="UNS54" s="4"/>
      <c r="UNT54" s="4"/>
      <c r="UNU54" s="4"/>
      <c r="UNV54" s="4"/>
      <c r="UNW54" s="4"/>
      <c r="UNX54" s="4"/>
      <c r="UNY54" s="4"/>
      <c r="UNZ54" s="4"/>
      <c r="UOA54" s="4"/>
      <c r="UOB54" s="4"/>
      <c r="UOC54" s="4"/>
      <c r="UOD54" s="4"/>
      <c r="UOE54" s="4"/>
      <c r="UOF54" s="4"/>
      <c r="UOG54" s="4"/>
      <c r="UOH54" s="4"/>
      <c r="UOI54" s="4"/>
      <c r="UOJ54" s="4"/>
      <c r="UOK54" s="4"/>
      <c r="UOL54" s="4"/>
      <c r="UOM54" s="4"/>
      <c r="UON54" s="4"/>
      <c r="UOO54" s="4"/>
      <c r="UOP54" s="4"/>
      <c r="UOQ54" s="4"/>
      <c r="UOR54" s="4"/>
      <c r="UOS54" s="4"/>
      <c r="UOT54" s="4"/>
      <c r="UOU54" s="4"/>
      <c r="UOV54" s="4"/>
      <c r="UOW54" s="4"/>
      <c r="UOX54" s="4"/>
      <c r="UOY54" s="4"/>
      <c r="UOZ54" s="4"/>
      <c r="UPA54" s="4"/>
      <c r="UPB54" s="4"/>
      <c r="UPC54" s="4"/>
      <c r="UPD54" s="4"/>
      <c r="UPE54" s="4"/>
      <c r="UPF54" s="4"/>
      <c r="UPG54" s="4"/>
      <c r="UPH54" s="4"/>
      <c r="UPI54" s="4"/>
      <c r="UPJ54" s="4"/>
      <c r="UPK54" s="4"/>
      <c r="UPL54" s="4"/>
      <c r="UPM54" s="4"/>
      <c r="UPN54" s="4"/>
      <c r="UPO54" s="4"/>
      <c r="UPP54" s="4"/>
      <c r="UPQ54" s="4"/>
      <c r="UPR54" s="4"/>
      <c r="UPS54" s="4"/>
      <c r="UPT54" s="4"/>
      <c r="UPU54" s="4"/>
      <c r="UPV54" s="4"/>
      <c r="UPW54" s="4"/>
      <c r="UPX54" s="4"/>
      <c r="UPY54" s="4"/>
      <c r="UPZ54" s="4"/>
      <c r="UQA54" s="4"/>
      <c r="UQB54" s="4"/>
      <c r="UQC54" s="4"/>
      <c r="UQD54" s="4"/>
      <c r="UQE54" s="4"/>
      <c r="UQF54" s="4"/>
      <c r="UQG54" s="4"/>
      <c r="UQH54" s="4"/>
      <c r="UQI54" s="4"/>
      <c r="UQJ54" s="4"/>
      <c r="UQK54" s="4"/>
      <c r="UQL54" s="4"/>
      <c r="UQM54" s="4"/>
      <c r="UQN54" s="4"/>
      <c r="UQO54" s="4"/>
      <c r="UQP54" s="4"/>
      <c r="UQQ54" s="4"/>
      <c r="UQR54" s="4"/>
      <c r="UQS54" s="4"/>
      <c r="UQT54" s="4"/>
      <c r="UQU54" s="4"/>
      <c r="UQV54" s="4"/>
      <c r="UQW54" s="4"/>
      <c r="UQX54" s="4"/>
      <c r="UQY54" s="4"/>
      <c r="UQZ54" s="4"/>
      <c r="URA54" s="4"/>
      <c r="URB54" s="4"/>
      <c r="URC54" s="4"/>
      <c r="URD54" s="4"/>
      <c r="URE54" s="4"/>
      <c r="URF54" s="4"/>
      <c r="URG54" s="4"/>
      <c r="URH54" s="4"/>
      <c r="URI54" s="4"/>
      <c r="URJ54" s="4"/>
      <c r="URK54" s="4"/>
      <c r="URL54" s="4"/>
      <c r="URM54" s="4"/>
      <c r="URN54" s="4"/>
      <c r="URO54" s="4"/>
      <c r="URP54" s="4"/>
      <c r="URQ54" s="4"/>
      <c r="URR54" s="4"/>
      <c r="URS54" s="4"/>
      <c r="URT54" s="4"/>
      <c r="URU54" s="4"/>
      <c r="URV54" s="4"/>
      <c r="URW54" s="4"/>
      <c r="URX54" s="4"/>
      <c r="URY54" s="4"/>
      <c r="URZ54" s="4"/>
      <c r="USA54" s="4"/>
      <c r="USB54" s="4"/>
      <c r="USC54" s="4"/>
      <c r="USD54" s="4"/>
      <c r="USE54" s="4"/>
      <c r="USF54" s="4"/>
      <c r="USG54" s="4"/>
      <c r="USH54" s="4"/>
      <c r="USI54" s="4"/>
      <c r="USJ54" s="4"/>
      <c r="USK54" s="4"/>
      <c r="USL54" s="4"/>
      <c r="USM54" s="4"/>
      <c r="USN54" s="4"/>
      <c r="USO54" s="4"/>
      <c r="USP54" s="4"/>
      <c r="USQ54" s="4"/>
      <c r="USR54" s="4"/>
      <c r="USS54" s="4"/>
      <c r="UST54" s="4"/>
      <c r="USU54" s="4"/>
      <c r="USV54" s="4"/>
      <c r="USW54" s="4"/>
      <c r="USX54" s="4"/>
      <c r="USY54" s="4"/>
      <c r="USZ54" s="4"/>
      <c r="UTA54" s="4"/>
      <c r="UTB54" s="4"/>
      <c r="UTC54" s="4"/>
      <c r="UTD54" s="4"/>
      <c r="UTE54" s="4"/>
      <c r="UTF54" s="4"/>
      <c r="UTG54" s="4"/>
      <c r="UTH54" s="4"/>
      <c r="UTI54" s="4"/>
      <c r="UTJ54" s="4"/>
      <c r="UTK54" s="4"/>
      <c r="UTL54" s="4"/>
      <c r="UTM54" s="4"/>
      <c r="UTN54" s="4"/>
      <c r="UTO54" s="4"/>
      <c r="UTP54" s="4"/>
      <c r="UTQ54" s="4"/>
      <c r="UTR54" s="4"/>
      <c r="UTS54" s="4"/>
      <c r="UTT54" s="4"/>
      <c r="UTU54" s="4"/>
      <c r="UTV54" s="4"/>
      <c r="UTW54" s="4"/>
      <c r="UTX54" s="4"/>
      <c r="UTY54" s="4"/>
      <c r="UTZ54" s="4"/>
      <c r="UUA54" s="4"/>
      <c r="UUB54" s="4"/>
      <c r="UUC54" s="4"/>
      <c r="UUD54" s="4"/>
      <c r="UUE54" s="4"/>
      <c r="UUF54" s="4"/>
      <c r="UUG54" s="4"/>
      <c r="UUH54" s="4"/>
      <c r="UUI54" s="4"/>
      <c r="UUJ54" s="4"/>
      <c r="UUK54" s="4"/>
      <c r="UUL54" s="4"/>
      <c r="UUM54" s="4"/>
      <c r="UUN54" s="4"/>
      <c r="UUO54" s="4"/>
      <c r="UUP54" s="4"/>
      <c r="UUQ54" s="4"/>
      <c r="UUR54" s="4"/>
      <c r="UUS54" s="4"/>
      <c r="UUT54" s="4"/>
      <c r="UUU54" s="4"/>
      <c r="UUV54" s="4"/>
      <c r="UUW54" s="4"/>
      <c r="UUX54" s="4"/>
      <c r="UUY54" s="4"/>
      <c r="UUZ54" s="4"/>
      <c r="UVA54" s="4"/>
      <c r="UVB54" s="4"/>
      <c r="UVC54" s="4"/>
      <c r="UVD54" s="4"/>
      <c r="UVE54" s="4"/>
      <c r="UVF54" s="4"/>
      <c r="UVG54" s="4"/>
      <c r="UVH54" s="4"/>
      <c r="UVI54" s="4"/>
      <c r="UVJ54" s="4"/>
      <c r="UVK54" s="4"/>
      <c r="UVL54" s="4"/>
      <c r="UVM54" s="4"/>
      <c r="UVN54" s="4"/>
      <c r="UVO54" s="4"/>
      <c r="UVP54" s="4"/>
      <c r="UVQ54" s="4"/>
      <c r="UVR54" s="4"/>
      <c r="UVS54" s="4"/>
      <c r="UVT54" s="4"/>
      <c r="UVU54" s="4"/>
      <c r="UVV54" s="4"/>
      <c r="UVW54" s="4"/>
      <c r="UVX54" s="4"/>
      <c r="UVY54" s="4"/>
      <c r="UVZ54" s="4"/>
      <c r="UWA54" s="4"/>
      <c r="UWB54" s="4"/>
      <c r="UWC54" s="4"/>
      <c r="UWD54" s="4"/>
      <c r="UWE54" s="4"/>
      <c r="UWF54" s="4"/>
      <c r="UWG54" s="4"/>
      <c r="UWH54" s="4"/>
      <c r="UWI54" s="4"/>
      <c r="UWJ54" s="4"/>
      <c r="UWK54" s="4"/>
      <c r="UWL54" s="4"/>
      <c r="UWM54" s="4"/>
      <c r="UWN54" s="4"/>
      <c r="UWO54" s="4"/>
      <c r="UWP54" s="4"/>
      <c r="UWQ54" s="4"/>
      <c r="UWR54" s="4"/>
      <c r="UWS54" s="4"/>
      <c r="UWT54" s="4"/>
      <c r="UWU54" s="4"/>
      <c r="UWV54" s="4"/>
      <c r="UWW54" s="4"/>
      <c r="UWX54" s="4"/>
      <c r="UWY54" s="4"/>
      <c r="UWZ54" s="4"/>
      <c r="UXA54" s="4"/>
      <c r="UXB54" s="4"/>
      <c r="UXC54" s="4"/>
      <c r="UXD54" s="4"/>
      <c r="UXE54" s="4"/>
      <c r="UXF54" s="4"/>
      <c r="UXG54" s="4"/>
      <c r="UXH54" s="4"/>
      <c r="UXI54" s="4"/>
      <c r="UXJ54" s="4"/>
      <c r="UXK54" s="4"/>
      <c r="UXL54" s="4"/>
      <c r="UXM54" s="4"/>
      <c r="UXN54" s="4"/>
      <c r="UXO54" s="4"/>
      <c r="UXP54" s="4"/>
      <c r="UXQ54" s="4"/>
      <c r="UXR54" s="4"/>
      <c r="UXS54" s="4"/>
      <c r="UXT54" s="4"/>
      <c r="UXU54" s="4"/>
      <c r="UXV54" s="4"/>
      <c r="UXW54" s="4"/>
      <c r="UXX54" s="4"/>
      <c r="UXY54" s="4"/>
      <c r="UXZ54" s="4"/>
      <c r="UYA54" s="4"/>
      <c r="UYB54" s="4"/>
      <c r="UYC54" s="4"/>
      <c r="UYD54" s="4"/>
      <c r="UYE54" s="4"/>
      <c r="UYF54" s="4"/>
      <c r="UYG54" s="4"/>
      <c r="UYH54" s="4"/>
      <c r="UYI54" s="4"/>
      <c r="UYJ54" s="4"/>
      <c r="UYK54" s="4"/>
      <c r="UYL54" s="4"/>
      <c r="UYM54" s="4"/>
      <c r="UYN54" s="4"/>
      <c r="UYO54" s="4"/>
      <c r="UYP54" s="4"/>
      <c r="UYQ54" s="4"/>
      <c r="UYR54" s="4"/>
      <c r="UYS54" s="4"/>
      <c r="UYT54" s="4"/>
      <c r="UYU54" s="4"/>
      <c r="UYV54" s="4"/>
      <c r="UYW54" s="4"/>
      <c r="UYX54" s="4"/>
      <c r="UYY54" s="4"/>
      <c r="UYZ54" s="4"/>
      <c r="UZA54" s="4"/>
      <c r="UZB54" s="4"/>
      <c r="UZC54" s="4"/>
      <c r="UZD54" s="4"/>
      <c r="UZE54" s="4"/>
      <c r="UZF54" s="4"/>
      <c r="UZG54" s="4"/>
      <c r="UZH54" s="4"/>
      <c r="UZI54" s="4"/>
      <c r="UZJ54" s="4"/>
      <c r="UZK54" s="4"/>
      <c r="UZL54" s="4"/>
      <c r="UZM54" s="4"/>
      <c r="UZN54" s="4"/>
      <c r="UZO54" s="4"/>
      <c r="UZP54" s="4"/>
      <c r="UZQ54" s="4"/>
      <c r="UZR54" s="4"/>
      <c r="UZS54" s="4"/>
      <c r="UZT54" s="4"/>
      <c r="UZU54" s="4"/>
      <c r="UZV54" s="4"/>
      <c r="UZW54" s="4"/>
      <c r="UZX54" s="4"/>
      <c r="UZY54" s="4"/>
      <c r="UZZ54" s="4"/>
      <c r="VAA54" s="4"/>
      <c r="VAB54" s="4"/>
      <c r="VAC54" s="4"/>
      <c r="VAD54" s="4"/>
      <c r="VAE54" s="4"/>
      <c r="VAF54" s="4"/>
      <c r="VAG54" s="4"/>
      <c r="VAH54" s="4"/>
      <c r="VAI54" s="4"/>
      <c r="VAJ54" s="4"/>
      <c r="VAK54" s="4"/>
      <c r="VAL54" s="4"/>
      <c r="VAM54" s="4"/>
      <c r="VAN54" s="4"/>
      <c r="VAO54" s="4"/>
      <c r="VAP54" s="4"/>
      <c r="VAQ54" s="4"/>
      <c r="VAR54" s="4"/>
      <c r="VAS54" s="4"/>
      <c r="VAT54" s="4"/>
      <c r="VAU54" s="4"/>
      <c r="VAV54" s="4"/>
      <c r="VAW54" s="4"/>
      <c r="VAX54" s="4"/>
      <c r="VAY54" s="4"/>
      <c r="VAZ54" s="4"/>
      <c r="VBA54" s="4"/>
      <c r="VBB54" s="4"/>
      <c r="VBC54" s="4"/>
      <c r="VBD54" s="4"/>
      <c r="VBE54" s="4"/>
      <c r="VBF54" s="4"/>
      <c r="VBG54" s="4"/>
      <c r="VBH54" s="4"/>
      <c r="VBI54" s="4"/>
      <c r="VBJ54" s="4"/>
      <c r="VBK54" s="4"/>
      <c r="VBL54" s="4"/>
      <c r="VBM54" s="4"/>
      <c r="VBN54" s="4"/>
      <c r="VBO54" s="4"/>
      <c r="VBP54" s="4"/>
      <c r="VBQ54" s="4"/>
      <c r="VBR54" s="4"/>
      <c r="VBS54" s="4"/>
      <c r="VBT54" s="4"/>
      <c r="VBU54" s="4"/>
      <c r="VBV54" s="4"/>
      <c r="VBW54" s="4"/>
      <c r="VBX54" s="4"/>
      <c r="VBY54" s="4"/>
      <c r="VBZ54" s="4"/>
      <c r="VCA54" s="4"/>
      <c r="VCB54" s="4"/>
      <c r="VCC54" s="4"/>
      <c r="VCD54" s="4"/>
      <c r="VCE54" s="4"/>
      <c r="VCF54" s="4"/>
      <c r="VCG54" s="4"/>
      <c r="VCH54" s="4"/>
      <c r="VCI54" s="4"/>
      <c r="VCJ54" s="4"/>
      <c r="VCK54" s="4"/>
      <c r="VCL54" s="4"/>
      <c r="VCM54" s="4"/>
      <c r="VCN54" s="4"/>
      <c r="VCO54" s="4"/>
      <c r="VCP54" s="4"/>
      <c r="VCQ54" s="4"/>
      <c r="VCR54" s="4"/>
      <c r="VCS54" s="4"/>
      <c r="VCT54" s="4"/>
      <c r="VCU54" s="4"/>
      <c r="VCV54" s="4"/>
      <c r="VCW54" s="4"/>
      <c r="VCX54" s="4"/>
      <c r="VCY54" s="4"/>
      <c r="VCZ54" s="4"/>
      <c r="VDA54" s="4"/>
      <c r="VDB54" s="4"/>
      <c r="VDC54" s="4"/>
      <c r="VDD54" s="4"/>
      <c r="VDE54" s="4"/>
      <c r="VDF54" s="4"/>
      <c r="VDG54" s="4"/>
      <c r="VDH54" s="4"/>
      <c r="VDI54" s="4"/>
      <c r="VDJ54" s="4"/>
      <c r="VDK54" s="4"/>
      <c r="VDL54" s="4"/>
      <c r="VDM54" s="4"/>
      <c r="VDN54" s="4"/>
      <c r="VDO54" s="4"/>
      <c r="VDP54" s="4"/>
      <c r="VDQ54" s="4"/>
      <c r="VDR54" s="4"/>
      <c r="VDS54" s="4"/>
      <c r="VDT54" s="4"/>
      <c r="VDU54" s="4"/>
      <c r="VDV54" s="4"/>
      <c r="VDW54" s="4"/>
      <c r="VDX54" s="4"/>
      <c r="VDY54" s="4"/>
      <c r="VDZ54" s="4"/>
      <c r="VEA54" s="4"/>
      <c r="VEB54" s="4"/>
      <c r="VEC54" s="4"/>
      <c r="VED54" s="4"/>
      <c r="VEE54" s="4"/>
      <c r="VEF54" s="4"/>
      <c r="VEG54" s="4"/>
      <c r="VEH54" s="4"/>
      <c r="VEI54" s="4"/>
      <c r="VEJ54" s="4"/>
      <c r="VEK54" s="4"/>
      <c r="VEL54" s="4"/>
      <c r="VEM54" s="4"/>
      <c r="VEN54" s="4"/>
      <c r="VEO54" s="4"/>
      <c r="VEP54" s="4"/>
      <c r="VEQ54" s="4"/>
      <c r="VER54" s="4"/>
      <c r="VES54" s="4"/>
      <c r="VET54" s="4"/>
      <c r="VEU54" s="4"/>
      <c r="VEV54" s="4"/>
      <c r="VEW54" s="4"/>
      <c r="VEX54" s="4"/>
      <c r="VEY54" s="4"/>
      <c r="VEZ54" s="4"/>
      <c r="VFA54" s="4"/>
      <c r="VFB54" s="4"/>
      <c r="VFC54" s="4"/>
      <c r="VFD54" s="4"/>
      <c r="VFE54" s="4"/>
      <c r="VFF54" s="4"/>
      <c r="VFG54" s="4"/>
      <c r="VFH54" s="4"/>
      <c r="VFI54" s="4"/>
      <c r="VFJ54" s="4"/>
      <c r="VFK54" s="4"/>
      <c r="VFL54" s="4"/>
      <c r="VFM54" s="4"/>
      <c r="VFN54" s="4"/>
      <c r="VFO54" s="4"/>
      <c r="VFP54" s="4"/>
      <c r="VFQ54" s="4"/>
      <c r="VFR54" s="4"/>
      <c r="VFS54" s="4"/>
      <c r="VFT54" s="4"/>
      <c r="VFU54" s="4"/>
      <c r="VFV54" s="4"/>
      <c r="VFW54" s="4"/>
      <c r="VFX54" s="4"/>
      <c r="VFY54" s="4"/>
      <c r="VFZ54" s="4"/>
      <c r="VGA54" s="4"/>
      <c r="VGB54" s="4"/>
      <c r="VGC54" s="4"/>
      <c r="VGD54" s="4"/>
      <c r="VGE54" s="4"/>
      <c r="VGF54" s="4"/>
      <c r="VGG54" s="4"/>
      <c r="VGH54" s="4"/>
      <c r="VGI54" s="4"/>
      <c r="VGJ54" s="4"/>
      <c r="VGK54" s="4"/>
      <c r="VGL54" s="4"/>
      <c r="VGM54" s="4"/>
      <c r="VGN54" s="4"/>
      <c r="VGO54" s="4"/>
      <c r="VGP54" s="4"/>
      <c r="VGQ54" s="4"/>
      <c r="VGR54" s="4"/>
      <c r="VGS54" s="4"/>
      <c r="VGT54" s="4"/>
      <c r="VGU54" s="4"/>
      <c r="VGV54" s="4"/>
      <c r="VGW54" s="4"/>
      <c r="VGX54" s="4"/>
      <c r="VGY54" s="4"/>
      <c r="VGZ54" s="4"/>
      <c r="VHA54" s="4"/>
      <c r="VHB54" s="4"/>
      <c r="VHC54" s="4"/>
      <c r="VHD54" s="4"/>
      <c r="VHE54" s="4"/>
      <c r="VHF54" s="4"/>
      <c r="VHG54" s="4"/>
      <c r="VHH54" s="4"/>
      <c r="VHI54" s="4"/>
      <c r="VHJ54" s="4"/>
      <c r="VHK54" s="4"/>
      <c r="VHL54" s="4"/>
      <c r="VHM54" s="4"/>
      <c r="VHN54" s="4"/>
      <c r="VHO54" s="4"/>
      <c r="VHP54" s="4"/>
      <c r="VHQ54" s="4"/>
      <c r="VHR54" s="4"/>
      <c r="VHS54" s="4"/>
      <c r="VHT54" s="4"/>
      <c r="VHU54" s="4"/>
      <c r="VHV54" s="4"/>
      <c r="VHW54" s="4"/>
      <c r="VHX54" s="4"/>
      <c r="VHY54" s="4"/>
      <c r="VHZ54" s="4"/>
      <c r="VIA54" s="4"/>
      <c r="VIB54" s="4"/>
      <c r="VIC54" s="4"/>
      <c r="VID54" s="4"/>
      <c r="VIE54" s="4"/>
      <c r="VIF54" s="4"/>
      <c r="VIG54" s="4"/>
      <c r="VIH54" s="4"/>
      <c r="VII54" s="4"/>
      <c r="VIJ54" s="4"/>
      <c r="VIK54" s="4"/>
      <c r="VIL54" s="4"/>
      <c r="VIM54" s="4"/>
      <c r="VIN54" s="4"/>
      <c r="VIO54" s="4"/>
      <c r="VIP54" s="4"/>
      <c r="VIQ54" s="4"/>
      <c r="VIR54" s="4"/>
      <c r="VIS54" s="4"/>
      <c r="VIT54" s="4"/>
      <c r="VIU54" s="4"/>
      <c r="VIV54" s="4"/>
      <c r="VIW54" s="4"/>
      <c r="VIX54" s="4"/>
      <c r="VIY54" s="4"/>
      <c r="VIZ54" s="4"/>
      <c r="VJA54" s="4"/>
      <c r="VJB54" s="4"/>
      <c r="VJC54" s="4"/>
      <c r="VJD54" s="4"/>
      <c r="VJE54" s="4"/>
      <c r="VJF54" s="4"/>
      <c r="VJG54" s="4"/>
      <c r="VJH54" s="4"/>
      <c r="VJI54" s="4"/>
      <c r="VJJ54" s="4"/>
      <c r="VJK54" s="4"/>
      <c r="VJL54" s="4"/>
      <c r="VJM54" s="4"/>
      <c r="VJN54" s="4"/>
      <c r="VJO54" s="4"/>
      <c r="VJP54" s="4"/>
      <c r="VJQ54" s="4"/>
      <c r="VJR54" s="4"/>
      <c r="VJS54" s="4"/>
      <c r="VJT54" s="4"/>
      <c r="VJU54" s="4"/>
      <c r="VJV54" s="4"/>
      <c r="VJW54" s="4"/>
      <c r="VJX54" s="4"/>
      <c r="VJY54" s="4"/>
      <c r="VJZ54" s="4"/>
      <c r="VKA54" s="4"/>
      <c r="VKB54" s="4"/>
      <c r="VKC54" s="4"/>
      <c r="VKD54" s="4"/>
      <c r="VKE54" s="4"/>
      <c r="VKF54" s="4"/>
      <c r="VKG54" s="4"/>
      <c r="VKH54" s="4"/>
      <c r="VKI54" s="4"/>
      <c r="VKJ54" s="4"/>
      <c r="VKK54" s="4"/>
      <c r="VKL54" s="4"/>
      <c r="VKM54" s="4"/>
      <c r="VKN54" s="4"/>
      <c r="VKO54" s="4"/>
      <c r="VKP54" s="4"/>
      <c r="VKQ54" s="4"/>
      <c r="VKR54" s="4"/>
      <c r="VKS54" s="4"/>
      <c r="VKT54" s="4"/>
      <c r="VKU54" s="4"/>
      <c r="VKV54" s="4"/>
      <c r="VKW54" s="4"/>
      <c r="VKX54" s="4"/>
      <c r="VKY54" s="4"/>
      <c r="VKZ54" s="4"/>
      <c r="VLA54" s="4"/>
      <c r="VLB54" s="4"/>
      <c r="VLC54" s="4"/>
      <c r="VLD54" s="4"/>
      <c r="VLE54" s="4"/>
      <c r="VLF54" s="4"/>
      <c r="VLG54" s="4"/>
      <c r="VLH54" s="4"/>
      <c r="VLI54" s="4"/>
      <c r="VLJ54" s="4"/>
      <c r="VLK54" s="4"/>
      <c r="VLL54" s="4"/>
      <c r="VLM54" s="4"/>
      <c r="VLN54" s="4"/>
      <c r="VLO54" s="4"/>
      <c r="VLP54" s="4"/>
      <c r="VLQ54" s="4"/>
      <c r="VLR54" s="4"/>
      <c r="VLS54" s="4"/>
      <c r="VLT54" s="4"/>
      <c r="VLU54" s="4"/>
      <c r="VLV54" s="4"/>
      <c r="VLW54" s="4"/>
      <c r="VLX54" s="4"/>
      <c r="VLY54" s="4"/>
      <c r="VLZ54" s="4"/>
      <c r="VMA54" s="4"/>
      <c r="VMB54" s="4"/>
      <c r="VMC54" s="4"/>
      <c r="VMD54" s="4"/>
      <c r="VME54" s="4"/>
      <c r="VMF54" s="4"/>
      <c r="VMG54" s="4"/>
      <c r="VMH54" s="4"/>
      <c r="VMI54" s="4"/>
      <c r="VMJ54" s="4"/>
      <c r="VMK54" s="4"/>
      <c r="VML54" s="4"/>
      <c r="VMM54" s="4"/>
      <c r="VMN54" s="4"/>
      <c r="VMO54" s="4"/>
      <c r="VMP54" s="4"/>
      <c r="VMQ54" s="4"/>
      <c r="VMR54" s="4"/>
      <c r="VMS54" s="4"/>
      <c r="VMT54" s="4"/>
      <c r="VMU54" s="4"/>
      <c r="VMV54" s="4"/>
      <c r="VMW54" s="4"/>
      <c r="VMX54" s="4"/>
      <c r="VMY54" s="4"/>
      <c r="VMZ54" s="4"/>
      <c r="VNA54" s="4"/>
      <c r="VNB54" s="4"/>
      <c r="VNC54" s="4"/>
      <c r="VND54" s="4"/>
      <c r="VNE54" s="4"/>
      <c r="VNF54" s="4"/>
      <c r="VNG54" s="4"/>
      <c r="VNH54" s="4"/>
      <c r="VNI54" s="4"/>
      <c r="VNJ54" s="4"/>
      <c r="VNK54" s="4"/>
      <c r="VNL54" s="4"/>
      <c r="VNM54" s="4"/>
      <c r="VNN54" s="4"/>
      <c r="VNO54" s="4"/>
      <c r="VNP54" s="4"/>
      <c r="VNQ54" s="4"/>
      <c r="VNR54" s="4"/>
      <c r="VNS54" s="4"/>
      <c r="VNT54" s="4"/>
      <c r="VNU54" s="4"/>
      <c r="VNV54" s="4"/>
      <c r="VNW54" s="4"/>
      <c r="VNX54" s="4"/>
      <c r="VNY54" s="4"/>
      <c r="VNZ54" s="4"/>
      <c r="VOA54" s="4"/>
      <c r="VOB54" s="4"/>
      <c r="VOC54" s="4"/>
      <c r="VOD54" s="4"/>
      <c r="VOE54" s="4"/>
      <c r="VOF54" s="4"/>
      <c r="VOG54" s="4"/>
      <c r="VOH54" s="4"/>
      <c r="VOI54" s="4"/>
      <c r="VOJ54" s="4"/>
      <c r="VOK54" s="4"/>
      <c r="VOL54" s="4"/>
      <c r="VOM54" s="4"/>
      <c r="VON54" s="4"/>
      <c r="VOO54" s="4"/>
      <c r="VOP54" s="4"/>
      <c r="VOQ54" s="4"/>
      <c r="VOR54" s="4"/>
      <c r="VOS54" s="4"/>
      <c r="VOT54" s="4"/>
      <c r="VOU54" s="4"/>
      <c r="VOV54" s="4"/>
      <c r="VOW54" s="4"/>
      <c r="VOX54" s="4"/>
      <c r="VOY54" s="4"/>
      <c r="VOZ54" s="4"/>
      <c r="VPA54" s="4"/>
      <c r="VPB54" s="4"/>
      <c r="VPC54" s="4"/>
      <c r="VPD54" s="4"/>
      <c r="VPE54" s="4"/>
      <c r="VPF54" s="4"/>
      <c r="VPG54" s="4"/>
      <c r="VPH54" s="4"/>
      <c r="VPI54" s="4"/>
      <c r="VPJ54" s="4"/>
      <c r="VPK54" s="4"/>
      <c r="VPL54" s="4"/>
      <c r="VPM54" s="4"/>
      <c r="VPN54" s="4"/>
      <c r="VPO54" s="4"/>
      <c r="VPP54" s="4"/>
      <c r="VPQ54" s="4"/>
      <c r="VPR54" s="4"/>
      <c r="VPS54" s="4"/>
      <c r="VPT54" s="4"/>
      <c r="VPU54" s="4"/>
      <c r="VPV54" s="4"/>
      <c r="VPW54" s="4"/>
      <c r="VPX54" s="4"/>
      <c r="VPY54" s="4"/>
      <c r="VPZ54" s="4"/>
      <c r="VQA54" s="4"/>
      <c r="VQB54" s="4"/>
      <c r="VQC54" s="4"/>
      <c r="VQD54" s="4"/>
      <c r="VQE54" s="4"/>
      <c r="VQF54" s="4"/>
      <c r="VQG54" s="4"/>
      <c r="VQH54" s="4"/>
      <c r="VQI54" s="4"/>
      <c r="VQJ54" s="4"/>
      <c r="VQK54" s="4"/>
      <c r="VQL54" s="4"/>
      <c r="VQM54" s="4"/>
      <c r="VQN54" s="4"/>
      <c r="VQO54" s="4"/>
      <c r="VQP54" s="4"/>
      <c r="VQQ54" s="4"/>
      <c r="VQR54" s="4"/>
      <c r="VQS54" s="4"/>
      <c r="VQT54" s="4"/>
      <c r="VQU54" s="4"/>
      <c r="VQV54" s="4"/>
      <c r="VQW54" s="4"/>
      <c r="VQX54" s="4"/>
      <c r="VQY54" s="4"/>
      <c r="VQZ54" s="4"/>
      <c r="VRA54" s="4"/>
      <c r="VRB54" s="4"/>
      <c r="VRC54" s="4"/>
      <c r="VRD54" s="4"/>
      <c r="VRE54" s="4"/>
      <c r="VRF54" s="4"/>
      <c r="VRG54" s="4"/>
      <c r="VRH54" s="4"/>
      <c r="VRI54" s="4"/>
      <c r="VRJ54" s="4"/>
      <c r="VRK54" s="4"/>
      <c r="VRL54" s="4"/>
      <c r="VRM54" s="4"/>
      <c r="VRN54" s="4"/>
      <c r="VRO54" s="4"/>
      <c r="VRP54" s="4"/>
      <c r="VRQ54" s="4"/>
      <c r="VRR54" s="4"/>
      <c r="VRS54" s="4"/>
      <c r="VRT54" s="4"/>
      <c r="VRU54" s="4"/>
      <c r="VRV54" s="4"/>
      <c r="VRW54" s="4"/>
      <c r="VRX54" s="4"/>
      <c r="VRY54" s="4"/>
      <c r="VRZ54" s="4"/>
      <c r="VSA54" s="4"/>
      <c r="VSB54" s="4"/>
      <c r="VSC54" s="4"/>
      <c r="VSD54" s="4"/>
      <c r="VSE54" s="4"/>
      <c r="VSF54" s="4"/>
      <c r="VSG54" s="4"/>
      <c r="VSH54" s="4"/>
      <c r="VSI54" s="4"/>
      <c r="VSJ54" s="4"/>
      <c r="VSK54" s="4"/>
      <c r="VSL54" s="4"/>
      <c r="VSM54" s="4"/>
      <c r="VSN54" s="4"/>
      <c r="VSO54" s="4"/>
      <c r="VSP54" s="4"/>
      <c r="VSQ54" s="4"/>
      <c r="VSR54" s="4"/>
      <c r="VSS54" s="4"/>
      <c r="VST54" s="4"/>
      <c r="VSU54" s="4"/>
      <c r="VSV54" s="4"/>
      <c r="VSW54" s="4"/>
      <c r="VSX54" s="4"/>
      <c r="VSY54" s="4"/>
      <c r="VSZ54" s="4"/>
      <c r="VTA54" s="4"/>
      <c r="VTB54" s="4"/>
      <c r="VTC54" s="4"/>
      <c r="VTD54" s="4"/>
      <c r="VTE54" s="4"/>
      <c r="VTF54" s="4"/>
      <c r="VTG54" s="4"/>
      <c r="VTH54" s="4"/>
      <c r="VTI54" s="4"/>
      <c r="VTJ54" s="4"/>
      <c r="VTK54" s="4"/>
      <c r="VTL54" s="4"/>
      <c r="VTM54" s="4"/>
      <c r="VTN54" s="4"/>
      <c r="VTO54" s="4"/>
      <c r="VTP54" s="4"/>
      <c r="VTQ54" s="4"/>
      <c r="VTR54" s="4"/>
      <c r="VTS54" s="4"/>
      <c r="VTT54" s="4"/>
      <c r="VTU54" s="4"/>
      <c r="VTV54" s="4"/>
      <c r="VTW54" s="4"/>
      <c r="VTX54" s="4"/>
      <c r="VTY54" s="4"/>
      <c r="VTZ54" s="4"/>
      <c r="VUA54" s="4"/>
      <c r="VUB54" s="4"/>
      <c r="VUC54" s="4"/>
      <c r="VUD54" s="4"/>
      <c r="VUE54" s="4"/>
      <c r="VUF54" s="4"/>
      <c r="VUG54" s="4"/>
      <c r="VUH54" s="4"/>
      <c r="VUI54" s="4"/>
      <c r="VUJ54" s="4"/>
      <c r="VUK54" s="4"/>
      <c r="VUL54" s="4"/>
      <c r="VUM54" s="4"/>
      <c r="VUN54" s="4"/>
      <c r="VUO54" s="4"/>
      <c r="VUP54" s="4"/>
      <c r="VUQ54" s="4"/>
      <c r="VUR54" s="4"/>
      <c r="VUS54" s="4"/>
      <c r="VUT54" s="4"/>
      <c r="VUU54" s="4"/>
      <c r="VUV54" s="4"/>
      <c r="VUW54" s="4"/>
      <c r="VUX54" s="4"/>
      <c r="VUY54" s="4"/>
      <c r="VUZ54" s="4"/>
      <c r="VVA54" s="4"/>
      <c r="VVB54" s="4"/>
      <c r="VVC54" s="4"/>
      <c r="VVD54" s="4"/>
      <c r="VVE54" s="4"/>
      <c r="VVF54" s="4"/>
      <c r="VVG54" s="4"/>
      <c r="VVH54" s="4"/>
      <c r="VVI54" s="4"/>
      <c r="VVJ54" s="4"/>
      <c r="VVK54" s="4"/>
      <c r="VVL54" s="4"/>
      <c r="VVM54" s="4"/>
      <c r="VVN54" s="4"/>
      <c r="VVO54" s="4"/>
      <c r="VVP54" s="4"/>
      <c r="VVQ54" s="4"/>
      <c r="VVR54" s="4"/>
      <c r="VVS54" s="4"/>
      <c r="VVT54" s="4"/>
      <c r="VVU54" s="4"/>
      <c r="VVV54" s="4"/>
      <c r="VVW54" s="4"/>
      <c r="VVX54" s="4"/>
      <c r="VVY54" s="4"/>
      <c r="VVZ54" s="4"/>
      <c r="VWA54" s="4"/>
      <c r="VWB54" s="4"/>
      <c r="VWC54" s="4"/>
      <c r="VWD54" s="4"/>
      <c r="VWE54" s="4"/>
      <c r="VWF54" s="4"/>
      <c r="VWG54" s="4"/>
      <c r="VWH54" s="4"/>
      <c r="VWI54" s="4"/>
      <c r="VWJ54" s="4"/>
      <c r="VWK54" s="4"/>
      <c r="VWL54" s="4"/>
      <c r="VWM54" s="4"/>
      <c r="VWN54" s="4"/>
      <c r="VWO54" s="4"/>
      <c r="VWP54" s="4"/>
      <c r="VWQ54" s="4"/>
      <c r="VWR54" s="4"/>
      <c r="VWS54" s="4"/>
      <c r="VWT54" s="4"/>
      <c r="VWU54" s="4"/>
      <c r="VWV54" s="4"/>
      <c r="VWW54" s="4"/>
      <c r="VWX54" s="4"/>
      <c r="VWY54" s="4"/>
      <c r="VWZ54" s="4"/>
      <c r="VXA54" s="4"/>
      <c r="VXB54" s="4"/>
      <c r="VXC54" s="4"/>
      <c r="VXD54" s="4"/>
      <c r="VXE54" s="4"/>
      <c r="VXF54" s="4"/>
      <c r="VXG54" s="4"/>
      <c r="VXH54" s="4"/>
      <c r="VXI54" s="4"/>
      <c r="VXJ54" s="4"/>
      <c r="VXK54" s="4"/>
      <c r="VXL54" s="4"/>
      <c r="VXM54" s="4"/>
      <c r="VXN54" s="4"/>
      <c r="VXO54" s="4"/>
      <c r="VXP54" s="4"/>
      <c r="VXQ54" s="4"/>
      <c r="VXR54" s="4"/>
      <c r="VXS54" s="4"/>
      <c r="VXT54" s="4"/>
      <c r="VXU54" s="4"/>
      <c r="VXV54" s="4"/>
      <c r="VXW54" s="4"/>
      <c r="VXX54" s="4"/>
      <c r="VXY54" s="4"/>
      <c r="VXZ54" s="4"/>
      <c r="VYA54" s="4"/>
      <c r="VYB54" s="4"/>
      <c r="VYC54" s="4"/>
      <c r="VYD54" s="4"/>
      <c r="VYE54" s="4"/>
      <c r="VYF54" s="4"/>
      <c r="VYG54" s="4"/>
      <c r="VYH54" s="4"/>
      <c r="VYI54" s="4"/>
      <c r="VYJ54" s="4"/>
      <c r="VYK54" s="4"/>
      <c r="VYL54" s="4"/>
      <c r="VYM54" s="4"/>
      <c r="VYN54" s="4"/>
      <c r="VYO54" s="4"/>
      <c r="VYP54" s="4"/>
      <c r="VYQ54" s="4"/>
      <c r="VYR54" s="4"/>
      <c r="VYS54" s="4"/>
      <c r="VYT54" s="4"/>
      <c r="VYU54" s="4"/>
      <c r="VYV54" s="4"/>
      <c r="VYW54" s="4"/>
      <c r="VYX54" s="4"/>
      <c r="VYY54" s="4"/>
      <c r="VYZ54" s="4"/>
      <c r="VZA54" s="4"/>
      <c r="VZB54" s="4"/>
      <c r="VZC54" s="4"/>
      <c r="VZD54" s="4"/>
      <c r="VZE54" s="4"/>
      <c r="VZF54" s="4"/>
      <c r="VZG54" s="4"/>
      <c r="VZH54" s="4"/>
      <c r="VZI54" s="4"/>
      <c r="VZJ54" s="4"/>
      <c r="VZK54" s="4"/>
      <c r="VZL54" s="4"/>
      <c r="VZM54" s="4"/>
      <c r="VZN54" s="4"/>
      <c r="VZO54" s="4"/>
      <c r="VZP54" s="4"/>
      <c r="VZQ54" s="4"/>
      <c r="VZR54" s="4"/>
      <c r="VZS54" s="4"/>
      <c r="VZT54" s="4"/>
      <c r="VZU54" s="4"/>
      <c r="VZV54" s="4"/>
      <c r="VZW54" s="4"/>
      <c r="VZX54" s="4"/>
      <c r="VZY54" s="4"/>
      <c r="VZZ54" s="4"/>
      <c r="WAA54" s="4"/>
      <c r="WAB54" s="4"/>
      <c r="WAC54" s="4"/>
      <c r="WAD54" s="4"/>
      <c r="WAE54" s="4"/>
      <c r="WAF54" s="4"/>
      <c r="WAG54" s="4"/>
      <c r="WAH54" s="4"/>
      <c r="WAI54" s="4"/>
      <c r="WAJ54" s="4"/>
      <c r="WAK54" s="4"/>
      <c r="WAL54" s="4"/>
      <c r="WAM54" s="4"/>
      <c r="WAN54" s="4"/>
      <c r="WAO54" s="4"/>
      <c r="WAP54" s="4"/>
      <c r="WAQ54" s="4"/>
      <c r="WAR54" s="4"/>
      <c r="WAS54" s="4"/>
      <c r="WAT54" s="4"/>
      <c r="WAU54" s="4"/>
      <c r="WAV54" s="4"/>
      <c r="WAW54" s="4"/>
      <c r="WAX54" s="4"/>
      <c r="WAY54" s="4"/>
      <c r="WAZ54" s="4"/>
      <c r="WBA54" s="4"/>
      <c r="WBB54" s="4"/>
      <c r="WBC54" s="4"/>
      <c r="WBD54" s="4"/>
      <c r="WBE54" s="4"/>
      <c r="WBF54" s="4"/>
      <c r="WBG54" s="4"/>
      <c r="WBH54" s="4"/>
      <c r="WBI54" s="4"/>
      <c r="WBJ54" s="4"/>
      <c r="WBK54" s="4"/>
      <c r="WBL54" s="4"/>
      <c r="WBM54" s="4"/>
      <c r="WBN54" s="4"/>
      <c r="WBO54" s="4"/>
      <c r="WBP54" s="4"/>
      <c r="WBQ54" s="4"/>
      <c r="WBR54" s="4"/>
      <c r="WBS54" s="4"/>
      <c r="WBT54" s="4"/>
      <c r="WBU54" s="4"/>
      <c r="WBV54" s="4"/>
      <c r="WBW54" s="4"/>
      <c r="WBX54" s="4"/>
      <c r="WBY54" s="4"/>
      <c r="WBZ54" s="4"/>
      <c r="WCA54" s="4"/>
      <c r="WCB54" s="4"/>
      <c r="WCC54" s="4"/>
      <c r="WCD54" s="4"/>
      <c r="WCE54" s="4"/>
      <c r="WCF54" s="4"/>
      <c r="WCG54" s="4"/>
      <c r="WCH54" s="4"/>
      <c r="WCI54" s="4"/>
      <c r="WCJ54" s="4"/>
      <c r="WCK54" s="4"/>
      <c r="WCL54" s="4"/>
      <c r="WCM54" s="4"/>
      <c r="WCN54" s="4"/>
      <c r="WCO54" s="4"/>
      <c r="WCP54" s="4"/>
      <c r="WCQ54" s="4"/>
      <c r="WCR54" s="4"/>
      <c r="WCS54" s="4"/>
      <c r="WCT54" s="4"/>
      <c r="WCU54" s="4"/>
      <c r="WCV54" s="4"/>
      <c r="WCW54" s="4"/>
      <c r="WCX54" s="4"/>
      <c r="WCY54" s="4"/>
      <c r="WCZ54" s="4"/>
      <c r="WDA54" s="4"/>
      <c r="WDB54" s="4"/>
      <c r="WDC54" s="4"/>
      <c r="WDD54" s="4"/>
      <c r="WDE54" s="4"/>
      <c r="WDF54" s="4"/>
      <c r="WDG54" s="4"/>
      <c r="WDH54" s="4"/>
      <c r="WDI54" s="4"/>
      <c r="WDJ54" s="4"/>
      <c r="WDK54" s="4"/>
      <c r="WDL54" s="4"/>
      <c r="WDM54" s="4"/>
      <c r="WDN54" s="4"/>
      <c r="WDO54" s="4"/>
      <c r="WDP54" s="4"/>
      <c r="WDQ54" s="4"/>
      <c r="WDR54" s="4"/>
      <c r="WDS54" s="4"/>
      <c r="WDT54" s="4"/>
      <c r="WDU54" s="4"/>
      <c r="WDV54" s="4"/>
      <c r="WDW54" s="4"/>
      <c r="WDX54" s="4"/>
      <c r="WDY54" s="4"/>
      <c r="WDZ54" s="4"/>
      <c r="WEA54" s="4"/>
      <c r="WEB54" s="4"/>
      <c r="WEC54" s="4"/>
      <c r="WED54" s="4"/>
      <c r="WEE54" s="4"/>
      <c r="WEF54" s="4"/>
      <c r="WEG54" s="4"/>
      <c r="WEH54" s="4"/>
      <c r="WEI54" s="4"/>
      <c r="WEJ54" s="4"/>
      <c r="WEK54" s="4"/>
      <c r="WEL54" s="4"/>
      <c r="WEM54" s="4"/>
      <c r="WEN54" s="4"/>
      <c r="WEO54" s="4"/>
      <c r="WEP54" s="4"/>
      <c r="WEQ54" s="4"/>
      <c r="WER54" s="4"/>
      <c r="WES54" s="4"/>
      <c r="WET54" s="4"/>
      <c r="WEU54" s="4"/>
      <c r="WEV54" s="4"/>
      <c r="WEW54" s="4"/>
      <c r="WEX54" s="4"/>
      <c r="WEY54" s="4"/>
      <c r="WEZ54" s="4"/>
      <c r="WFA54" s="4"/>
      <c r="WFB54" s="4"/>
      <c r="WFC54" s="4"/>
      <c r="WFD54" s="4"/>
      <c r="WFE54" s="4"/>
      <c r="WFF54" s="4"/>
      <c r="WFG54" s="4"/>
      <c r="WFH54" s="4"/>
      <c r="WFI54" s="4"/>
      <c r="WFJ54" s="4"/>
      <c r="WFK54" s="4"/>
      <c r="WFL54" s="4"/>
      <c r="WFM54" s="4"/>
      <c r="WFN54" s="4"/>
      <c r="WFO54" s="4"/>
      <c r="WFP54" s="4"/>
      <c r="WFQ54" s="4"/>
      <c r="WFR54" s="4"/>
      <c r="WFS54" s="4"/>
      <c r="WFT54" s="4"/>
      <c r="WFU54" s="4"/>
      <c r="WFV54" s="4"/>
      <c r="WFW54" s="4"/>
      <c r="WFX54" s="4"/>
      <c r="WFY54" s="4"/>
      <c r="WFZ54" s="4"/>
      <c r="WGA54" s="4"/>
      <c r="WGB54" s="4"/>
      <c r="WGC54" s="4"/>
      <c r="WGD54" s="4"/>
      <c r="WGE54" s="4"/>
      <c r="WGF54" s="4"/>
      <c r="WGG54" s="4"/>
      <c r="WGH54" s="4"/>
      <c r="WGI54" s="4"/>
      <c r="WGJ54" s="4"/>
      <c r="WGK54" s="4"/>
      <c r="WGL54" s="4"/>
      <c r="WGM54" s="4"/>
      <c r="WGN54" s="4"/>
      <c r="WGO54" s="4"/>
      <c r="WGP54" s="4"/>
      <c r="WGQ54" s="4"/>
      <c r="WGR54" s="4"/>
      <c r="WGS54" s="4"/>
      <c r="WGT54" s="4"/>
      <c r="WGU54" s="4"/>
      <c r="WGV54" s="4"/>
      <c r="WGW54" s="4"/>
      <c r="WGX54" s="4"/>
      <c r="WGY54" s="4"/>
      <c r="WGZ54" s="4"/>
      <c r="WHA54" s="4"/>
      <c r="WHB54" s="4"/>
      <c r="WHC54" s="4"/>
      <c r="WHD54" s="4"/>
      <c r="WHE54" s="4"/>
      <c r="WHF54" s="4"/>
      <c r="WHG54" s="4"/>
      <c r="WHH54" s="4"/>
      <c r="WHI54" s="4"/>
      <c r="WHJ54" s="4"/>
      <c r="WHK54" s="4"/>
      <c r="WHL54" s="4"/>
      <c r="WHM54" s="4"/>
      <c r="WHN54" s="4"/>
      <c r="WHO54" s="4"/>
      <c r="WHP54" s="4"/>
      <c r="WHQ54" s="4"/>
      <c r="WHR54" s="4"/>
      <c r="WHS54" s="4"/>
      <c r="WHT54" s="4"/>
      <c r="WHU54" s="4"/>
      <c r="WHV54" s="4"/>
      <c r="WHW54" s="4"/>
      <c r="WHX54" s="4"/>
      <c r="WHY54" s="4"/>
      <c r="WHZ54" s="4"/>
      <c r="WIA54" s="4"/>
      <c r="WIB54" s="4"/>
      <c r="WIC54" s="4"/>
      <c r="WID54" s="4"/>
      <c r="WIE54" s="4"/>
      <c r="WIF54" s="4"/>
      <c r="WIG54" s="4"/>
      <c r="WIH54" s="4"/>
      <c r="WII54" s="4"/>
      <c r="WIJ54" s="4"/>
      <c r="WIK54" s="4"/>
      <c r="WIL54" s="4"/>
      <c r="WIM54" s="4"/>
      <c r="WIN54" s="4"/>
      <c r="WIO54" s="4"/>
      <c r="WIP54" s="4"/>
      <c r="WIQ54" s="4"/>
      <c r="WIR54" s="4"/>
      <c r="WIS54" s="4"/>
      <c r="WIT54" s="4"/>
      <c r="WIU54" s="4"/>
      <c r="WIV54" s="4"/>
      <c r="WIW54" s="4"/>
      <c r="WIX54" s="4"/>
      <c r="WIY54" s="4"/>
      <c r="WIZ54" s="4"/>
      <c r="WJA54" s="4"/>
      <c r="WJB54" s="4"/>
      <c r="WJC54" s="4"/>
      <c r="WJD54" s="4"/>
      <c r="WJE54" s="4"/>
      <c r="WJF54" s="4"/>
      <c r="WJG54" s="4"/>
      <c r="WJH54" s="4"/>
      <c r="WJI54" s="4"/>
      <c r="WJJ54" s="4"/>
      <c r="WJK54" s="4"/>
      <c r="WJL54" s="4"/>
      <c r="WJM54" s="4"/>
      <c r="WJN54" s="4"/>
      <c r="WJO54" s="4"/>
      <c r="WJP54" s="4"/>
      <c r="WJQ54" s="4"/>
      <c r="WJR54" s="4"/>
      <c r="WJS54" s="4"/>
      <c r="WJT54" s="4"/>
      <c r="WJU54" s="4"/>
      <c r="WJV54" s="4"/>
      <c r="WJW54" s="4"/>
      <c r="WJX54" s="4"/>
      <c r="WJY54" s="4"/>
      <c r="WJZ54" s="4"/>
      <c r="WKA54" s="4"/>
      <c r="WKB54" s="4"/>
      <c r="WKC54" s="4"/>
      <c r="WKD54" s="4"/>
      <c r="WKE54" s="4"/>
      <c r="WKF54" s="4"/>
      <c r="WKG54" s="4"/>
      <c r="WKH54" s="4"/>
      <c r="WKI54" s="4"/>
      <c r="WKJ54" s="4"/>
      <c r="WKK54" s="4"/>
      <c r="WKL54" s="4"/>
      <c r="WKM54" s="4"/>
      <c r="WKN54" s="4"/>
      <c r="WKO54" s="4"/>
      <c r="WKP54" s="4"/>
      <c r="WKQ54" s="4"/>
      <c r="WKR54" s="4"/>
      <c r="WKS54" s="4"/>
      <c r="WKT54" s="4"/>
      <c r="WKU54" s="4"/>
      <c r="WKV54" s="4"/>
      <c r="WKW54" s="4"/>
      <c r="WKX54" s="4"/>
      <c r="WKY54" s="4"/>
      <c r="WKZ54" s="4"/>
      <c r="WLA54" s="4"/>
      <c r="WLB54" s="4"/>
      <c r="WLC54" s="4"/>
      <c r="WLD54" s="4"/>
      <c r="WLE54" s="4"/>
      <c r="WLF54" s="4"/>
      <c r="WLG54" s="4"/>
      <c r="WLH54" s="4"/>
      <c r="WLI54" s="4"/>
      <c r="WLJ54" s="4"/>
      <c r="WLK54" s="4"/>
      <c r="WLL54" s="4"/>
      <c r="WLM54" s="4"/>
      <c r="WLN54" s="4"/>
      <c r="WLO54" s="4"/>
      <c r="WLP54" s="4"/>
      <c r="WLQ54" s="4"/>
      <c r="WLR54" s="4"/>
      <c r="WLS54" s="4"/>
      <c r="WLT54" s="4"/>
      <c r="WLU54" s="4"/>
      <c r="WLV54" s="4"/>
      <c r="WLW54" s="4"/>
      <c r="WLX54" s="4"/>
      <c r="WLY54" s="4"/>
      <c r="WLZ54" s="4"/>
      <c r="WMA54" s="4"/>
      <c r="WMB54" s="4"/>
      <c r="WMC54" s="4"/>
      <c r="WMD54" s="4"/>
      <c r="WME54" s="4"/>
      <c r="WMF54" s="4"/>
      <c r="WMG54" s="4"/>
      <c r="WMH54" s="4"/>
      <c r="WMI54" s="4"/>
      <c r="WMJ54" s="4"/>
      <c r="WMK54" s="4"/>
      <c r="WML54" s="4"/>
      <c r="WMM54" s="4"/>
      <c r="WMN54" s="4"/>
      <c r="WMO54" s="4"/>
      <c r="WMP54" s="4"/>
      <c r="WMQ54" s="4"/>
      <c r="WMR54" s="4"/>
      <c r="WMS54" s="4"/>
      <c r="WMT54" s="4"/>
      <c r="WMU54" s="4"/>
      <c r="WMV54" s="4"/>
      <c r="WMW54" s="4"/>
      <c r="WMX54" s="4"/>
      <c r="WMY54" s="4"/>
      <c r="WMZ54" s="4"/>
      <c r="WNA54" s="4"/>
      <c r="WNB54" s="4"/>
      <c r="WNC54" s="4"/>
      <c r="WND54" s="4"/>
      <c r="WNE54" s="4"/>
      <c r="WNF54" s="4"/>
      <c r="WNG54" s="4"/>
      <c r="WNH54" s="4"/>
      <c r="WNI54" s="4"/>
      <c r="WNJ54" s="4"/>
      <c r="WNK54" s="4"/>
      <c r="WNL54" s="4"/>
      <c r="WNM54" s="4"/>
      <c r="WNN54" s="4"/>
      <c r="WNO54" s="4"/>
      <c r="WNP54" s="4"/>
      <c r="WNQ54" s="4"/>
      <c r="WNR54" s="4"/>
      <c r="WNS54" s="4"/>
      <c r="WNT54" s="4"/>
      <c r="WNU54" s="4"/>
      <c r="WNV54" s="4"/>
      <c r="WNW54" s="4"/>
      <c r="WNX54" s="4"/>
      <c r="WNY54" s="4"/>
      <c r="WNZ54" s="4"/>
      <c r="WOA54" s="4"/>
      <c r="WOB54" s="4"/>
      <c r="WOC54" s="4"/>
      <c r="WOD54" s="4"/>
      <c r="WOE54" s="4"/>
      <c r="WOF54" s="4"/>
      <c r="WOG54" s="4"/>
      <c r="WOH54" s="4"/>
      <c r="WOI54" s="4"/>
      <c r="WOJ54" s="4"/>
      <c r="WOK54" s="4"/>
      <c r="WOL54" s="4"/>
      <c r="WOM54" s="4"/>
      <c r="WON54" s="4"/>
      <c r="WOO54" s="4"/>
      <c r="WOP54" s="4"/>
      <c r="WOQ54" s="4"/>
      <c r="WOR54" s="4"/>
      <c r="WOS54" s="4"/>
      <c r="WOT54" s="4"/>
      <c r="WOU54" s="4"/>
      <c r="WOV54" s="4"/>
      <c r="WOW54" s="4"/>
      <c r="WOX54" s="4"/>
      <c r="WOY54" s="4"/>
      <c r="WOZ54" s="4"/>
      <c r="WPA54" s="4"/>
      <c r="WPB54" s="4"/>
      <c r="WPC54" s="4"/>
      <c r="WPD54" s="4"/>
      <c r="WPE54" s="4"/>
      <c r="WPF54" s="4"/>
      <c r="WPG54" s="4"/>
      <c r="WPH54" s="4"/>
      <c r="WPI54" s="4"/>
      <c r="WPJ54" s="4"/>
      <c r="WPK54" s="4"/>
      <c r="WPL54" s="4"/>
      <c r="WPM54" s="4"/>
      <c r="WPN54" s="4"/>
      <c r="WPO54" s="4"/>
      <c r="WPP54" s="4"/>
      <c r="WPQ54" s="4"/>
      <c r="WPR54" s="4"/>
      <c r="WPS54" s="4"/>
      <c r="WPT54" s="4"/>
      <c r="WPU54" s="4"/>
      <c r="WPV54" s="4"/>
      <c r="WPW54" s="4"/>
      <c r="WPX54" s="4"/>
      <c r="WPY54" s="4"/>
      <c r="WPZ54" s="4"/>
      <c r="WQA54" s="4"/>
      <c r="WQB54" s="4"/>
      <c r="WQC54" s="4"/>
      <c r="WQD54" s="4"/>
      <c r="WQE54" s="4"/>
      <c r="WQF54" s="4"/>
      <c r="WQG54" s="4"/>
      <c r="WQH54" s="4"/>
      <c r="WQI54" s="4"/>
      <c r="WQJ54" s="4"/>
      <c r="WQK54" s="4"/>
      <c r="WQL54" s="4"/>
      <c r="WQM54" s="4"/>
      <c r="WQN54" s="4"/>
      <c r="WQO54" s="4"/>
      <c r="WQP54" s="4"/>
      <c r="WQQ54" s="4"/>
      <c r="WQR54" s="4"/>
      <c r="WQS54" s="4"/>
      <c r="WQT54" s="4"/>
      <c r="WQU54" s="4"/>
      <c r="WQV54" s="4"/>
      <c r="WQW54" s="4"/>
      <c r="WQX54" s="4"/>
      <c r="WQY54" s="4"/>
      <c r="WQZ54" s="4"/>
      <c r="WRA54" s="4"/>
      <c r="WRB54" s="4"/>
      <c r="WRC54" s="4"/>
      <c r="WRD54" s="4"/>
      <c r="WRE54" s="4"/>
      <c r="WRF54" s="4"/>
      <c r="WRG54" s="4"/>
      <c r="WRH54" s="4"/>
      <c r="WRI54" s="4"/>
      <c r="WRJ54" s="4"/>
      <c r="WRK54" s="4"/>
      <c r="WRL54" s="4"/>
      <c r="WRM54" s="4"/>
      <c r="WRN54" s="4"/>
      <c r="WRO54" s="4"/>
      <c r="WRP54" s="4"/>
      <c r="WRQ54" s="4"/>
      <c r="WRR54" s="4"/>
      <c r="WRS54" s="4"/>
      <c r="WRT54" s="4"/>
      <c r="WRU54" s="4"/>
      <c r="WRV54" s="4"/>
      <c r="WRW54" s="4"/>
      <c r="WRX54" s="4"/>
      <c r="WRY54" s="4"/>
      <c r="WRZ54" s="4"/>
      <c r="WSA54" s="4"/>
      <c r="WSB54" s="4"/>
      <c r="WSC54" s="4"/>
      <c r="WSD54" s="4"/>
      <c r="WSE54" s="4"/>
      <c r="WSF54" s="4"/>
      <c r="WSG54" s="4"/>
      <c r="WSH54" s="4"/>
      <c r="WSI54" s="4"/>
      <c r="WSJ54" s="4"/>
      <c r="WSK54" s="4"/>
      <c r="WSL54" s="4"/>
      <c r="WSM54" s="4"/>
      <c r="WSN54" s="4"/>
      <c r="WSO54" s="4"/>
      <c r="WSP54" s="4"/>
      <c r="WSQ54" s="4"/>
      <c r="WSR54" s="4"/>
      <c r="WSS54" s="4"/>
      <c r="WST54" s="4"/>
      <c r="WSU54" s="4"/>
      <c r="WSV54" s="4"/>
      <c r="WSW54" s="4"/>
      <c r="WSX54" s="4"/>
      <c r="WSY54" s="4"/>
      <c r="WSZ54" s="4"/>
      <c r="WTA54" s="4"/>
      <c r="WTB54" s="4"/>
      <c r="WTC54" s="4"/>
      <c r="WTD54" s="4"/>
      <c r="WTE54" s="4"/>
      <c r="WTF54" s="4"/>
      <c r="WTG54" s="4"/>
      <c r="WTH54" s="4"/>
      <c r="WTI54" s="4"/>
      <c r="WTJ54" s="4"/>
      <c r="WTK54" s="4"/>
      <c r="WTL54" s="4"/>
      <c r="WTM54" s="4"/>
      <c r="WTN54" s="4"/>
      <c r="WTO54" s="4"/>
      <c r="WTP54" s="4"/>
      <c r="WTQ54" s="4"/>
      <c r="WTR54" s="4"/>
      <c r="WTS54" s="4"/>
      <c r="WTT54" s="4"/>
      <c r="WTU54" s="4"/>
      <c r="WTV54" s="4"/>
      <c r="WTW54" s="4"/>
      <c r="WTX54" s="4"/>
      <c r="WTY54" s="4"/>
      <c r="WTZ54" s="4"/>
      <c r="WUA54" s="4"/>
      <c r="WUB54" s="4"/>
      <c r="WUC54" s="4"/>
      <c r="WUD54" s="4"/>
      <c r="WUE54" s="4"/>
      <c r="WUF54" s="4"/>
      <c r="WUG54" s="4"/>
      <c r="WUH54" s="4"/>
      <c r="WUI54" s="4"/>
      <c r="WUJ54" s="4"/>
      <c r="WUK54" s="4"/>
      <c r="WUL54" s="4"/>
      <c r="WUM54" s="4"/>
      <c r="WUN54" s="4"/>
      <c r="WUO54" s="4"/>
      <c r="WUP54" s="4"/>
      <c r="WUQ54" s="4"/>
      <c r="WUR54" s="4"/>
      <c r="WUS54" s="4"/>
      <c r="WUT54" s="4"/>
      <c r="WUU54" s="4"/>
      <c r="WUV54" s="4"/>
      <c r="WUW54" s="4"/>
      <c r="WUX54" s="4"/>
      <c r="WUY54" s="4"/>
      <c r="WUZ54" s="4"/>
      <c r="WVA54" s="4"/>
      <c r="WVB54" s="4"/>
      <c r="WVC54" s="4"/>
      <c r="WVD54" s="4"/>
      <c r="WVE54" s="4"/>
      <c r="WVF54" s="4"/>
      <c r="WVG54" s="4"/>
      <c r="WVH54" s="4"/>
      <c r="WVI54" s="4"/>
      <c r="WVJ54" s="4"/>
      <c r="WVK54" s="4"/>
      <c r="WVL54" s="4"/>
      <c r="WVM54" s="4"/>
      <c r="WVN54" s="4"/>
      <c r="WVO54" s="4"/>
      <c r="WVP54" s="4"/>
      <c r="WVQ54" s="4"/>
      <c r="WVR54" s="4"/>
      <c r="WVS54" s="4"/>
      <c r="WVT54" s="4"/>
      <c r="WVU54" s="4"/>
      <c r="WVV54" s="4"/>
      <c r="WVW54" s="4"/>
      <c r="WVX54" s="4"/>
      <c r="WVY54" s="4"/>
      <c r="WVZ54" s="4"/>
      <c r="WWA54" s="4"/>
      <c r="WWB54" s="4"/>
      <c r="WWC54" s="4"/>
      <c r="WWD54" s="4"/>
      <c r="WWE54" s="4"/>
      <c r="WWF54" s="4"/>
      <c r="WWG54" s="4"/>
      <c r="WWH54" s="4"/>
      <c r="WWI54" s="4"/>
      <c r="WWJ54" s="4"/>
      <c r="WWK54" s="4"/>
      <c r="WWL54" s="4"/>
      <c r="WWM54" s="4"/>
      <c r="WWN54" s="4"/>
      <c r="WWO54" s="4"/>
      <c r="WWP54" s="4"/>
      <c r="WWQ54" s="4"/>
      <c r="WWR54" s="4"/>
      <c r="WWS54" s="4"/>
      <c r="WWT54" s="4"/>
      <c r="WWU54" s="4"/>
      <c r="WWV54" s="4"/>
      <c r="WWW54" s="4"/>
      <c r="WWX54" s="4"/>
      <c r="WWY54" s="4"/>
      <c r="WWZ54" s="4"/>
      <c r="WXA54" s="4"/>
      <c r="WXB54" s="4"/>
      <c r="WXC54" s="4"/>
      <c r="WXD54" s="4"/>
      <c r="WXE54" s="4"/>
      <c r="WXF54" s="4"/>
      <c r="WXG54" s="4"/>
      <c r="WXH54" s="4"/>
      <c r="WXI54" s="4"/>
      <c r="WXJ54" s="4"/>
      <c r="WXK54" s="4"/>
      <c r="WXL54" s="4"/>
      <c r="WXM54" s="4"/>
      <c r="WXN54" s="4"/>
      <c r="WXO54" s="4"/>
      <c r="WXP54" s="4"/>
      <c r="WXQ54" s="4"/>
      <c r="WXR54" s="4"/>
      <c r="WXS54" s="4"/>
      <c r="WXT54" s="4"/>
      <c r="WXU54" s="4"/>
      <c r="WXV54" s="4"/>
      <c r="WXW54" s="4"/>
      <c r="WXX54" s="4"/>
      <c r="WXY54" s="4"/>
      <c r="WXZ54" s="4"/>
      <c r="WYA54" s="4"/>
      <c r="WYB54" s="4"/>
      <c r="WYC54" s="4"/>
      <c r="WYD54" s="4"/>
      <c r="WYE54" s="4"/>
      <c r="WYF54" s="4"/>
      <c r="WYG54" s="4"/>
      <c r="WYH54" s="4"/>
      <c r="WYI54" s="4"/>
      <c r="WYJ54" s="4"/>
      <c r="WYK54" s="4"/>
      <c r="WYL54" s="4"/>
      <c r="WYM54" s="4"/>
      <c r="WYN54" s="4"/>
      <c r="WYO54" s="4"/>
      <c r="WYP54" s="4"/>
      <c r="WYQ54" s="4"/>
      <c r="WYR54" s="4"/>
      <c r="WYS54" s="4"/>
      <c r="WYT54" s="4"/>
      <c r="WYU54" s="4"/>
      <c r="WYV54" s="4"/>
      <c r="WYW54" s="4"/>
      <c r="WYX54" s="4"/>
      <c r="WYY54" s="4"/>
      <c r="WYZ54" s="4"/>
      <c r="WZA54" s="4"/>
      <c r="WZB54" s="4"/>
      <c r="WZC54" s="4"/>
      <c r="WZD54" s="4"/>
      <c r="WZE54" s="4"/>
      <c r="WZF54" s="4"/>
      <c r="WZG54" s="4"/>
      <c r="WZH54" s="4"/>
      <c r="WZI54" s="4"/>
      <c r="WZJ54" s="4"/>
      <c r="WZK54" s="4"/>
      <c r="WZL54" s="4"/>
      <c r="WZM54" s="4"/>
      <c r="WZN54" s="4"/>
      <c r="WZO54" s="4"/>
      <c r="WZP54" s="4"/>
      <c r="WZQ54" s="4"/>
      <c r="WZR54" s="4"/>
      <c r="WZS54" s="4"/>
      <c r="WZT54" s="4"/>
      <c r="WZU54" s="4"/>
      <c r="WZV54" s="4"/>
      <c r="WZW54" s="4"/>
      <c r="WZX54" s="4"/>
      <c r="WZY54" s="4"/>
      <c r="WZZ54" s="4"/>
      <c r="XAA54" s="4"/>
      <c r="XAB54" s="4"/>
      <c r="XAC54" s="4"/>
      <c r="XAD54" s="4"/>
      <c r="XAE54" s="4"/>
      <c r="XAF54" s="4"/>
      <c r="XAG54" s="4"/>
      <c r="XAH54" s="4"/>
      <c r="XAI54" s="4"/>
      <c r="XAJ54" s="4"/>
      <c r="XAK54" s="4"/>
      <c r="XAL54" s="4"/>
      <c r="XAM54" s="4"/>
      <c r="XAN54" s="4"/>
      <c r="XAO54" s="4"/>
      <c r="XAP54" s="4"/>
      <c r="XAQ54" s="4"/>
      <c r="XAR54" s="4"/>
      <c r="XAS54" s="4"/>
      <c r="XAT54" s="4"/>
      <c r="XAU54" s="4"/>
      <c r="XAV54" s="4"/>
      <c r="XAW54" s="4"/>
      <c r="XAX54" s="4"/>
      <c r="XAY54" s="4"/>
      <c r="XAZ54" s="4"/>
      <c r="XBA54" s="4"/>
      <c r="XBB54" s="4"/>
      <c r="XBC54" s="4"/>
      <c r="XBD54" s="4"/>
      <c r="XBE54" s="4"/>
      <c r="XBF54" s="4"/>
      <c r="XBG54" s="4"/>
      <c r="XBH54" s="4"/>
      <c r="XBI54" s="4"/>
      <c r="XBJ54" s="4"/>
      <c r="XBK54" s="4"/>
      <c r="XBL54" s="4"/>
      <c r="XBM54" s="4"/>
      <c r="XBN54" s="4"/>
      <c r="XBO54" s="4"/>
      <c r="XBP54" s="4"/>
      <c r="XBQ54" s="4"/>
      <c r="XBR54" s="4"/>
      <c r="XBS54" s="4"/>
      <c r="XBT54" s="4"/>
      <c r="XBU54" s="4"/>
      <c r="XBV54" s="4"/>
      <c r="XBW54" s="4"/>
      <c r="XBX54" s="4"/>
      <c r="XBY54" s="4"/>
      <c r="XBZ54" s="4"/>
      <c r="XCA54" s="4"/>
      <c r="XCB54" s="4"/>
      <c r="XCC54" s="4"/>
      <c r="XCD54" s="4"/>
      <c r="XCE54" s="4"/>
      <c r="XCF54" s="4"/>
      <c r="XCG54" s="4"/>
      <c r="XCH54" s="4"/>
      <c r="XCI54" s="4"/>
      <c r="XCJ54" s="4"/>
      <c r="XCK54" s="4"/>
      <c r="XCL54" s="4"/>
      <c r="XCM54" s="4"/>
      <c r="XCN54" s="4"/>
      <c r="XCO54" s="4"/>
      <c r="XCP54" s="4"/>
      <c r="XCQ54" s="4"/>
      <c r="XCR54" s="4"/>
      <c r="XCS54" s="4"/>
      <c r="XCT54" s="4"/>
      <c r="XCU54" s="4"/>
      <c r="XCV54" s="4"/>
      <c r="XCW54" s="4"/>
      <c r="XCX54" s="4"/>
      <c r="XCY54" s="4"/>
      <c r="XCZ54" s="4"/>
      <c r="XDA54" s="4"/>
      <c r="XDB54" s="4"/>
      <c r="XDC54" s="4"/>
      <c r="XDD54" s="4"/>
      <c r="XDE54" s="4"/>
      <c r="XDF54" s="4"/>
      <c r="XDG54" s="4"/>
      <c r="XDH54" s="4"/>
      <c r="XDI54" s="4"/>
      <c r="XDJ54" s="4"/>
      <c r="XDK54" s="4"/>
      <c r="XDL54" s="4"/>
      <c r="XDM54" s="4"/>
      <c r="XDN54" s="4"/>
      <c r="XDO54" s="4"/>
      <c r="XDP54" s="4"/>
      <c r="XDQ54" s="4"/>
      <c r="XDR54" s="4"/>
      <c r="XDS54" s="4"/>
      <c r="XDT54" s="4"/>
      <c r="XDU54" s="4"/>
      <c r="XDV54" s="4"/>
      <c r="XDW54" s="4"/>
      <c r="XDX54" s="4"/>
      <c r="XDY54" s="4"/>
      <c r="XDZ54" s="4"/>
      <c r="XEA54" s="4"/>
      <c r="XEB54" s="4"/>
      <c r="XEC54" s="4"/>
      <c r="XED54" s="4"/>
      <c r="XEE54" s="4"/>
      <c r="XEF54" s="4"/>
      <c r="XEG54" s="4"/>
      <c r="XEH54" s="4"/>
      <c r="XEI54" s="4"/>
      <c r="XEJ54" s="4"/>
      <c r="XEK54" s="4"/>
      <c r="XEL54" s="4"/>
      <c r="XEM54" s="4"/>
      <c r="XEN54" s="4"/>
      <c r="XEO54" s="4"/>
      <c r="XEP54" s="4"/>
      <c r="XEQ54" s="4"/>
      <c r="XER54" s="4"/>
      <c r="XES54" s="4"/>
      <c r="XET54" s="4"/>
      <c r="XEU54" s="4"/>
      <c r="XEV54" s="4"/>
      <c r="XEW54" s="4"/>
      <c r="XEX54" s="4"/>
      <c r="XEY54" s="4"/>
      <c r="XEZ54" s="4"/>
      <c r="XFA54" s="4"/>
      <c r="XFB54" s="4"/>
      <c r="XFC54" s="4"/>
      <c r="XFD54" s="4"/>
    </row>
    <row r="55" spans="1:16384" x14ac:dyDescent="0.2">
      <c r="A55" s="4" t="str">
        <f>+A27</f>
        <v>February</v>
      </c>
      <c r="B55" s="4">
        <f>+B13*B50</f>
        <v>-56922.749758939732</v>
      </c>
      <c r="C55" s="4">
        <f t="shared" si="17"/>
        <v>-4442.0208053885463</v>
      </c>
      <c r="D55" s="4">
        <f t="shared" si="17"/>
        <v>-9257.0490525303412</v>
      </c>
      <c r="E55" s="4">
        <f t="shared" si="17"/>
        <v>12041.772707576169</v>
      </c>
      <c r="F55" s="4">
        <f t="shared" si="17"/>
        <v>1073.2353780347116</v>
      </c>
      <c r="G55" s="4">
        <f t="shared" si="17"/>
        <v>-481.60077163917481</v>
      </c>
      <c r="H55" s="4">
        <f t="shared" si="17"/>
        <v>1933.8074297146502</v>
      </c>
      <c r="I55" s="4">
        <f t="shared" si="17"/>
        <v>4905.5430557488435</v>
      </c>
      <c r="J55" s="4">
        <f t="shared" si="17"/>
        <v>0</v>
      </c>
      <c r="K55" s="4">
        <f t="shared" si="17"/>
        <v>-149.92915409228584</v>
      </c>
      <c r="L55" s="4">
        <f t="shared" si="17"/>
        <v>0</v>
      </c>
      <c r="M55" s="4">
        <f t="shared" si="17"/>
        <v>-12569.591837282051</v>
      </c>
      <c r="N55" s="4">
        <f t="shared" si="17"/>
        <v>-124.36852461103847</v>
      </c>
      <c r="O55" s="4">
        <f t="shared" si="17"/>
        <v>-8045.3493098092058</v>
      </c>
      <c r="P55" s="4">
        <f t="shared" si="17"/>
        <v>-679.16286698713395</v>
      </c>
      <c r="Q55" s="4">
        <f t="shared" si="17"/>
        <v>0</v>
      </c>
      <c r="R55" s="4">
        <f>SUM(B55:Q55)</f>
        <v>-72717.463510205125</v>
      </c>
      <c r="S55" s="4">
        <f>R38+R97</f>
        <v>-33247.209923336814</v>
      </c>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c r="IV55" s="4"/>
      <c r="IW55" s="4"/>
      <c r="IX55" s="4"/>
      <c r="IY55" s="4"/>
      <c r="IZ55" s="4"/>
      <c r="JA55" s="4"/>
      <c r="JB55" s="4"/>
      <c r="JC55" s="4"/>
      <c r="JD55" s="4"/>
      <c r="JE55" s="4"/>
      <c r="JF55" s="4"/>
      <c r="JG55" s="4"/>
      <c r="JH55" s="4"/>
      <c r="JI55" s="4"/>
      <c r="JJ55" s="4"/>
      <c r="JK55" s="4"/>
      <c r="JL55" s="4"/>
      <c r="JM55" s="4"/>
      <c r="JN55" s="4"/>
      <c r="JO55" s="4"/>
      <c r="JP55" s="4"/>
      <c r="JQ55" s="4"/>
      <c r="JR55" s="4"/>
      <c r="JS55" s="4"/>
      <c r="JT55" s="4"/>
      <c r="JU55" s="4"/>
      <c r="JV55" s="4"/>
      <c r="JW55" s="4"/>
      <c r="JX55" s="4"/>
      <c r="JY55" s="4"/>
      <c r="JZ55" s="4"/>
      <c r="KA55" s="4"/>
      <c r="KB55" s="4"/>
      <c r="KC55" s="4"/>
      <c r="KD55" s="4"/>
      <c r="KE55" s="4"/>
      <c r="KF55" s="4"/>
      <c r="KG55" s="4"/>
      <c r="KH55" s="4"/>
      <c r="KI55" s="4"/>
      <c r="KJ55" s="4"/>
      <c r="KK55" s="4"/>
      <c r="KL55" s="4"/>
      <c r="KM55" s="4"/>
      <c r="KN55" s="4"/>
      <c r="KO55" s="4"/>
      <c r="KP55" s="4"/>
      <c r="KQ55" s="4"/>
      <c r="KR55" s="4"/>
      <c r="KS55" s="4"/>
      <c r="KT55" s="4"/>
      <c r="KU55" s="4"/>
      <c r="KV55" s="4"/>
      <c r="KW55" s="4"/>
      <c r="KX55" s="4"/>
      <c r="KY55" s="4"/>
      <c r="KZ55" s="4"/>
      <c r="LA55" s="4"/>
      <c r="LB55" s="4"/>
      <c r="LC55" s="4"/>
      <c r="LD55" s="4"/>
      <c r="LE55" s="4"/>
      <c r="LF55" s="4"/>
      <c r="LG55" s="4"/>
      <c r="LH55" s="4"/>
      <c r="LI55" s="4"/>
      <c r="LJ55" s="4"/>
      <c r="LK55" s="4"/>
      <c r="LL55" s="4"/>
      <c r="LM55" s="4"/>
      <c r="LN55" s="4"/>
      <c r="LO55" s="4"/>
      <c r="LP55" s="4"/>
      <c r="LQ55" s="4"/>
      <c r="LR55" s="4"/>
      <c r="LS55" s="4"/>
      <c r="LT55" s="4"/>
      <c r="LU55" s="4"/>
      <c r="LV55" s="4"/>
      <c r="LW55" s="4"/>
      <c r="LX55" s="4"/>
      <c r="LY55" s="4"/>
      <c r="LZ55" s="4"/>
      <c r="MA55" s="4"/>
      <c r="MB55" s="4"/>
      <c r="MC55" s="4"/>
      <c r="MD55" s="4"/>
      <c r="ME55" s="4"/>
      <c r="MF55" s="4"/>
      <c r="MG55" s="4"/>
      <c r="MH55" s="4"/>
      <c r="MI55" s="4"/>
      <c r="MJ55" s="4"/>
      <c r="MK55" s="4"/>
      <c r="ML55" s="4"/>
      <c r="MM55" s="4"/>
      <c r="MN55" s="4"/>
      <c r="MO55" s="4"/>
      <c r="MP55" s="4"/>
      <c r="MQ55" s="4"/>
      <c r="MR55" s="4"/>
      <c r="MS55" s="4"/>
      <c r="MT55" s="4"/>
      <c r="MU55" s="4"/>
      <c r="MV55" s="4"/>
      <c r="MW55" s="4"/>
      <c r="MX55" s="4"/>
      <c r="MY55" s="4"/>
      <c r="MZ55" s="4"/>
      <c r="NA55" s="4"/>
      <c r="NB55" s="4"/>
      <c r="NC55" s="4"/>
      <c r="ND55" s="4"/>
      <c r="NE55" s="4"/>
      <c r="NF55" s="4"/>
      <c r="NG55" s="4"/>
      <c r="NH55" s="4"/>
      <c r="NI55" s="4"/>
      <c r="NJ55" s="4"/>
      <c r="NK55" s="4"/>
      <c r="NL55" s="4"/>
      <c r="NM55" s="4"/>
      <c r="NN55" s="4"/>
      <c r="NO55" s="4"/>
      <c r="NP55" s="4"/>
      <c r="NQ55" s="4"/>
      <c r="NR55" s="4"/>
      <c r="NS55" s="4"/>
      <c r="NT55" s="4"/>
      <c r="NU55" s="4"/>
      <c r="NV55" s="4"/>
      <c r="NW55" s="4"/>
      <c r="NX55" s="4"/>
      <c r="NY55" s="4"/>
      <c r="NZ55" s="4"/>
      <c r="OA55" s="4"/>
      <c r="OB55" s="4"/>
      <c r="OC55" s="4"/>
      <c r="OD55" s="4"/>
      <c r="OE55" s="4"/>
      <c r="OF55" s="4"/>
      <c r="OG55" s="4"/>
      <c r="OH55" s="4"/>
      <c r="OI55" s="4"/>
      <c r="OJ55" s="4"/>
      <c r="OK55" s="4"/>
      <c r="OL55" s="4"/>
      <c r="OM55" s="4"/>
      <c r="ON55" s="4"/>
      <c r="OO55" s="4"/>
      <c r="OP55" s="4"/>
      <c r="OQ55" s="4"/>
      <c r="OR55" s="4"/>
      <c r="OS55" s="4"/>
      <c r="OT55" s="4"/>
      <c r="OU55" s="4"/>
      <c r="OV55" s="4"/>
      <c r="OW55" s="4"/>
      <c r="OX55" s="4"/>
      <c r="OY55" s="4"/>
      <c r="OZ55" s="4"/>
      <c r="PA55" s="4"/>
      <c r="PB55" s="4"/>
      <c r="PC55" s="4"/>
      <c r="PD55" s="4"/>
      <c r="PE55" s="4"/>
      <c r="PF55" s="4"/>
      <c r="PG55" s="4"/>
      <c r="PH55" s="4"/>
      <c r="PI55" s="4"/>
      <c r="PJ55" s="4"/>
      <c r="PK55" s="4"/>
      <c r="PL55" s="4"/>
      <c r="PM55" s="4"/>
      <c r="PN55" s="4"/>
      <c r="PO55" s="4"/>
      <c r="PP55" s="4"/>
      <c r="PQ55" s="4"/>
      <c r="PR55" s="4"/>
      <c r="PS55" s="4"/>
      <c r="PT55" s="4"/>
      <c r="PU55" s="4"/>
      <c r="PV55" s="4"/>
      <c r="PW55" s="4"/>
      <c r="PX55" s="4"/>
      <c r="PY55" s="4"/>
      <c r="PZ55" s="4"/>
      <c r="QA55" s="4"/>
      <c r="QB55" s="4"/>
      <c r="QC55" s="4"/>
      <c r="QD55" s="4"/>
      <c r="QE55" s="4"/>
      <c r="QF55" s="4"/>
      <c r="QG55" s="4"/>
      <c r="QH55" s="4"/>
      <c r="QI55" s="4"/>
      <c r="QJ55" s="4"/>
      <c r="QK55" s="4"/>
      <c r="QL55" s="4"/>
      <c r="QM55" s="4"/>
      <c r="QN55" s="4"/>
      <c r="QO55" s="4"/>
      <c r="QP55" s="4"/>
      <c r="QQ55" s="4"/>
      <c r="QR55" s="4"/>
      <c r="QS55" s="4"/>
      <c r="QT55" s="4"/>
      <c r="QU55" s="4"/>
      <c r="QV55" s="4"/>
      <c r="QW55" s="4"/>
      <c r="QX55" s="4"/>
      <c r="QY55" s="4"/>
      <c r="QZ55" s="4"/>
      <c r="RA55" s="4"/>
      <c r="RB55" s="4"/>
      <c r="RC55" s="4"/>
      <c r="RD55" s="4"/>
      <c r="RE55" s="4"/>
      <c r="RF55" s="4"/>
      <c r="RG55" s="4"/>
      <c r="RH55" s="4"/>
      <c r="RI55" s="4"/>
      <c r="RJ55" s="4"/>
      <c r="RK55" s="4"/>
      <c r="RL55" s="4"/>
      <c r="RM55" s="4"/>
      <c r="RN55" s="4"/>
      <c r="RO55" s="4"/>
      <c r="RP55" s="4"/>
      <c r="RQ55" s="4"/>
      <c r="RR55" s="4"/>
      <c r="RS55" s="4"/>
      <c r="RT55" s="4"/>
      <c r="RU55" s="4"/>
      <c r="RV55" s="4"/>
      <c r="RW55" s="4"/>
      <c r="RX55" s="4"/>
      <c r="RY55" s="4"/>
      <c r="RZ55" s="4"/>
      <c r="SA55" s="4"/>
      <c r="SB55" s="4"/>
      <c r="SC55" s="4"/>
      <c r="SD55" s="4"/>
      <c r="SE55" s="4"/>
      <c r="SF55" s="4"/>
      <c r="SG55" s="4"/>
      <c r="SH55" s="4"/>
      <c r="SI55" s="4"/>
      <c r="SJ55" s="4"/>
      <c r="SK55" s="4"/>
      <c r="SL55" s="4"/>
      <c r="SM55" s="4"/>
      <c r="SN55" s="4"/>
      <c r="SO55" s="4"/>
      <c r="SP55" s="4"/>
      <c r="SQ55" s="4"/>
      <c r="SR55" s="4"/>
      <c r="SS55" s="4"/>
      <c r="ST55" s="4"/>
      <c r="SU55" s="4"/>
      <c r="SV55" s="4"/>
      <c r="SW55" s="4"/>
      <c r="SX55" s="4"/>
      <c r="SY55" s="4"/>
      <c r="SZ55" s="4"/>
      <c r="TA55" s="4"/>
      <c r="TB55" s="4"/>
      <c r="TC55" s="4"/>
      <c r="TD55" s="4"/>
      <c r="TE55" s="4"/>
      <c r="TF55" s="4"/>
      <c r="TG55" s="4"/>
      <c r="TH55" s="4"/>
      <c r="TI55" s="4"/>
      <c r="TJ55" s="4"/>
      <c r="TK55" s="4"/>
      <c r="TL55" s="4"/>
      <c r="TM55" s="4"/>
      <c r="TN55" s="4"/>
      <c r="TO55" s="4"/>
      <c r="TP55" s="4"/>
      <c r="TQ55" s="4"/>
      <c r="TR55" s="4"/>
      <c r="TS55" s="4"/>
      <c r="TT55" s="4"/>
      <c r="TU55" s="4"/>
      <c r="TV55" s="4"/>
      <c r="TW55" s="4"/>
      <c r="TX55" s="4"/>
      <c r="TY55" s="4"/>
      <c r="TZ55" s="4"/>
      <c r="UA55" s="4"/>
      <c r="UB55" s="4"/>
      <c r="UC55" s="4"/>
      <c r="UD55" s="4"/>
      <c r="UE55" s="4"/>
      <c r="UF55" s="4"/>
      <c r="UG55" s="4"/>
      <c r="UH55" s="4"/>
      <c r="UI55" s="4"/>
      <c r="UJ55" s="4"/>
      <c r="UK55" s="4"/>
      <c r="UL55" s="4"/>
      <c r="UM55" s="4"/>
      <c r="UN55" s="4"/>
      <c r="UO55" s="4"/>
      <c r="UP55" s="4"/>
      <c r="UQ55" s="4"/>
      <c r="UR55" s="4"/>
      <c r="US55" s="4"/>
      <c r="UT55" s="4"/>
      <c r="UU55" s="4"/>
      <c r="UV55" s="4"/>
      <c r="UW55" s="4"/>
      <c r="UX55" s="4"/>
      <c r="UY55" s="4"/>
      <c r="UZ55" s="4"/>
      <c r="VA55" s="4"/>
      <c r="VB55" s="4"/>
      <c r="VC55" s="4"/>
      <c r="VD55" s="4"/>
      <c r="VE55" s="4"/>
      <c r="VF55" s="4"/>
      <c r="VG55" s="4"/>
      <c r="VH55" s="4"/>
      <c r="VI55" s="4"/>
      <c r="VJ55" s="4"/>
      <c r="VK55" s="4"/>
      <c r="VL55" s="4"/>
      <c r="VM55" s="4"/>
      <c r="VN55" s="4"/>
      <c r="VO55" s="4"/>
      <c r="VP55" s="4"/>
      <c r="VQ55" s="4"/>
      <c r="VR55" s="4"/>
      <c r="VS55" s="4"/>
      <c r="VT55" s="4"/>
      <c r="VU55" s="4"/>
      <c r="VV55" s="4"/>
      <c r="VW55" s="4"/>
      <c r="VX55" s="4"/>
      <c r="VY55" s="4"/>
      <c r="VZ55" s="4"/>
      <c r="WA55" s="4"/>
      <c r="WB55" s="4"/>
      <c r="WC55" s="4"/>
      <c r="WD55" s="4"/>
      <c r="WE55" s="4"/>
      <c r="WF55" s="4"/>
      <c r="WG55" s="4"/>
      <c r="WH55" s="4"/>
      <c r="WI55" s="4"/>
      <c r="WJ55" s="4"/>
      <c r="WK55" s="4"/>
      <c r="WL55" s="4"/>
      <c r="WM55" s="4"/>
      <c r="WN55" s="4"/>
      <c r="WO55" s="4"/>
      <c r="WP55" s="4"/>
      <c r="WQ55" s="4"/>
      <c r="WR55" s="4"/>
      <c r="WS55" s="4"/>
      <c r="WT55" s="4"/>
      <c r="WU55" s="4"/>
      <c r="WV55" s="4"/>
      <c r="WW55" s="4"/>
      <c r="WX55" s="4"/>
      <c r="WY55" s="4"/>
      <c r="WZ55" s="4"/>
      <c r="XA55" s="4"/>
      <c r="XB55" s="4"/>
      <c r="XC55" s="4"/>
      <c r="XD55" s="4"/>
      <c r="XE55" s="4"/>
      <c r="XF55" s="4"/>
      <c r="XG55" s="4"/>
      <c r="XH55" s="4"/>
      <c r="XI55" s="4"/>
      <c r="XJ55" s="4"/>
      <c r="XK55" s="4"/>
      <c r="XL55" s="4"/>
      <c r="XM55" s="4"/>
      <c r="XN55" s="4"/>
      <c r="XO55" s="4"/>
      <c r="XP55" s="4"/>
      <c r="XQ55" s="4"/>
      <c r="XR55" s="4"/>
      <c r="XS55" s="4"/>
      <c r="XT55" s="4"/>
      <c r="XU55" s="4"/>
      <c r="XV55" s="4"/>
      <c r="XW55" s="4"/>
      <c r="XX55" s="4"/>
      <c r="XY55" s="4"/>
      <c r="XZ55" s="4"/>
      <c r="YA55" s="4"/>
      <c r="YB55" s="4"/>
      <c r="YC55" s="4"/>
      <c r="YD55" s="4"/>
      <c r="YE55" s="4"/>
      <c r="YF55" s="4"/>
      <c r="YG55" s="4"/>
      <c r="YH55" s="4"/>
      <c r="YI55" s="4"/>
      <c r="YJ55" s="4"/>
      <c r="YK55" s="4"/>
      <c r="YL55" s="4"/>
      <c r="YM55" s="4"/>
      <c r="YN55" s="4"/>
      <c r="YO55" s="4"/>
      <c r="YP55" s="4"/>
      <c r="YQ55" s="4"/>
      <c r="YR55" s="4"/>
      <c r="YS55" s="4"/>
      <c r="YT55" s="4"/>
      <c r="YU55" s="4"/>
      <c r="YV55" s="4"/>
      <c r="YW55" s="4"/>
      <c r="YX55" s="4"/>
      <c r="YY55" s="4"/>
      <c r="YZ55" s="4"/>
      <c r="ZA55" s="4"/>
      <c r="ZB55" s="4"/>
      <c r="ZC55" s="4"/>
      <c r="ZD55" s="4"/>
      <c r="ZE55" s="4"/>
      <c r="ZF55" s="4"/>
      <c r="ZG55" s="4"/>
      <c r="ZH55" s="4"/>
      <c r="ZI55" s="4"/>
      <c r="ZJ55" s="4"/>
      <c r="ZK55" s="4"/>
      <c r="ZL55" s="4"/>
      <c r="ZM55" s="4"/>
      <c r="ZN55" s="4"/>
      <c r="ZO55" s="4"/>
      <c r="ZP55" s="4"/>
      <c r="ZQ55" s="4"/>
      <c r="ZR55" s="4"/>
      <c r="ZS55" s="4"/>
      <c r="ZT55" s="4"/>
      <c r="ZU55" s="4"/>
      <c r="ZV55" s="4"/>
      <c r="ZW55" s="4"/>
      <c r="ZX55" s="4"/>
      <c r="ZY55" s="4"/>
      <c r="ZZ55" s="4"/>
      <c r="AAA55" s="4"/>
      <c r="AAB55" s="4"/>
      <c r="AAC55" s="4"/>
      <c r="AAD55" s="4"/>
      <c r="AAE55" s="4"/>
      <c r="AAF55" s="4"/>
      <c r="AAG55" s="4"/>
      <c r="AAH55" s="4"/>
      <c r="AAI55" s="4"/>
      <c r="AAJ55" s="4"/>
      <c r="AAK55" s="4"/>
      <c r="AAL55" s="4"/>
      <c r="AAM55" s="4"/>
      <c r="AAN55" s="4"/>
      <c r="AAO55" s="4"/>
      <c r="AAP55" s="4"/>
      <c r="AAQ55" s="4"/>
      <c r="AAR55" s="4"/>
      <c r="AAS55" s="4"/>
      <c r="AAT55" s="4"/>
      <c r="AAU55" s="4"/>
      <c r="AAV55" s="4"/>
      <c r="AAW55" s="4"/>
      <c r="AAX55" s="4"/>
      <c r="AAY55" s="4"/>
      <c r="AAZ55" s="4"/>
      <c r="ABA55" s="4"/>
      <c r="ABB55" s="4"/>
      <c r="ABC55" s="4"/>
      <c r="ABD55" s="4"/>
      <c r="ABE55" s="4"/>
      <c r="ABF55" s="4"/>
      <c r="ABG55" s="4"/>
      <c r="ABH55" s="4"/>
      <c r="ABI55" s="4"/>
      <c r="ABJ55" s="4"/>
      <c r="ABK55" s="4"/>
      <c r="ABL55" s="4"/>
      <c r="ABM55" s="4"/>
      <c r="ABN55" s="4"/>
      <c r="ABO55" s="4"/>
      <c r="ABP55" s="4"/>
      <c r="ABQ55" s="4"/>
      <c r="ABR55" s="4"/>
      <c r="ABS55" s="4"/>
      <c r="ABT55" s="4"/>
      <c r="ABU55" s="4"/>
      <c r="ABV55" s="4"/>
      <c r="ABW55" s="4"/>
      <c r="ABX55" s="4"/>
      <c r="ABY55" s="4"/>
      <c r="ABZ55" s="4"/>
      <c r="ACA55" s="4"/>
      <c r="ACB55" s="4"/>
      <c r="ACC55" s="4"/>
      <c r="ACD55" s="4"/>
      <c r="ACE55" s="4"/>
      <c r="ACF55" s="4"/>
      <c r="ACG55" s="4"/>
      <c r="ACH55" s="4"/>
      <c r="ACI55" s="4"/>
      <c r="ACJ55" s="4"/>
      <c r="ACK55" s="4"/>
      <c r="ACL55" s="4"/>
      <c r="ACM55" s="4"/>
      <c r="ACN55" s="4"/>
      <c r="ACO55" s="4"/>
      <c r="ACP55" s="4"/>
      <c r="ACQ55" s="4"/>
      <c r="ACR55" s="4"/>
      <c r="ACS55" s="4"/>
      <c r="ACT55" s="4"/>
      <c r="ACU55" s="4"/>
      <c r="ACV55" s="4"/>
      <c r="ACW55" s="4"/>
      <c r="ACX55" s="4"/>
      <c r="ACY55" s="4"/>
      <c r="ACZ55" s="4"/>
      <c r="ADA55" s="4"/>
      <c r="ADB55" s="4"/>
      <c r="ADC55" s="4"/>
      <c r="ADD55" s="4"/>
      <c r="ADE55" s="4"/>
      <c r="ADF55" s="4"/>
      <c r="ADG55" s="4"/>
      <c r="ADH55" s="4"/>
      <c r="ADI55" s="4"/>
      <c r="ADJ55" s="4"/>
      <c r="ADK55" s="4"/>
      <c r="ADL55" s="4"/>
      <c r="ADM55" s="4"/>
      <c r="ADN55" s="4"/>
      <c r="ADO55" s="4"/>
      <c r="ADP55" s="4"/>
      <c r="ADQ55" s="4"/>
      <c r="ADR55" s="4"/>
      <c r="ADS55" s="4"/>
      <c r="ADT55" s="4"/>
      <c r="ADU55" s="4"/>
      <c r="ADV55" s="4"/>
      <c r="ADW55" s="4"/>
      <c r="ADX55" s="4"/>
      <c r="ADY55" s="4"/>
      <c r="ADZ55" s="4"/>
      <c r="AEA55" s="4"/>
      <c r="AEB55" s="4"/>
      <c r="AEC55" s="4"/>
      <c r="AED55" s="4"/>
      <c r="AEE55" s="4"/>
      <c r="AEF55" s="4"/>
      <c r="AEG55" s="4"/>
      <c r="AEH55" s="4"/>
      <c r="AEI55" s="4"/>
      <c r="AEJ55" s="4"/>
      <c r="AEK55" s="4"/>
      <c r="AEL55" s="4"/>
      <c r="AEM55" s="4"/>
      <c r="AEN55" s="4"/>
      <c r="AEO55" s="4"/>
      <c r="AEP55" s="4"/>
      <c r="AEQ55" s="4"/>
      <c r="AER55" s="4"/>
      <c r="AES55" s="4"/>
      <c r="AET55" s="4"/>
      <c r="AEU55" s="4"/>
      <c r="AEV55" s="4"/>
      <c r="AEW55" s="4"/>
      <c r="AEX55" s="4"/>
      <c r="AEY55" s="4"/>
      <c r="AEZ55" s="4"/>
      <c r="AFA55" s="4"/>
      <c r="AFB55" s="4"/>
      <c r="AFC55" s="4"/>
      <c r="AFD55" s="4"/>
      <c r="AFE55" s="4"/>
      <c r="AFF55" s="4"/>
      <c r="AFG55" s="4"/>
      <c r="AFH55" s="4"/>
      <c r="AFI55" s="4"/>
      <c r="AFJ55" s="4"/>
      <c r="AFK55" s="4"/>
      <c r="AFL55" s="4"/>
      <c r="AFM55" s="4"/>
      <c r="AFN55" s="4"/>
      <c r="AFO55" s="4"/>
      <c r="AFP55" s="4"/>
      <c r="AFQ55" s="4"/>
      <c r="AFR55" s="4"/>
      <c r="AFS55" s="4"/>
      <c r="AFT55" s="4"/>
      <c r="AFU55" s="4"/>
      <c r="AFV55" s="4"/>
      <c r="AFW55" s="4"/>
      <c r="AFX55" s="4"/>
      <c r="AFY55" s="4"/>
      <c r="AFZ55" s="4"/>
      <c r="AGA55" s="4"/>
      <c r="AGB55" s="4"/>
      <c r="AGC55" s="4"/>
      <c r="AGD55" s="4"/>
      <c r="AGE55" s="4"/>
      <c r="AGF55" s="4"/>
      <c r="AGG55" s="4"/>
      <c r="AGH55" s="4"/>
      <c r="AGI55" s="4"/>
      <c r="AGJ55" s="4"/>
      <c r="AGK55" s="4"/>
      <c r="AGL55" s="4"/>
      <c r="AGM55" s="4"/>
      <c r="AGN55" s="4"/>
      <c r="AGO55" s="4"/>
      <c r="AGP55" s="4"/>
      <c r="AGQ55" s="4"/>
      <c r="AGR55" s="4"/>
      <c r="AGS55" s="4"/>
      <c r="AGT55" s="4"/>
      <c r="AGU55" s="4"/>
      <c r="AGV55" s="4"/>
      <c r="AGW55" s="4"/>
      <c r="AGX55" s="4"/>
      <c r="AGY55" s="4"/>
      <c r="AGZ55" s="4"/>
      <c r="AHA55" s="4"/>
      <c r="AHB55" s="4"/>
      <c r="AHC55" s="4"/>
      <c r="AHD55" s="4"/>
      <c r="AHE55" s="4"/>
      <c r="AHF55" s="4"/>
      <c r="AHG55" s="4"/>
      <c r="AHH55" s="4"/>
      <c r="AHI55" s="4"/>
      <c r="AHJ55" s="4"/>
      <c r="AHK55" s="4"/>
      <c r="AHL55" s="4"/>
      <c r="AHM55" s="4"/>
      <c r="AHN55" s="4"/>
      <c r="AHO55" s="4"/>
      <c r="AHP55" s="4"/>
      <c r="AHQ55" s="4"/>
      <c r="AHR55" s="4"/>
      <c r="AHS55" s="4"/>
      <c r="AHT55" s="4"/>
      <c r="AHU55" s="4"/>
      <c r="AHV55" s="4"/>
      <c r="AHW55" s="4"/>
      <c r="AHX55" s="4"/>
      <c r="AHY55" s="4"/>
      <c r="AHZ55" s="4"/>
      <c r="AIA55" s="4"/>
      <c r="AIB55" s="4"/>
      <c r="AIC55" s="4"/>
      <c r="AID55" s="4"/>
      <c r="AIE55" s="4"/>
      <c r="AIF55" s="4"/>
      <c r="AIG55" s="4"/>
      <c r="AIH55" s="4"/>
      <c r="AII55" s="4"/>
      <c r="AIJ55" s="4"/>
      <c r="AIK55" s="4"/>
      <c r="AIL55" s="4"/>
      <c r="AIM55" s="4"/>
      <c r="AIN55" s="4"/>
      <c r="AIO55" s="4"/>
      <c r="AIP55" s="4"/>
      <c r="AIQ55" s="4"/>
      <c r="AIR55" s="4"/>
      <c r="AIS55" s="4"/>
      <c r="AIT55" s="4"/>
      <c r="AIU55" s="4"/>
      <c r="AIV55" s="4"/>
      <c r="AIW55" s="4"/>
      <c r="AIX55" s="4"/>
      <c r="AIY55" s="4"/>
      <c r="AIZ55" s="4"/>
      <c r="AJA55" s="4"/>
      <c r="AJB55" s="4"/>
      <c r="AJC55" s="4"/>
      <c r="AJD55" s="4"/>
      <c r="AJE55" s="4"/>
      <c r="AJF55" s="4"/>
      <c r="AJG55" s="4"/>
      <c r="AJH55" s="4"/>
      <c r="AJI55" s="4"/>
      <c r="AJJ55" s="4"/>
      <c r="AJK55" s="4"/>
      <c r="AJL55" s="4"/>
      <c r="AJM55" s="4"/>
      <c r="AJN55" s="4"/>
      <c r="AJO55" s="4"/>
      <c r="AJP55" s="4"/>
      <c r="AJQ55" s="4"/>
      <c r="AJR55" s="4"/>
      <c r="AJS55" s="4"/>
      <c r="AJT55" s="4"/>
      <c r="AJU55" s="4"/>
      <c r="AJV55" s="4"/>
      <c r="AJW55" s="4"/>
      <c r="AJX55" s="4"/>
      <c r="AJY55" s="4"/>
      <c r="AJZ55" s="4"/>
      <c r="AKA55" s="4"/>
      <c r="AKB55" s="4"/>
      <c r="AKC55" s="4"/>
      <c r="AKD55" s="4"/>
      <c r="AKE55" s="4"/>
      <c r="AKF55" s="4"/>
      <c r="AKG55" s="4"/>
      <c r="AKH55" s="4"/>
      <c r="AKI55" s="4"/>
      <c r="AKJ55" s="4"/>
      <c r="AKK55" s="4"/>
      <c r="AKL55" s="4"/>
      <c r="AKM55" s="4"/>
      <c r="AKN55" s="4"/>
      <c r="AKO55" s="4"/>
      <c r="AKP55" s="4"/>
      <c r="AKQ55" s="4"/>
      <c r="AKR55" s="4"/>
      <c r="AKS55" s="4"/>
      <c r="AKT55" s="4"/>
      <c r="AKU55" s="4"/>
      <c r="AKV55" s="4"/>
      <c r="AKW55" s="4"/>
      <c r="AKX55" s="4"/>
      <c r="AKY55" s="4"/>
      <c r="AKZ55" s="4"/>
      <c r="ALA55" s="4"/>
      <c r="ALB55" s="4"/>
      <c r="ALC55" s="4"/>
      <c r="ALD55" s="4"/>
      <c r="ALE55" s="4"/>
      <c r="ALF55" s="4"/>
      <c r="ALG55" s="4"/>
      <c r="ALH55" s="4"/>
      <c r="ALI55" s="4"/>
      <c r="ALJ55" s="4"/>
      <c r="ALK55" s="4"/>
      <c r="ALL55" s="4"/>
      <c r="ALM55" s="4"/>
      <c r="ALN55" s="4"/>
      <c r="ALO55" s="4"/>
      <c r="ALP55" s="4"/>
      <c r="ALQ55" s="4"/>
      <c r="ALR55" s="4"/>
      <c r="ALS55" s="4"/>
      <c r="ALT55" s="4"/>
      <c r="ALU55" s="4"/>
      <c r="ALV55" s="4"/>
      <c r="ALW55" s="4"/>
      <c r="ALX55" s="4"/>
      <c r="ALY55" s="4"/>
      <c r="ALZ55" s="4"/>
      <c r="AMA55" s="4"/>
      <c r="AMB55" s="4"/>
      <c r="AMC55" s="4"/>
      <c r="AMD55" s="4"/>
      <c r="AME55" s="4"/>
      <c r="AMF55" s="4"/>
      <c r="AMG55" s="4"/>
      <c r="AMH55" s="4"/>
      <c r="AMI55" s="4"/>
      <c r="AMJ55" s="4"/>
      <c r="AMK55" s="4"/>
      <c r="AML55" s="4"/>
      <c r="AMM55" s="4"/>
      <c r="AMN55" s="4"/>
      <c r="AMO55" s="4"/>
      <c r="AMP55" s="4"/>
      <c r="AMQ55" s="4"/>
      <c r="AMR55" s="4"/>
      <c r="AMS55" s="4"/>
      <c r="AMT55" s="4"/>
      <c r="AMU55" s="4"/>
      <c r="AMV55" s="4"/>
      <c r="AMW55" s="4"/>
      <c r="AMX55" s="4"/>
      <c r="AMY55" s="4"/>
      <c r="AMZ55" s="4"/>
      <c r="ANA55" s="4"/>
      <c r="ANB55" s="4"/>
      <c r="ANC55" s="4"/>
      <c r="AND55" s="4"/>
      <c r="ANE55" s="4"/>
      <c r="ANF55" s="4"/>
      <c r="ANG55" s="4"/>
      <c r="ANH55" s="4"/>
      <c r="ANI55" s="4"/>
      <c r="ANJ55" s="4"/>
      <c r="ANK55" s="4"/>
      <c r="ANL55" s="4"/>
      <c r="ANM55" s="4"/>
      <c r="ANN55" s="4"/>
      <c r="ANO55" s="4"/>
      <c r="ANP55" s="4"/>
      <c r="ANQ55" s="4"/>
      <c r="ANR55" s="4"/>
      <c r="ANS55" s="4"/>
      <c r="ANT55" s="4"/>
      <c r="ANU55" s="4"/>
      <c r="ANV55" s="4"/>
      <c r="ANW55" s="4"/>
      <c r="ANX55" s="4"/>
      <c r="ANY55" s="4"/>
      <c r="ANZ55" s="4"/>
      <c r="AOA55" s="4"/>
      <c r="AOB55" s="4"/>
      <c r="AOC55" s="4"/>
      <c r="AOD55" s="4"/>
      <c r="AOE55" s="4"/>
      <c r="AOF55" s="4"/>
      <c r="AOG55" s="4"/>
      <c r="AOH55" s="4"/>
      <c r="AOI55" s="4"/>
      <c r="AOJ55" s="4"/>
      <c r="AOK55" s="4"/>
      <c r="AOL55" s="4"/>
      <c r="AOM55" s="4"/>
      <c r="AON55" s="4"/>
      <c r="AOO55" s="4"/>
      <c r="AOP55" s="4"/>
      <c r="AOQ55" s="4"/>
      <c r="AOR55" s="4"/>
      <c r="AOS55" s="4"/>
      <c r="AOT55" s="4"/>
      <c r="AOU55" s="4"/>
      <c r="AOV55" s="4"/>
      <c r="AOW55" s="4"/>
      <c r="AOX55" s="4"/>
      <c r="AOY55" s="4"/>
      <c r="AOZ55" s="4"/>
      <c r="APA55" s="4"/>
      <c r="APB55" s="4"/>
      <c r="APC55" s="4"/>
      <c r="APD55" s="4"/>
      <c r="APE55" s="4"/>
      <c r="APF55" s="4"/>
      <c r="APG55" s="4"/>
      <c r="APH55" s="4"/>
      <c r="API55" s="4"/>
      <c r="APJ55" s="4"/>
      <c r="APK55" s="4"/>
      <c r="APL55" s="4"/>
      <c r="APM55" s="4"/>
      <c r="APN55" s="4"/>
      <c r="APO55" s="4"/>
      <c r="APP55" s="4"/>
      <c r="APQ55" s="4"/>
      <c r="APR55" s="4"/>
      <c r="APS55" s="4"/>
      <c r="APT55" s="4"/>
      <c r="APU55" s="4"/>
      <c r="APV55" s="4"/>
      <c r="APW55" s="4"/>
      <c r="APX55" s="4"/>
      <c r="APY55" s="4"/>
      <c r="APZ55" s="4"/>
      <c r="AQA55" s="4"/>
      <c r="AQB55" s="4"/>
      <c r="AQC55" s="4"/>
      <c r="AQD55" s="4"/>
      <c r="AQE55" s="4"/>
      <c r="AQF55" s="4"/>
      <c r="AQG55" s="4"/>
      <c r="AQH55" s="4"/>
      <c r="AQI55" s="4"/>
      <c r="AQJ55" s="4"/>
      <c r="AQK55" s="4"/>
      <c r="AQL55" s="4"/>
      <c r="AQM55" s="4"/>
      <c r="AQN55" s="4"/>
      <c r="AQO55" s="4"/>
      <c r="AQP55" s="4"/>
      <c r="AQQ55" s="4"/>
      <c r="AQR55" s="4"/>
      <c r="AQS55" s="4"/>
      <c r="AQT55" s="4"/>
      <c r="AQU55" s="4"/>
      <c r="AQV55" s="4"/>
      <c r="AQW55" s="4"/>
      <c r="AQX55" s="4"/>
      <c r="AQY55" s="4"/>
      <c r="AQZ55" s="4"/>
      <c r="ARA55" s="4"/>
      <c r="ARB55" s="4"/>
      <c r="ARC55" s="4"/>
      <c r="ARD55" s="4"/>
      <c r="ARE55" s="4"/>
      <c r="ARF55" s="4"/>
      <c r="ARG55" s="4"/>
      <c r="ARH55" s="4"/>
      <c r="ARI55" s="4"/>
      <c r="ARJ55" s="4"/>
      <c r="ARK55" s="4"/>
      <c r="ARL55" s="4"/>
      <c r="ARM55" s="4"/>
      <c r="ARN55" s="4"/>
      <c r="ARO55" s="4"/>
      <c r="ARP55" s="4"/>
      <c r="ARQ55" s="4"/>
      <c r="ARR55" s="4"/>
      <c r="ARS55" s="4"/>
      <c r="ART55" s="4"/>
      <c r="ARU55" s="4"/>
      <c r="ARV55" s="4"/>
      <c r="ARW55" s="4"/>
      <c r="ARX55" s="4"/>
      <c r="ARY55" s="4"/>
      <c r="ARZ55" s="4"/>
      <c r="ASA55" s="4"/>
      <c r="ASB55" s="4"/>
      <c r="ASC55" s="4"/>
      <c r="ASD55" s="4"/>
      <c r="ASE55" s="4"/>
      <c r="ASF55" s="4"/>
      <c r="ASG55" s="4"/>
      <c r="ASH55" s="4"/>
      <c r="ASI55" s="4"/>
      <c r="ASJ55" s="4"/>
      <c r="ASK55" s="4"/>
      <c r="ASL55" s="4"/>
      <c r="ASM55" s="4"/>
      <c r="ASN55" s="4"/>
      <c r="ASO55" s="4"/>
      <c r="ASP55" s="4"/>
      <c r="ASQ55" s="4"/>
      <c r="ASR55" s="4"/>
      <c r="ASS55" s="4"/>
      <c r="AST55" s="4"/>
      <c r="ASU55" s="4"/>
      <c r="ASV55" s="4"/>
      <c r="ASW55" s="4"/>
      <c r="ASX55" s="4"/>
      <c r="ASY55" s="4"/>
      <c r="ASZ55" s="4"/>
      <c r="ATA55" s="4"/>
      <c r="ATB55" s="4"/>
      <c r="ATC55" s="4"/>
      <c r="ATD55" s="4"/>
      <c r="ATE55" s="4"/>
      <c r="ATF55" s="4"/>
      <c r="ATG55" s="4"/>
      <c r="ATH55" s="4"/>
      <c r="ATI55" s="4"/>
      <c r="ATJ55" s="4"/>
      <c r="ATK55" s="4"/>
      <c r="ATL55" s="4"/>
      <c r="ATM55" s="4"/>
      <c r="ATN55" s="4"/>
      <c r="ATO55" s="4"/>
      <c r="ATP55" s="4"/>
      <c r="ATQ55" s="4"/>
      <c r="ATR55" s="4"/>
      <c r="ATS55" s="4"/>
      <c r="ATT55" s="4"/>
      <c r="ATU55" s="4"/>
      <c r="ATV55" s="4"/>
      <c r="ATW55" s="4"/>
      <c r="ATX55" s="4"/>
      <c r="ATY55" s="4"/>
      <c r="ATZ55" s="4"/>
      <c r="AUA55" s="4"/>
      <c r="AUB55" s="4"/>
      <c r="AUC55" s="4"/>
      <c r="AUD55" s="4"/>
      <c r="AUE55" s="4"/>
      <c r="AUF55" s="4"/>
      <c r="AUG55" s="4"/>
      <c r="AUH55" s="4"/>
      <c r="AUI55" s="4"/>
      <c r="AUJ55" s="4"/>
      <c r="AUK55" s="4"/>
      <c r="AUL55" s="4"/>
      <c r="AUM55" s="4"/>
      <c r="AUN55" s="4"/>
      <c r="AUO55" s="4"/>
      <c r="AUP55" s="4"/>
      <c r="AUQ55" s="4"/>
      <c r="AUR55" s="4"/>
      <c r="AUS55" s="4"/>
      <c r="AUT55" s="4"/>
      <c r="AUU55" s="4"/>
      <c r="AUV55" s="4"/>
      <c r="AUW55" s="4"/>
      <c r="AUX55" s="4"/>
      <c r="AUY55" s="4"/>
      <c r="AUZ55" s="4"/>
      <c r="AVA55" s="4"/>
      <c r="AVB55" s="4"/>
      <c r="AVC55" s="4"/>
      <c r="AVD55" s="4"/>
      <c r="AVE55" s="4"/>
      <c r="AVF55" s="4"/>
      <c r="AVG55" s="4"/>
      <c r="AVH55" s="4"/>
      <c r="AVI55" s="4"/>
      <c r="AVJ55" s="4"/>
      <c r="AVK55" s="4"/>
      <c r="AVL55" s="4"/>
      <c r="AVM55" s="4"/>
      <c r="AVN55" s="4"/>
      <c r="AVO55" s="4"/>
      <c r="AVP55" s="4"/>
      <c r="AVQ55" s="4"/>
      <c r="AVR55" s="4"/>
      <c r="AVS55" s="4"/>
      <c r="AVT55" s="4"/>
      <c r="AVU55" s="4"/>
      <c r="AVV55" s="4"/>
      <c r="AVW55" s="4"/>
      <c r="AVX55" s="4"/>
      <c r="AVY55" s="4"/>
      <c r="AVZ55" s="4"/>
      <c r="AWA55" s="4"/>
      <c r="AWB55" s="4"/>
      <c r="AWC55" s="4"/>
      <c r="AWD55" s="4"/>
      <c r="AWE55" s="4"/>
      <c r="AWF55" s="4"/>
      <c r="AWG55" s="4"/>
      <c r="AWH55" s="4"/>
      <c r="AWI55" s="4"/>
      <c r="AWJ55" s="4"/>
      <c r="AWK55" s="4"/>
      <c r="AWL55" s="4"/>
      <c r="AWM55" s="4"/>
      <c r="AWN55" s="4"/>
      <c r="AWO55" s="4"/>
      <c r="AWP55" s="4"/>
      <c r="AWQ55" s="4"/>
      <c r="AWR55" s="4"/>
      <c r="AWS55" s="4"/>
      <c r="AWT55" s="4"/>
      <c r="AWU55" s="4"/>
      <c r="AWV55" s="4"/>
      <c r="AWW55" s="4"/>
      <c r="AWX55" s="4"/>
      <c r="AWY55" s="4"/>
      <c r="AWZ55" s="4"/>
      <c r="AXA55" s="4"/>
      <c r="AXB55" s="4"/>
      <c r="AXC55" s="4"/>
      <c r="AXD55" s="4"/>
      <c r="AXE55" s="4"/>
      <c r="AXF55" s="4"/>
      <c r="AXG55" s="4"/>
      <c r="AXH55" s="4"/>
      <c r="AXI55" s="4"/>
      <c r="AXJ55" s="4"/>
      <c r="AXK55" s="4"/>
      <c r="AXL55" s="4"/>
      <c r="AXM55" s="4"/>
      <c r="AXN55" s="4"/>
      <c r="AXO55" s="4"/>
      <c r="AXP55" s="4"/>
      <c r="AXQ55" s="4"/>
      <c r="AXR55" s="4"/>
      <c r="AXS55" s="4"/>
      <c r="AXT55" s="4"/>
      <c r="AXU55" s="4"/>
      <c r="AXV55" s="4"/>
      <c r="AXW55" s="4"/>
      <c r="AXX55" s="4"/>
      <c r="AXY55" s="4"/>
      <c r="AXZ55" s="4"/>
      <c r="AYA55" s="4"/>
      <c r="AYB55" s="4"/>
      <c r="AYC55" s="4"/>
      <c r="AYD55" s="4"/>
      <c r="AYE55" s="4"/>
      <c r="AYF55" s="4"/>
      <c r="AYG55" s="4"/>
      <c r="AYH55" s="4"/>
      <c r="AYI55" s="4"/>
      <c r="AYJ55" s="4"/>
      <c r="AYK55" s="4"/>
      <c r="AYL55" s="4"/>
      <c r="AYM55" s="4"/>
      <c r="AYN55" s="4"/>
      <c r="AYO55" s="4"/>
      <c r="AYP55" s="4"/>
      <c r="AYQ55" s="4"/>
      <c r="AYR55" s="4"/>
      <c r="AYS55" s="4"/>
      <c r="AYT55" s="4"/>
      <c r="AYU55" s="4"/>
      <c r="AYV55" s="4"/>
      <c r="AYW55" s="4"/>
      <c r="AYX55" s="4"/>
      <c r="AYY55" s="4"/>
      <c r="AYZ55" s="4"/>
      <c r="AZA55" s="4"/>
      <c r="AZB55" s="4"/>
      <c r="AZC55" s="4"/>
      <c r="AZD55" s="4"/>
      <c r="AZE55" s="4"/>
      <c r="AZF55" s="4"/>
      <c r="AZG55" s="4"/>
      <c r="AZH55" s="4"/>
      <c r="AZI55" s="4"/>
      <c r="AZJ55" s="4"/>
      <c r="AZK55" s="4"/>
      <c r="AZL55" s="4"/>
      <c r="AZM55" s="4"/>
      <c r="AZN55" s="4"/>
      <c r="AZO55" s="4"/>
      <c r="AZP55" s="4"/>
      <c r="AZQ55" s="4"/>
      <c r="AZR55" s="4"/>
      <c r="AZS55" s="4"/>
      <c r="AZT55" s="4"/>
      <c r="AZU55" s="4"/>
      <c r="AZV55" s="4"/>
      <c r="AZW55" s="4"/>
      <c r="AZX55" s="4"/>
      <c r="AZY55" s="4"/>
      <c r="AZZ55" s="4"/>
      <c r="BAA55" s="4"/>
      <c r="BAB55" s="4"/>
      <c r="BAC55" s="4"/>
      <c r="BAD55" s="4"/>
      <c r="BAE55" s="4"/>
      <c r="BAF55" s="4"/>
      <c r="BAG55" s="4"/>
      <c r="BAH55" s="4"/>
      <c r="BAI55" s="4"/>
      <c r="BAJ55" s="4"/>
      <c r="BAK55" s="4"/>
      <c r="BAL55" s="4"/>
      <c r="BAM55" s="4"/>
      <c r="BAN55" s="4"/>
      <c r="BAO55" s="4"/>
      <c r="BAP55" s="4"/>
      <c r="BAQ55" s="4"/>
      <c r="BAR55" s="4"/>
      <c r="BAS55" s="4"/>
      <c r="BAT55" s="4"/>
      <c r="BAU55" s="4"/>
      <c r="BAV55" s="4"/>
      <c r="BAW55" s="4"/>
      <c r="BAX55" s="4"/>
      <c r="BAY55" s="4"/>
      <c r="BAZ55" s="4"/>
      <c r="BBA55" s="4"/>
      <c r="BBB55" s="4"/>
      <c r="BBC55" s="4"/>
      <c r="BBD55" s="4"/>
      <c r="BBE55" s="4"/>
      <c r="BBF55" s="4"/>
      <c r="BBG55" s="4"/>
      <c r="BBH55" s="4"/>
      <c r="BBI55" s="4"/>
      <c r="BBJ55" s="4"/>
      <c r="BBK55" s="4"/>
      <c r="BBL55" s="4"/>
      <c r="BBM55" s="4"/>
      <c r="BBN55" s="4"/>
      <c r="BBO55" s="4"/>
      <c r="BBP55" s="4"/>
      <c r="BBQ55" s="4"/>
      <c r="BBR55" s="4"/>
      <c r="BBS55" s="4"/>
      <c r="BBT55" s="4"/>
      <c r="BBU55" s="4"/>
      <c r="BBV55" s="4"/>
      <c r="BBW55" s="4"/>
      <c r="BBX55" s="4"/>
      <c r="BBY55" s="4"/>
      <c r="BBZ55" s="4"/>
      <c r="BCA55" s="4"/>
      <c r="BCB55" s="4"/>
      <c r="BCC55" s="4"/>
      <c r="BCD55" s="4"/>
      <c r="BCE55" s="4"/>
      <c r="BCF55" s="4"/>
      <c r="BCG55" s="4"/>
      <c r="BCH55" s="4"/>
      <c r="BCI55" s="4"/>
      <c r="BCJ55" s="4"/>
      <c r="BCK55" s="4"/>
      <c r="BCL55" s="4"/>
      <c r="BCM55" s="4"/>
      <c r="BCN55" s="4"/>
      <c r="BCO55" s="4"/>
      <c r="BCP55" s="4"/>
      <c r="BCQ55" s="4"/>
      <c r="BCR55" s="4"/>
      <c r="BCS55" s="4"/>
      <c r="BCT55" s="4"/>
      <c r="BCU55" s="4"/>
      <c r="BCV55" s="4"/>
      <c r="BCW55" s="4"/>
      <c r="BCX55" s="4"/>
      <c r="BCY55" s="4"/>
      <c r="BCZ55" s="4"/>
      <c r="BDA55" s="4"/>
      <c r="BDB55" s="4"/>
      <c r="BDC55" s="4"/>
      <c r="BDD55" s="4"/>
      <c r="BDE55" s="4"/>
      <c r="BDF55" s="4"/>
      <c r="BDG55" s="4"/>
      <c r="BDH55" s="4"/>
      <c r="BDI55" s="4"/>
      <c r="BDJ55" s="4"/>
      <c r="BDK55" s="4"/>
      <c r="BDL55" s="4"/>
      <c r="BDM55" s="4"/>
      <c r="BDN55" s="4"/>
      <c r="BDO55" s="4"/>
      <c r="BDP55" s="4"/>
      <c r="BDQ55" s="4"/>
      <c r="BDR55" s="4"/>
      <c r="BDS55" s="4"/>
      <c r="BDT55" s="4"/>
      <c r="BDU55" s="4"/>
      <c r="BDV55" s="4"/>
      <c r="BDW55" s="4"/>
      <c r="BDX55" s="4"/>
      <c r="BDY55" s="4"/>
      <c r="BDZ55" s="4"/>
      <c r="BEA55" s="4"/>
      <c r="BEB55" s="4"/>
      <c r="BEC55" s="4"/>
      <c r="BED55" s="4"/>
      <c r="BEE55" s="4"/>
      <c r="BEF55" s="4"/>
      <c r="BEG55" s="4"/>
      <c r="BEH55" s="4"/>
      <c r="BEI55" s="4"/>
      <c r="BEJ55" s="4"/>
      <c r="BEK55" s="4"/>
      <c r="BEL55" s="4"/>
      <c r="BEM55" s="4"/>
      <c r="BEN55" s="4"/>
      <c r="BEO55" s="4"/>
      <c r="BEP55" s="4"/>
      <c r="BEQ55" s="4"/>
      <c r="BER55" s="4"/>
      <c r="BES55" s="4"/>
      <c r="BET55" s="4"/>
      <c r="BEU55" s="4"/>
      <c r="BEV55" s="4"/>
      <c r="BEW55" s="4"/>
      <c r="BEX55" s="4"/>
      <c r="BEY55" s="4"/>
      <c r="BEZ55" s="4"/>
      <c r="BFA55" s="4"/>
      <c r="BFB55" s="4"/>
      <c r="BFC55" s="4"/>
      <c r="BFD55" s="4"/>
      <c r="BFE55" s="4"/>
      <c r="BFF55" s="4"/>
      <c r="BFG55" s="4"/>
      <c r="BFH55" s="4"/>
      <c r="BFI55" s="4"/>
      <c r="BFJ55" s="4"/>
      <c r="BFK55" s="4"/>
      <c r="BFL55" s="4"/>
      <c r="BFM55" s="4"/>
      <c r="BFN55" s="4"/>
      <c r="BFO55" s="4"/>
      <c r="BFP55" s="4"/>
      <c r="BFQ55" s="4"/>
      <c r="BFR55" s="4"/>
      <c r="BFS55" s="4"/>
      <c r="BFT55" s="4"/>
      <c r="BFU55" s="4"/>
      <c r="BFV55" s="4"/>
      <c r="BFW55" s="4"/>
      <c r="BFX55" s="4"/>
      <c r="BFY55" s="4"/>
      <c r="BFZ55" s="4"/>
      <c r="BGA55" s="4"/>
      <c r="BGB55" s="4"/>
      <c r="BGC55" s="4"/>
      <c r="BGD55" s="4"/>
      <c r="BGE55" s="4"/>
      <c r="BGF55" s="4"/>
      <c r="BGG55" s="4"/>
      <c r="BGH55" s="4"/>
      <c r="BGI55" s="4"/>
      <c r="BGJ55" s="4"/>
      <c r="BGK55" s="4"/>
      <c r="BGL55" s="4"/>
      <c r="BGM55" s="4"/>
      <c r="BGN55" s="4"/>
      <c r="BGO55" s="4"/>
      <c r="BGP55" s="4"/>
      <c r="BGQ55" s="4"/>
      <c r="BGR55" s="4"/>
      <c r="BGS55" s="4"/>
      <c r="BGT55" s="4"/>
      <c r="BGU55" s="4"/>
      <c r="BGV55" s="4"/>
      <c r="BGW55" s="4"/>
      <c r="BGX55" s="4"/>
      <c r="BGY55" s="4"/>
      <c r="BGZ55" s="4"/>
      <c r="BHA55" s="4"/>
      <c r="BHB55" s="4"/>
      <c r="BHC55" s="4"/>
      <c r="BHD55" s="4"/>
      <c r="BHE55" s="4"/>
      <c r="BHF55" s="4"/>
      <c r="BHG55" s="4"/>
      <c r="BHH55" s="4"/>
      <c r="BHI55" s="4"/>
      <c r="BHJ55" s="4"/>
      <c r="BHK55" s="4"/>
      <c r="BHL55" s="4"/>
      <c r="BHM55" s="4"/>
      <c r="BHN55" s="4"/>
      <c r="BHO55" s="4"/>
      <c r="BHP55" s="4"/>
      <c r="BHQ55" s="4"/>
      <c r="BHR55" s="4"/>
      <c r="BHS55" s="4"/>
      <c r="BHT55" s="4"/>
      <c r="BHU55" s="4"/>
      <c r="BHV55" s="4"/>
      <c r="BHW55" s="4"/>
      <c r="BHX55" s="4"/>
      <c r="BHY55" s="4"/>
      <c r="BHZ55" s="4"/>
      <c r="BIA55" s="4"/>
      <c r="BIB55" s="4"/>
      <c r="BIC55" s="4"/>
      <c r="BID55" s="4"/>
      <c r="BIE55" s="4"/>
      <c r="BIF55" s="4"/>
      <c r="BIG55" s="4"/>
      <c r="BIH55" s="4"/>
      <c r="BII55" s="4"/>
      <c r="BIJ55" s="4"/>
      <c r="BIK55" s="4"/>
      <c r="BIL55" s="4"/>
      <c r="BIM55" s="4"/>
      <c r="BIN55" s="4"/>
      <c r="BIO55" s="4"/>
      <c r="BIP55" s="4"/>
      <c r="BIQ55" s="4"/>
      <c r="BIR55" s="4"/>
      <c r="BIS55" s="4"/>
      <c r="BIT55" s="4"/>
      <c r="BIU55" s="4"/>
      <c r="BIV55" s="4"/>
      <c r="BIW55" s="4"/>
      <c r="BIX55" s="4"/>
      <c r="BIY55" s="4"/>
      <c r="BIZ55" s="4"/>
      <c r="BJA55" s="4"/>
      <c r="BJB55" s="4"/>
      <c r="BJC55" s="4"/>
      <c r="BJD55" s="4"/>
      <c r="BJE55" s="4"/>
      <c r="BJF55" s="4"/>
      <c r="BJG55" s="4"/>
      <c r="BJH55" s="4"/>
      <c r="BJI55" s="4"/>
      <c r="BJJ55" s="4"/>
      <c r="BJK55" s="4"/>
      <c r="BJL55" s="4"/>
      <c r="BJM55" s="4"/>
      <c r="BJN55" s="4"/>
      <c r="BJO55" s="4"/>
      <c r="BJP55" s="4"/>
      <c r="BJQ55" s="4"/>
      <c r="BJR55" s="4"/>
      <c r="BJS55" s="4"/>
      <c r="BJT55" s="4"/>
      <c r="BJU55" s="4"/>
      <c r="BJV55" s="4"/>
      <c r="BJW55" s="4"/>
      <c r="BJX55" s="4"/>
      <c r="BJY55" s="4"/>
      <c r="BJZ55" s="4"/>
      <c r="BKA55" s="4"/>
      <c r="BKB55" s="4"/>
      <c r="BKC55" s="4"/>
      <c r="BKD55" s="4"/>
      <c r="BKE55" s="4"/>
      <c r="BKF55" s="4"/>
      <c r="BKG55" s="4"/>
      <c r="BKH55" s="4"/>
      <c r="BKI55" s="4"/>
      <c r="BKJ55" s="4"/>
      <c r="BKK55" s="4"/>
      <c r="BKL55" s="4"/>
      <c r="BKM55" s="4"/>
      <c r="BKN55" s="4"/>
      <c r="BKO55" s="4"/>
      <c r="BKP55" s="4"/>
      <c r="BKQ55" s="4"/>
      <c r="BKR55" s="4"/>
      <c r="BKS55" s="4"/>
      <c r="BKT55" s="4"/>
      <c r="BKU55" s="4"/>
      <c r="BKV55" s="4"/>
      <c r="BKW55" s="4"/>
      <c r="BKX55" s="4"/>
      <c r="BKY55" s="4"/>
      <c r="BKZ55" s="4"/>
      <c r="BLA55" s="4"/>
      <c r="BLB55" s="4"/>
      <c r="BLC55" s="4"/>
      <c r="BLD55" s="4"/>
      <c r="BLE55" s="4"/>
      <c r="BLF55" s="4"/>
      <c r="BLG55" s="4"/>
      <c r="BLH55" s="4"/>
      <c r="BLI55" s="4"/>
      <c r="BLJ55" s="4"/>
      <c r="BLK55" s="4"/>
      <c r="BLL55" s="4"/>
      <c r="BLM55" s="4"/>
      <c r="BLN55" s="4"/>
      <c r="BLO55" s="4"/>
      <c r="BLP55" s="4"/>
      <c r="BLQ55" s="4"/>
      <c r="BLR55" s="4"/>
      <c r="BLS55" s="4"/>
      <c r="BLT55" s="4"/>
      <c r="BLU55" s="4"/>
      <c r="BLV55" s="4"/>
      <c r="BLW55" s="4"/>
      <c r="BLX55" s="4"/>
      <c r="BLY55" s="4"/>
      <c r="BLZ55" s="4"/>
      <c r="BMA55" s="4"/>
      <c r="BMB55" s="4"/>
      <c r="BMC55" s="4"/>
      <c r="BMD55" s="4"/>
      <c r="BME55" s="4"/>
      <c r="BMF55" s="4"/>
      <c r="BMG55" s="4"/>
      <c r="BMH55" s="4"/>
      <c r="BMI55" s="4"/>
      <c r="BMJ55" s="4"/>
      <c r="BMK55" s="4"/>
      <c r="BML55" s="4"/>
      <c r="BMM55" s="4"/>
      <c r="BMN55" s="4"/>
      <c r="BMO55" s="4"/>
      <c r="BMP55" s="4"/>
      <c r="BMQ55" s="4"/>
      <c r="BMR55" s="4"/>
      <c r="BMS55" s="4"/>
      <c r="BMT55" s="4"/>
      <c r="BMU55" s="4"/>
      <c r="BMV55" s="4"/>
      <c r="BMW55" s="4"/>
      <c r="BMX55" s="4"/>
      <c r="BMY55" s="4"/>
      <c r="BMZ55" s="4"/>
      <c r="BNA55" s="4"/>
      <c r="BNB55" s="4"/>
      <c r="BNC55" s="4"/>
      <c r="BND55" s="4"/>
      <c r="BNE55" s="4"/>
      <c r="BNF55" s="4"/>
      <c r="BNG55" s="4"/>
      <c r="BNH55" s="4"/>
      <c r="BNI55" s="4"/>
      <c r="BNJ55" s="4"/>
      <c r="BNK55" s="4"/>
      <c r="BNL55" s="4"/>
      <c r="BNM55" s="4"/>
      <c r="BNN55" s="4"/>
      <c r="BNO55" s="4"/>
      <c r="BNP55" s="4"/>
      <c r="BNQ55" s="4"/>
      <c r="BNR55" s="4"/>
      <c r="BNS55" s="4"/>
      <c r="BNT55" s="4"/>
      <c r="BNU55" s="4"/>
      <c r="BNV55" s="4"/>
      <c r="BNW55" s="4"/>
      <c r="BNX55" s="4"/>
      <c r="BNY55" s="4"/>
      <c r="BNZ55" s="4"/>
      <c r="BOA55" s="4"/>
      <c r="BOB55" s="4"/>
      <c r="BOC55" s="4"/>
      <c r="BOD55" s="4"/>
      <c r="BOE55" s="4"/>
      <c r="BOF55" s="4"/>
      <c r="BOG55" s="4"/>
      <c r="BOH55" s="4"/>
      <c r="BOI55" s="4"/>
      <c r="BOJ55" s="4"/>
      <c r="BOK55" s="4"/>
      <c r="BOL55" s="4"/>
      <c r="BOM55" s="4"/>
      <c r="BON55" s="4"/>
      <c r="BOO55" s="4"/>
      <c r="BOP55" s="4"/>
      <c r="BOQ55" s="4"/>
      <c r="BOR55" s="4"/>
      <c r="BOS55" s="4"/>
      <c r="BOT55" s="4"/>
      <c r="BOU55" s="4"/>
      <c r="BOV55" s="4"/>
      <c r="BOW55" s="4"/>
      <c r="BOX55" s="4"/>
      <c r="BOY55" s="4"/>
      <c r="BOZ55" s="4"/>
      <c r="BPA55" s="4"/>
      <c r="BPB55" s="4"/>
      <c r="BPC55" s="4"/>
      <c r="BPD55" s="4"/>
      <c r="BPE55" s="4"/>
      <c r="BPF55" s="4"/>
      <c r="BPG55" s="4"/>
      <c r="BPH55" s="4"/>
      <c r="BPI55" s="4"/>
      <c r="BPJ55" s="4"/>
      <c r="BPK55" s="4"/>
      <c r="BPL55" s="4"/>
      <c r="BPM55" s="4"/>
      <c r="BPN55" s="4"/>
      <c r="BPO55" s="4"/>
      <c r="BPP55" s="4"/>
      <c r="BPQ55" s="4"/>
      <c r="BPR55" s="4"/>
      <c r="BPS55" s="4"/>
      <c r="BPT55" s="4"/>
      <c r="BPU55" s="4"/>
      <c r="BPV55" s="4"/>
      <c r="BPW55" s="4"/>
      <c r="BPX55" s="4"/>
      <c r="BPY55" s="4"/>
      <c r="BPZ55" s="4"/>
      <c r="BQA55" s="4"/>
      <c r="BQB55" s="4"/>
      <c r="BQC55" s="4"/>
      <c r="BQD55" s="4"/>
      <c r="BQE55" s="4"/>
      <c r="BQF55" s="4"/>
      <c r="BQG55" s="4"/>
      <c r="BQH55" s="4"/>
      <c r="BQI55" s="4"/>
      <c r="BQJ55" s="4"/>
      <c r="BQK55" s="4"/>
      <c r="BQL55" s="4"/>
      <c r="BQM55" s="4"/>
      <c r="BQN55" s="4"/>
      <c r="BQO55" s="4"/>
      <c r="BQP55" s="4"/>
      <c r="BQQ55" s="4"/>
      <c r="BQR55" s="4"/>
      <c r="BQS55" s="4"/>
      <c r="BQT55" s="4"/>
      <c r="BQU55" s="4"/>
      <c r="BQV55" s="4"/>
      <c r="BQW55" s="4"/>
      <c r="BQX55" s="4"/>
      <c r="BQY55" s="4"/>
      <c r="BQZ55" s="4"/>
      <c r="BRA55" s="4"/>
      <c r="BRB55" s="4"/>
      <c r="BRC55" s="4"/>
      <c r="BRD55" s="4"/>
      <c r="BRE55" s="4"/>
      <c r="BRF55" s="4"/>
      <c r="BRG55" s="4"/>
      <c r="BRH55" s="4"/>
      <c r="BRI55" s="4"/>
      <c r="BRJ55" s="4"/>
      <c r="BRK55" s="4"/>
      <c r="BRL55" s="4"/>
      <c r="BRM55" s="4"/>
      <c r="BRN55" s="4"/>
      <c r="BRO55" s="4"/>
      <c r="BRP55" s="4"/>
      <c r="BRQ55" s="4"/>
      <c r="BRR55" s="4"/>
      <c r="BRS55" s="4"/>
      <c r="BRT55" s="4"/>
      <c r="BRU55" s="4"/>
      <c r="BRV55" s="4"/>
      <c r="BRW55" s="4"/>
      <c r="BRX55" s="4"/>
      <c r="BRY55" s="4"/>
      <c r="BRZ55" s="4"/>
      <c r="BSA55" s="4"/>
      <c r="BSB55" s="4"/>
      <c r="BSC55" s="4"/>
      <c r="BSD55" s="4"/>
      <c r="BSE55" s="4"/>
      <c r="BSF55" s="4"/>
      <c r="BSG55" s="4"/>
      <c r="BSH55" s="4"/>
      <c r="BSI55" s="4"/>
      <c r="BSJ55" s="4"/>
      <c r="BSK55" s="4"/>
      <c r="BSL55" s="4"/>
      <c r="BSM55" s="4"/>
      <c r="BSN55" s="4"/>
      <c r="BSO55" s="4"/>
      <c r="BSP55" s="4"/>
      <c r="BSQ55" s="4"/>
      <c r="BSR55" s="4"/>
      <c r="BSS55" s="4"/>
      <c r="BST55" s="4"/>
      <c r="BSU55" s="4"/>
      <c r="BSV55" s="4"/>
      <c r="BSW55" s="4"/>
      <c r="BSX55" s="4"/>
      <c r="BSY55" s="4"/>
      <c r="BSZ55" s="4"/>
      <c r="BTA55" s="4"/>
      <c r="BTB55" s="4"/>
      <c r="BTC55" s="4"/>
      <c r="BTD55" s="4"/>
      <c r="BTE55" s="4"/>
      <c r="BTF55" s="4"/>
      <c r="BTG55" s="4"/>
      <c r="BTH55" s="4"/>
      <c r="BTI55" s="4"/>
      <c r="BTJ55" s="4"/>
      <c r="BTK55" s="4"/>
      <c r="BTL55" s="4"/>
      <c r="BTM55" s="4"/>
      <c r="BTN55" s="4"/>
      <c r="BTO55" s="4"/>
      <c r="BTP55" s="4"/>
      <c r="BTQ55" s="4"/>
      <c r="BTR55" s="4"/>
      <c r="BTS55" s="4"/>
      <c r="BTT55" s="4"/>
      <c r="BTU55" s="4"/>
      <c r="BTV55" s="4"/>
      <c r="BTW55" s="4"/>
      <c r="BTX55" s="4"/>
      <c r="BTY55" s="4"/>
      <c r="BTZ55" s="4"/>
      <c r="BUA55" s="4"/>
      <c r="BUB55" s="4"/>
      <c r="BUC55" s="4"/>
      <c r="BUD55" s="4"/>
      <c r="BUE55" s="4"/>
      <c r="BUF55" s="4"/>
      <c r="BUG55" s="4"/>
      <c r="BUH55" s="4"/>
      <c r="BUI55" s="4"/>
      <c r="BUJ55" s="4"/>
      <c r="BUK55" s="4"/>
      <c r="BUL55" s="4"/>
      <c r="BUM55" s="4"/>
      <c r="BUN55" s="4"/>
      <c r="BUO55" s="4"/>
      <c r="BUP55" s="4"/>
      <c r="BUQ55" s="4"/>
      <c r="BUR55" s="4"/>
      <c r="BUS55" s="4"/>
      <c r="BUT55" s="4"/>
      <c r="BUU55" s="4"/>
      <c r="BUV55" s="4"/>
      <c r="BUW55" s="4"/>
      <c r="BUX55" s="4"/>
      <c r="BUY55" s="4"/>
      <c r="BUZ55" s="4"/>
      <c r="BVA55" s="4"/>
      <c r="BVB55" s="4"/>
      <c r="BVC55" s="4"/>
      <c r="BVD55" s="4"/>
      <c r="BVE55" s="4"/>
      <c r="BVF55" s="4"/>
      <c r="BVG55" s="4"/>
      <c r="BVH55" s="4"/>
      <c r="BVI55" s="4"/>
      <c r="BVJ55" s="4"/>
      <c r="BVK55" s="4"/>
      <c r="BVL55" s="4"/>
      <c r="BVM55" s="4"/>
      <c r="BVN55" s="4"/>
      <c r="BVO55" s="4"/>
      <c r="BVP55" s="4"/>
      <c r="BVQ55" s="4"/>
      <c r="BVR55" s="4"/>
      <c r="BVS55" s="4"/>
      <c r="BVT55" s="4"/>
      <c r="BVU55" s="4"/>
      <c r="BVV55" s="4"/>
      <c r="BVW55" s="4"/>
      <c r="BVX55" s="4"/>
      <c r="BVY55" s="4"/>
      <c r="BVZ55" s="4"/>
      <c r="BWA55" s="4"/>
      <c r="BWB55" s="4"/>
      <c r="BWC55" s="4"/>
      <c r="BWD55" s="4"/>
      <c r="BWE55" s="4"/>
      <c r="BWF55" s="4"/>
      <c r="BWG55" s="4"/>
      <c r="BWH55" s="4"/>
      <c r="BWI55" s="4"/>
      <c r="BWJ55" s="4"/>
      <c r="BWK55" s="4"/>
      <c r="BWL55" s="4"/>
      <c r="BWM55" s="4"/>
      <c r="BWN55" s="4"/>
      <c r="BWO55" s="4"/>
      <c r="BWP55" s="4"/>
      <c r="BWQ55" s="4"/>
      <c r="BWR55" s="4"/>
      <c r="BWS55" s="4"/>
      <c r="BWT55" s="4"/>
      <c r="BWU55" s="4"/>
      <c r="BWV55" s="4"/>
      <c r="BWW55" s="4"/>
      <c r="BWX55" s="4"/>
      <c r="BWY55" s="4"/>
      <c r="BWZ55" s="4"/>
      <c r="BXA55" s="4"/>
      <c r="BXB55" s="4"/>
      <c r="BXC55" s="4"/>
      <c r="BXD55" s="4"/>
      <c r="BXE55" s="4"/>
      <c r="BXF55" s="4"/>
      <c r="BXG55" s="4"/>
      <c r="BXH55" s="4"/>
      <c r="BXI55" s="4"/>
      <c r="BXJ55" s="4"/>
      <c r="BXK55" s="4"/>
      <c r="BXL55" s="4"/>
      <c r="BXM55" s="4"/>
      <c r="BXN55" s="4"/>
      <c r="BXO55" s="4"/>
      <c r="BXP55" s="4"/>
      <c r="BXQ55" s="4"/>
      <c r="BXR55" s="4"/>
      <c r="BXS55" s="4"/>
      <c r="BXT55" s="4"/>
      <c r="BXU55" s="4"/>
      <c r="BXV55" s="4"/>
      <c r="BXW55" s="4"/>
      <c r="BXX55" s="4"/>
      <c r="BXY55" s="4"/>
      <c r="BXZ55" s="4"/>
      <c r="BYA55" s="4"/>
      <c r="BYB55" s="4"/>
      <c r="BYC55" s="4"/>
      <c r="BYD55" s="4"/>
      <c r="BYE55" s="4"/>
      <c r="BYF55" s="4"/>
      <c r="BYG55" s="4"/>
      <c r="BYH55" s="4"/>
      <c r="BYI55" s="4"/>
      <c r="BYJ55" s="4"/>
      <c r="BYK55" s="4"/>
      <c r="BYL55" s="4"/>
      <c r="BYM55" s="4"/>
      <c r="BYN55" s="4"/>
      <c r="BYO55" s="4"/>
      <c r="BYP55" s="4"/>
      <c r="BYQ55" s="4"/>
      <c r="BYR55" s="4"/>
      <c r="BYS55" s="4"/>
      <c r="BYT55" s="4"/>
      <c r="BYU55" s="4"/>
      <c r="BYV55" s="4"/>
      <c r="BYW55" s="4"/>
      <c r="BYX55" s="4"/>
      <c r="BYY55" s="4"/>
      <c r="BYZ55" s="4"/>
      <c r="BZA55" s="4"/>
      <c r="BZB55" s="4"/>
      <c r="BZC55" s="4"/>
      <c r="BZD55" s="4"/>
      <c r="BZE55" s="4"/>
      <c r="BZF55" s="4"/>
      <c r="BZG55" s="4"/>
      <c r="BZH55" s="4"/>
      <c r="BZI55" s="4"/>
      <c r="BZJ55" s="4"/>
      <c r="BZK55" s="4"/>
      <c r="BZL55" s="4"/>
      <c r="BZM55" s="4"/>
      <c r="BZN55" s="4"/>
      <c r="BZO55" s="4"/>
      <c r="BZP55" s="4"/>
      <c r="BZQ55" s="4"/>
      <c r="BZR55" s="4"/>
      <c r="BZS55" s="4"/>
      <c r="BZT55" s="4"/>
      <c r="BZU55" s="4"/>
      <c r="BZV55" s="4"/>
      <c r="BZW55" s="4"/>
      <c r="BZX55" s="4"/>
      <c r="BZY55" s="4"/>
      <c r="BZZ55" s="4"/>
      <c r="CAA55" s="4"/>
      <c r="CAB55" s="4"/>
      <c r="CAC55" s="4"/>
      <c r="CAD55" s="4"/>
      <c r="CAE55" s="4"/>
      <c r="CAF55" s="4"/>
      <c r="CAG55" s="4"/>
      <c r="CAH55" s="4"/>
      <c r="CAI55" s="4"/>
      <c r="CAJ55" s="4"/>
      <c r="CAK55" s="4"/>
      <c r="CAL55" s="4"/>
      <c r="CAM55" s="4"/>
      <c r="CAN55" s="4"/>
      <c r="CAO55" s="4"/>
      <c r="CAP55" s="4"/>
      <c r="CAQ55" s="4"/>
      <c r="CAR55" s="4"/>
      <c r="CAS55" s="4"/>
      <c r="CAT55" s="4"/>
      <c r="CAU55" s="4"/>
      <c r="CAV55" s="4"/>
      <c r="CAW55" s="4"/>
      <c r="CAX55" s="4"/>
      <c r="CAY55" s="4"/>
      <c r="CAZ55" s="4"/>
      <c r="CBA55" s="4"/>
      <c r="CBB55" s="4"/>
      <c r="CBC55" s="4"/>
      <c r="CBD55" s="4"/>
      <c r="CBE55" s="4"/>
      <c r="CBF55" s="4"/>
      <c r="CBG55" s="4"/>
      <c r="CBH55" s="4"/>
      <c r="CBI55" s="4"/>
      <c r="CBJ55" s="4"/>
      <c r="CBK55" s="4"/>
      <c r="CBL55" s="4"/>
      <c r="CBM55" s="4"/>
      <c r="CBN55" s="4"/>
      <c r="CBO55" s="4"/>
      <c r="CBP55" s="4"/>
      <c r="CBQ55" s="4"/>
      <c r="CBR55" s="4"/>
      <c r="CBS55" s="4"/>
      <c r="CBT55" s="4"/>
      <c r="CBU55" s="4"/>
      <c r="CBV55" s="4"/>
      <c r="CBW55" s="4"/>
      <c r="CBX55" s="4"/>
      <c r="CBY55" s="4"/>
      <c r="CBZ55" s="4"/>
      <c r="CCA55" s="4"/>
      <c r="CCB55" s="4"/>
      <c r="CCC55" s="4"/>
      <c r="CCD55" s="4"/>
      <c r="CCE55" s="4"/>
      <c r="CCF55" s="4"/>
      <c r="CCG55" s="4"/>
      <c r="CCH55" s="4"/>
      <c r="CCI55" s="4"/>
      <c r="CCJ55" s="4"/>
      <c r="CCK55" s="4"/>
      <c r="CCL55" s="4"/>
      <c r="CCM55" s="4"/>
      <c r="CCN55" s="4"/>
      <c r="CCO55" s="4"/>
      <c r="CCP55" s="4"/>
      <c r="CCQ55" s="4"/>
      <c r="CCR55" s="4"/>
      <c r="CCS55" s="4"/>
      <c r="CCT55" s="4"/>
      <c r="CCU55" s="4"/>
      <c r="CCV55" s="4"/>
      <c r="CCW55" s="4"/>
      <c r="CCX55" s="4"/>
      <c r="CCY55" s="4"/>
      <c r="CCZ55" s="4"/>
      <c r="CDA55" s="4"/>
      <c r="CDB55" s="4"/>
      <c r="CDC55" s="4"/>
      <c r="CDD55" s="4"/>
      <c r="CDE55" s="4"/>
      <c r="CDF55" s="4"/>
      <c r="CDG55" s="4"/>
      <c r="CDH55" s="4"/>
      <c r="CDI55" s="4"/>
      <c r="CDJ55" s="4"/>
      <c r="CDK55" s="4"/>
      <c r="CDL55" s="4"/>
      <c r="CDM55" s="4"/>
      <c r="CDN55" s="4"/>
      <c r="CDO55" s="4"/>
      <c r="CDP55" s="4"/>
      <c r="CDQ55" s="4"/>
      <c r="CDR55" s="4"/>
      <c r="CDS55" s="4"/>
      <c r="CDT55" s="4"/>
      <c r="CDU55" s="4"/>
      <c r="CDV55" s="4"/>
      <c r="CDW55" s="4"/>
      <c r="CDX55" s="4"/>
      <c r="CDY55" s="4"/>
      <c r="CDZ55" s="4"/>
      <c r="CEA55" s="4"/>
      <c r="CEB55" s="4"/>
      <c r="CEC55" s="4"/>
      <c r="CED55" s="4"/>
      <c r="CEE55" s="4"/>
      <c r="CEF55" s="4"/>
      <c r="CEG55" s="4"/>
      <c r="CEH55" s="4"/>
      <c r="CEI55" s="4"/>
      <c r="CEJ55" s="4"/>
      <c r="CEK55" s="4"/>
      <c r="CEL55" s="4"/>
      <c r="CEM55" s="4"/>
      <c r="CEN55" s="4"/>
      <c r="CEO55" s="4"/>
      <c r="CEP55" s="4"/>
      <c r="CEQ55" s="4"/>
      <c r="CER55" s="4"/>
      <c r="CES55" s="4"/>
      <c r="CET55" s="4"/>
      <c r="CEU55" s="4"/>
      <c r="CEV55" s="4"/>
      <c r="CEW55" s="4"/>
      <c r="CEX55" s="4"/>
      <c r="CEY55" s="4"/>
      <c r="CEZ55" s="4"/>
      <c r="CFA55" s="4"/>
      <c r="CFB55" s="4"/>
      <c r="CFC55" s="4"/>
      <c r="CFD55" s="4"/>
      <c r="CFE55" s="4"/>
      <c r="CFF55" s="4"/>
      <c r="CFG55" s="4"/>
      <c r="CFH55" s="4"/>
      <c r="CFI55" s="4"/>
      <c r="CFJ55" s="4"/>
      <c r="CFK55" s="4"/>
      <c r="CFL55" s="4"/>
      <c r="CFM55" s="4"/>
      <c r="CFN55" s="4"/>
      <c r="CFO55" s="4"/>
      <c r="CFP55" s="4"/>
      <c r="CFQ55" s="4"/>
      <c r="CFR55" s="4"/>
      <c r="CFS55" s="4"/>
      <c r="CFT55" s="4"/>
      <c r="CFU55" s="4"/>
      <c r="CFV55" s="4"/>
      <c r="CFW55" s="4"/>
      <c r="CFX55" s="4"/>
      <c r="CFY55" s="4"/>
      <c r="CFZ55" s="4"/>
      <c r="CGA55" s="4"/>
      <c r="CGB55" s="4"/>
      <c r="CGC55" s="4"/>
      <c r="CGD55" s="4"/>
      <c r="CGE55" s="4"/>
      <c r="CGF55" s="4"/>
      <c r="CGG55" s="4"/>
      <c r="CGH55" s="4"/>
      <c r="CGI55" s="4"/>
      <c r="CGJ55" s="4"/>
      <c r="CGK55" s="4"/>
      <c r="CGL55" s="4"/>
      <c r="CGM55" s="4"/>
      <c r="CGN55" s="4"/>
      <c r="CGO55" s="4"/>
      <c r="CGP55" s="4"/>
      <c r="CGQ55" s="4"/>
      <c r="CGR55" s="4"/>
      <c r="CGS55" s="4"/>
      <c r="CGT55" s="4"/>
      <c r="CGU55" s="4"/>
      <c r="CGV55" s="4"/>
      <c r="CGW55" s="4"/>
      <c r="CGX55" s="4"/>
      <c r="CGY55" s="4"/>
      <c r="CGZ55" s="4"/>
      <c r="CHA55" s="4"/>
      <c r="CHB55" s="4"/>
      <c r="CHC55" s="4"/>
      <c r="CHD55" s="4"/>
      <c r="CHE55" s="4"/>
      <c r="CHF55" s="4"/>
      <c r="CHG55" s="4"/>
      <c r="CHH55" s="4"/>
      <c r="CHI55" s="4"/>
      <c r="CHJ55" s="4"/>
      <c r="CHK55" s="4"/>
      <c r="CHL55" s="4"/>
      <c r="CHM55" s="4"/>
      <c r="CHN55" s="4"/>
      <c r="CHO55" s="4"/>
      <c r="CHP55" s="4"/>
      <c r="CHQ55" s="4"/>
      <c r="CHR55" s="4"/>
      <c r="CHS55" s="4"/>
      <c r="CHT55" s="4"/>
      <c r="CHU55" s="4"/>
      <c r="CHV55" s="4"/>
      <c r="CHW55" s="4"/>
      <c r="CHX55" s="4"/>
      <c r="CHY55" s="4"/>
      <c r="CHZ55" s="4"/>
      <c r="CIA55" s="4"/>
      <c r="CIB55" s="4"/>
      <c r="CIC55" s="4"/>
      <c r="CID55" s="4"/>
      <c r="CIE55" s="4"/>
      <c r="CIF55" s="4"/>
      <c r="CIG55" s="4"/>
      <c r="CIH55" s="4"/>
      <c r="CII55" s="4"/>
      <c r="CIJ55" s="4"/>
      <c r="CIK55" s="4"/>
      <c r="CIL55" s="4"/>
      <c r="CIM55" s="4"/>
      <c r="CIN55" s="4"/>
      <c r="CIO55" s="4"/>
      <c r="CIP55" s="4"/>
      <c r="CIQ55" s="4"/>
      <c r="CIR55" s="4"/>
      <c r="CIS55" s="4"/>
      <c r="CIT55" s="4"/>
      <c r="CIU55" s="4"/>
      <c r="CIV55" s="4"/>
      <c r="CIW55" s="4"/>
      <c r="CIX55" s="4"/>
      <c r="CIY55" s="4"/>
      <c r="CIZ55" s="4"/>
      <c r="CJA55" s="4"/>
      <c r="CJB55" s="4"/>
      <c r="CJC55" s="4"/>
      <c r="CJD55" s="4"/>
      <c r="CJE55" s="4"/>
      <c r="CJF55" s="4"/>
      <c r="CJG55" s="4"/>
      <c r="CJH55" s="4"/>
      <c r="CJI55" s="4"/>
      <c r="CJJ55" s="4"/>
      <c r="CJK55" s="4"/>
      <c r="CJL55" s="4"/>
      <c r="CJM55" s="4"/>
      <c r="CJN55" s="4"/>
      <c r="CJO55" s="4"/>
      <c r="CJP55" s="4"/>
      <c r="CJQ55" s="4"/>
      <c r="CJR55" s="4"/>
      <c r="CJS55" s="4"/>
      <c r="CJT55" s="4"/>
      <c r="CJU55" s="4"/>
      <c r="CJV55" s="4"/>
      <c r="CJW55" s="4"/>
      <c r="CJX55" s="4"/>
      <c r="CJY55" s="4"/>
      <c r="CJZ55" s="4"/>
      <c r="CKA55" s="4"/>
      <c r="CKB55" s="4"/>
      <c r="CKC55" s="4"/>
      <c r="CKD55" s="4"/>
      <c r="CKE55" s="4"/>
      <c r="CKF55" s="4"/>
      <c r="CKG55" s="4"/>
      <c r="CKH55" s="4"/>
      <c r="CKI55" s="4"/>
      <c r="CKJ55" s="4"/>
      <c r="CKK55" s="4"/>
      <c r="CKL55" s="4"/>
      <c r="CKM55" s="4"/>
      <c r="CKN55" s="4"/>
      <c r="CKO55" s="4"/>
      <c r="CKP55" s="4"/>
      <c r="CKQ55" s="4"/>
      <c r="CKR55" s="4"/>
      <c r="CKS55" s="4"/>
      <c r="CKT55" s="4"/>
      <c r="CKU55" s="4"/>
      <c r="CKV55" s="4"/>
      <c r="CKW55" s="4"/>
      <c r="CKX55" s="4"/>
      <c r="CKY55" s="4"/>
      <c r="CKZ55" s="4"/>
      <c r="CLA55" s="4"/>
      <c r="CLB55" s="4"/>
      <c r="CLC55" s="4"/>
      <c r="CLD55" s="4"/>
      <c r="CLE55" s="4"/>
      <c r="CLF55" s="4"/>
      <c r="CLG55" s="4"/>
      <c r="CLH55" s="4"/>
      <c r="CLI55" s="4"/>
      <c r="CLJ55" s="4"/>
      <c r="CLK55" s="4"/>
      <c r="CLL55" s="4"/>
      <c r="CLM55" s="4"/>
      <c r="CLN55" s="4"/>
      <c r="CLO55" s="4"/>
      <c r="CLP55" s="4"/>
      <c r="CLQ55" s="4"/>
      <c r="CLR55" s="4"/>
      <c r="CLS55" s="4"/>
      <c r="CLT55" s="4"/>
      <c r="CLU55" s="4"/>
      <c r="CLV55" s="4"/>
      <c r="CLW55" s="4"/>
      <c r="CLX55" s="4"/>
      <c r="CLY55" s="4"/>
      <c r="CLZ55" s="4"/>
      <c r="CMA55" s="4"/>
      <c r="CMB55" s="4"/>
      <c r="CMC55" s="4"/>
      <c r="CMD55" s="4"/>
      <c r="CME55" s="4"/>
      <c r="CMF55" s="4"/>
      <c r="CMG55" s="4"/>
      <c r="CMH55" s="4"/>
      <c r="CMI55" s="4"/>
      <c r="CMJ55" s="4"/>
      <c r="CMK55" s="4"/>
      <c r="CML55" s="4"/>
      <c r="CMM55" s="4"/>
      <c r="CMN55" s="4"/>
      <c r="CMO55" s="4"/>
      <c r="CMP55" s="4"/>
      <c r="CMQ55" s="4"/>
      <c r="CMR55" s="4"/>
      <c r="CMS55" s="4"/>
      <c r="CMT55" s="4"/>
      <c r="CMU55" s="4"/>
      <c r="CMV55" s="4"/>
      <c r="CMW55" s="4"/>
      <c r="CMX55" s="4"/>
      <c r="CMY55" s="4"/>
      <c r="CMZ55" s="4"/>
      <c r="CNA55" s="4"/>
      <c r="CNB55" s="4"/>
      <c r="CNC55" s="4"/>
      <c r="CND55" s="4"/>
      <c r="CNE55" s="4"/>
      <c r="CNF55" s="4"/>
      <c r="CNG55" s="4"/>
      <c r="CNH55" s="4"/>
      <c r="CNI55" s="4"/>
      <c r="CNJ55" s="4"/>
      <c r="CNK55" s="4"/>
      <c r="CNL55" s="4"/>
      <c r="CNM55" s="4"/>
      <c r="CNN55" s="4"/>
      <c r="CNO55" s="4"/>
      <c r="CNP55" s="4"/>
      <c r="CNQ55" s="4"/>
      <c r="CNR55" s="4"/>
      <c r="CNS55" s="4"/>
      <c r="CNT55" s="4"/>
      <c r="CNU55" s="4"/>
      <c r="CNV55" s="4"/>
      <c r="CNW55" s="4"/>
      <c r="CNX55" s="4"/>
      <c r="CNY55" s="4"/>
      <c r="CNZ55" s="4"/>
      <c r="COA55" s="4"/>
      <c r="COB55" s="4"/>
      <c r="COC55" s="4"/>
      <c r="COD55" s="4"/>
      <c r="COE55" s="4"/>
      <c r="COF55" s="4"/>
      <c r="COG55" s="4"/>
      <c r="COH55" s="4"/>
      <c r="COI55" s="4"/>
      <c r="COJ55" s="4"/>
      <c r="COK55" s="4"/>
      <c r="COL55" s="4"/>
      <c r="COM55" s="4"/>
      <c r="CON55" s="4"/>
      <c r="COO55" s="4"/>
      <c r="COP55" s="4"/>
      <c r="COQ55" s="4"/>
      <c r="COR55" s="4"/>
      <c r="COS55" s="4"/>
      <c r="COT55" s="4"/>
      <c r="COU55" s="4"/>
      <c r="COV55" s="4"/>
      <c r="COW55" s="4"/>
      <c r="COX55" s="4"/>
      <c r="COY55" s="4"/>
      <c r="COZ55" s="4"/>
      <c r="CPA55" s="4"/>
      <c r="CPB55" s="4"/>
      <c r="CPC55" s="4"/>
      <c r="CPD55" s="4"/>
      <c r="CPE55" s="4"/>
      <c r="CPF55" s="4"/>
      <c r="CPG55" s="4"/>
      <c r="CPH55" s="4"/>
      <c r="CPI55" s="4"/>
      <c r="CPJ55" s="4"/>
      <c r="CPK55" s="4"/>
      <c r="CPL55" s="4"/>
      <c r="CPM55" s="4"/>
      <c r="CPN55" s="4"/>
      <c r="CPO55" s="4"/>
      <c r="CPP55" s="4"/>
      <c r="CPQ55" s="4"/>
      <c r="CPR55" s="4"/>
      <c r="CPS55" s="4"/>
      <c r="CPT55" s="4"/>
      <c r="CPU55" s="4"/>
      <c r="CPV55" s="4"/>
      <c r="CPW55" s="4"/>
      <c r="CPX55" s="4"/>
      <c r="CPY55" s="4"/>
      <c r="CPZ55" s="4"/>
      <c r="CQA55" s="4"/>
      <c r="CQB55" s="4"/>
      <c r="CQC55" s="4"/>
      <c r="CQD55" s="4"/>
      <c r="CQE55" s="4"/>
      <c r="CQF55" s="4"/>
      <c r="CQG55" s="4"/>
      <c r="CQH55" s="4"/>
      <c r="CQI55" s="4"/>
      <c r="CQJ55" s="4"/>
      <c r="CQK55" s="4"/>
      <c r="CQL55" s="4"/>
      <c r="CQM55" s="4"/>
      <c r="CQN55" s="4"/>
      <c r="CQO55" s="4"/>
      <c r="CQP55" s="4"/>
      <c r="CQQ55" s="4"/>
      <c r="CQR55" s="4"/>
      <c r="CQS55" s="4"/>
      <c r="CQT55" s="4"/>
      <c r="CQU55" s="4"/>
      <c r="CQV55" s="4"/>
      <c r="CQW55" s="4"/>
      <c r="CQX55" s="4"/>
      <c r="CQY55" s="4"/>
      <c r="CQZ55" s="4"/>
      <c r="CRA55" s="4"/>
      <c r="CRB55" s="4"/>
      <c r="CRC55" s="4"/>
      <c r="CRD55" s="4"/>
      <c r="CRE55" s="4"/>
      <c r="CRF55" s="4"/>
      <c r="CRG55" s="4"/>
      <c r="CRH55" s="4"/>
      <c r="CRI55" s="4"/>
      <c r="CRJ55" s="4"/>
      <c r="CRK55" s="4"/>
      <c r="CRL55" s="4"/>
      <c r="CRM55" s="4"/>
      <c r="CRN55" s="4"/>
      <c r="CRO55" s="4"/>
      <c r="CRP55" s="4"/>
      <c r="CRQ55" s="4"/>
      <c r="CRR55" s="4"/>
      <c r="CRS55" s="4"/>
      <c r="CRT55" s="4"/>
      <c r="CRU55" s="4"/>
      <c r="CRV55" s="4"/>
      <c r="CRW55" s="4"/>
      <c r="CRX55" s="4"/>
      <c r="CRY55" s="4"/>
      <c r="CRZ55" s="4"/>
      <c r="CSA55" s="4"/>
      <c r="CSB55" s="4"/>
      <c r="CSC55" s="4"/>
      <c r="CSD55" s="4"/>
      <c r="CSE55" s="4"/>
      <c r="CSF55" s="4"/>
      <c r="CSG55" s="4"/>
      <c r="CSH55" s="4"/>
      <c r="CSI55" s="4"/>
      <c r="CSJ55" s="4"/>
      <c r="CSK55" s="4"/>
      <c r="CSL55" s="4"/>
      <c r="CSM55" s="4"/>
      <c r="CSN55" s="4"/>
      <c r="CSO55" s="4"/>
      <c r="CSP55" s="4"/>
      <c r="CSQ55" s="4"/>
      <c r="CSR55" s="4"/>
      <c r="CSS55" s="4"/>
      <c r="CST55" s="4"/>
      <c r="CSU55" s="4"/>
      <c r="CSV55" s="4"/>
      <c r="CSW55" s="4"/>
      <c r="CSX55" s="4"/>
      <c r="CSY55" s="4"/>
      <c r="CSZ55" s="4"/>
      <c r="CTA55" s="4"/>
      <c r="CTB55" s="4"/>
      <c r="CTC55" s="4"/>
      <c r="CTD55" s="4"/>
      <c r="CTE55" s="4"/>
      <c r="CTF55" s="4"/>
      <c r="CTG55" s="4"/>
      <c r="CTH55" s="4"/>
      <c r="CTI55" s="4"/>
      <c r="CTJ55" s="4"/>
      <c r="CTK55" s="4"/>
      <c r="CTL55" s="4"/>
      <c r="CTM55" s="4"/>
      <c r="CTN55" s="4"/>
      <c r="CTO55" s="4"/>
      <c r="CTP55" s="4"/>
      <c r="CTQ55" s="4"/>
      <c r="CTR55" s="4"/>
      <c r="CTS55" s="4"/>
      <c r="CTT55" s="4"/>
      <c r="CTU55" s="4"/>
      <c r="CTV55" s="4"/>
      <c r="CTW55" s="4"/>
      <c r="CTX55" s="4"/>
      <c r="CTY55" s="4"/>
      <c r="CTZ55" s="4"/>
      <c r="CUA55" s="4"/>
      <c r="CUB55" s="4"/>
      <c r="CUC55" s="4"/>
      <c r="CUD55" s="4"/>
      <c r="CUE55" s="4"/>
      <c r="CUF55" s="4"/>
      <c r="CUG55" s="4"/>
      <c r="CUH55" s="4"/>
      <c r="CUI55" s="4"/>
      <c r="CUJ55" s="4"/>
      <c r="CUK55" s="4"/>
      <c r="CUL55" s="4"/>
      <c r="CUM55" s="4"/>
      <c r="CUN55" s="4"/>
      <c r="CUO55" s="4"/>
      <c r="CUP55" s="4"/>
      <c r="CUQ55" s="4"/>
      <c r="CUR55" s="4"/>
      <c r="CUS55" s="4"/>
      <c r="CUT55" s="4"/>
      <c r="CUU55" s="4"/>
      <c r="CUV55" s="4"/>
      <c r="CUW55" s="4"/>
      <c r="CUX55" s="4"/>
      <c r="CUY55" s="4"/>
      <c r="CUZ55" s="4"/>
      <c r="CVA55" s="4"/>
      <c r="CVB55" s="4"/>
      <c r="CVC55" s="4"/>
      <c r="CVD55" s="4"/>
      <c r="CVE55" s="4"/>
      <c r="CVF55" s="4"/>
      <c r="CVG55" s="4"/>
      <c r="CVH55" s="4"/>
      <c r="CVI55" s="4"/>
      <c r="CVJ55" s="4"/>
      <c r="CVK55" s="4"/>
      <c r="CVL55" s="4"/>
      <c r="CVM55" s="4"/>
      <c r="CVN55" s="4"/>
      <c r="CVO55" s="4"/>
      <c r="CVP55" s="4"/>
      <c r="CVQ55" s="4"/>
      <c r="CVR55" s="4"/>
      <c r="CVS55" s="4"/>
      <c r="CVT55" s="4"/>
      <c r="CVU55" s="4"/>
      <c r="CVV55" s="4"/>
      <c r="CVW55" s="4"/>
      <c r="CVX55" s="4"/>
      <c r="CVY55" s="4"/>
      <c r="CVZ55" s="4"/>
      <c r="CWA55" s="4"/>
      <c r="CWB55" s="4"/>
      <c r="CWC55" s="4"/>
      <c r="CWD55" s="4"/>
      <c r="CWE55" s="4"/>
      <c r="CWF55" s="4"/>
      <c r="CWG55" s="4"/>
      <c r="CWH55" s="4"/>
      <c r="CWI55" s="4"/>
      <c r="CWJ55" s="4"/>
      <c r="CWK55" s="4"/>
      <c r="CWL55" s="4"/>
      <c r="CWM55" s="4"/>
      <c r="CWN55" s="4"/>
      <c r="CWO55" s="4"/>
      <c r="CWP55" s="4"/>
      <c r="CWQ55" s="4"/>
      <c r="CWR55" s="4"/>
      <c r="CWS55" s="4"/>
      <c r="CWT55" s="4"/>
      <c r="CWU55" s="4"/>
      <c r="CWV55" s="4"/>
      <c r="CWW55" s="4"/>
      <c r="CWX55" s="4"/>
      <c r="CWY55" s="4"/>
      <c r="CWZ55" s="4"/>
      <c r="CXA55" s="4"/>
      <c r="CXB55" s="4"/>
      <c r="CXC55" s="4"/>
      <c r="CXD55" s="4"/>
      <c r="CXE55" s="4"/>
      <c r="CXF55" s="4"/>
      <c r="CXG55" s="4"/>
      <c r="CXH55" s="4"/>
      <c r="CXI55" s="4"/>
      <c r="CXJ55" s="4"/>
      <c r="CXK55" s="4"/>
      <c r="CXL55" s="4"/>
      <c r="CXM55" s="4"/>
      <c r="CXN55" s="4"/>
      <c r="CXO55" s="4"/>
      <c r="CXP55" s="4"/>
      <c r="CXQ55" s="4"/>
      <c r="CXR55" s="4"/>
      <c r="CXS55" s="4"/>
      <c r="CXT55" s="4"/>
      <c r="CXU55" s="4"/>
      <c r="CXV55" s="4"/>
      <c r="CXW55" s="4"/>
      <c r="CXX55" s="4"/>
      <c r="CXY55" s="4"/>
      <c r="CXZ55" s="4"/>
      <c r="CYA55" s="4"/>
      <c r="CYB55" s="4"/>
      <c r="CYC55" s="4"/>
      <c r="CYD55" s="4"/>
      <c r="CYE55" s="4"/>
      <c r="CYF55" s="4"/>
      <c r="CYG55" s="4"/>
      <c r="CYH55" s="4"/>
      <c r="CYI55" s="4"/>
      <c r="CYJ55" s="4"/>
      <c r="CYK55" s="4"/>
      <c r="CYL55" s="4"/>
      <c r="CYM55" s="4"/>
      <c r="CYN55" s="4"/>
      <c r="CYO55" s="4"/>
      <c r="CYP55" s="4"/>
      <c r="CYQ55" s="4"/>
      <c r="CYR55" s="4"/>
      <c r="CYS55" s="4"/>
      <c r="CYT55" s="4"/>
      <c r="CYU55" s="4"/>
      <c r="CYV55" s="4"/>
      <c r="CYW55" s="4"/>
      <c r="CYX55" s="4"/>
      <c r="CYY55" s="4"/>
      <c r="CYZ55" s="4"/>
      <c r="CZA55" s="4"/>
      <c r="CZB55" s="4"/>
      <c r="CZC55" s="4"/>
      <c r="CZD55" s="4"/>
      <c r="CZE55" s="4"/>
      <c r="CZF55" s="4"/>
      <c r="CZG55" s="4"/>
      <c r="CZH55" s="4"/>
      <c r="CZI55" s="4"/>
      <c r="CZJ55" s="4"/>
      <c r="CZK55" s="4"/>
      <c r="CZL55" s="4"/>
      <c r="CZM55" s="4"/>
      <c r="CZN55" s="4"/>
      <c r="CZO55" s="4"/>
      <c r="CZP55" s="4"/>
      <c r="CZQ55" s="4"/>
      <c r="CZR55" s="4"/>
      <c r="CZS55" s="4"/>
      <c r="CZT55" s="4"/>
      <c r="CZU55" s="4"/>
      <c r="CZV55" s="4"/>
      <c r="CZW55" s="4"/>
      <c r="CZX55" s="4"/>
      <c r="CZY55" s="4"/>
      <c r="CZZ55" s="4"/>
      <c r="DAA55" s="4"/>
      <c r="DAB55" s="4"/>
      <c r="DAC55" s="4"/>
      <c r="DAD55" s="4"/>
      <c r="DAE55" s="4"/>
      <c r="DAF55" s="4"/>
      <c r="DAG55" s="4"/>
      <c r="DAH55" s="4"/>
      <c r="DAI55" s="4"/>
      <c r="DAJ55" s="4"/>
      <c r="DAK55" s="4"/>
      <c r="DAL55" s="4"/>
      <c r="DAM55" s="4"/>
      <c r="DAN55" s="4"/>
      <c r="DAO55" s="4"/>
      <c r="DAP55" s="4"/>
      <c r="DAQ55" s="4"/>
      <c r="DAR55" s="4"/>
      <c r="DAS55" s="4"/>
      <c r="DAT55" s="4"/>
      <c r="DAU55" s="4"/>
      <c r="DAV55" s="4"/>
      <c r="DAW55" s="4"/>
      <c r="DAX55" s="4"/>
      <c r="DAY55" s="4"/>
      <c r="DAZ55" s="4"/>
      <c r="DBA55" s="4"/>
      <c r="DBB55" s="4"/>
      <c r="DBC55" s="4"/>
      <c r="DBD55" s="4"/>
      <c r="DBE55" s="4"/>
      <c r="DBF55" s="4"/>
      <c r="DBG55" s="4"/>
      <c r="DBH55" s="4"/>
      <c r="DBI55" s="4"/>
      <c r="DBJ55" s="4"/>
      <c r="DBK55" s="4"/>
      <c r="DBL55" s="4"/>
      <c r="DBM55" s="4"/>
      <c r="DBN55" s="4"/>
      <c r="DBO55" s="4"/>
      <c r="DBP55" s="4"/>
      <c r="DBQ55" s="4"/>
      <c r="DBR55" s="4"/>
      <c r="DBS55" s="4"/>
      <c r="DBT55" s="4"/>
      <c r="DBU55" s="4"/>
      <c r="DBV55" s="4"/>
      <c r="DBW55" s="4"/>
      <c r="DBX55" s="4"/>
      <c r="DBY55" s="4"/>
      <c r="DBZ55" s="4"/>
      <c r="DCA55" s="4"/>
      <c r="DCB55" s="4"/>
      <c r="DCC55" s="4"/>
      <c r="DCD55" s="4"/>
      <c r="DCE55" s="4"/>
      <c r="DCF55" s="4"/>
      <c r="DCG55" s="4"/>
      <c r="DCH55" s="4"/>
      <c r="DCI55" s="4"/>
      <c r="DCJ55" s="4"/>
      <c r="DCK55" s="4"/>
      <c r="DCL55" s="4"/>
      <c r="DCM55" s="4"/>
      <c r="DCN55" s="4"/>
      <c r="DCO55" s="4"/>
      <c r="DCP55" s="4"/>
      <c r="DCQ55" s="4"/>
      <c r="DCR55" s="4"/>
      <c r="DCS55" s="4"/>
      <c r="DCT55" s="4"/>
      <c r="DCU55" s="4"/>
      <c r="DCV55" s="4"/>
      <c r="DCW55" s="4"/>
      <c r="DCX55" s="4"/>
      <c r="DCY55" s="4"/>
      <c r="DCZ55" s="4"/>
      <c r="DDA55" s="4"/>
      <c r="DDB55" s="4"/>
      <c r="DDC55" s="4"/>
      <c r="DDD55" s="4"/>
      <c r="DDE55" s="4"/>
      <c r="DDF55" s="4"/>
      <c r="DDG55" s="4"/>
      <c r="DDH55" s="4"/>
      <c r="DDI55" s="4"/>
      <c r="DDJ55" s="4"/>
      <c r="DDK55" s="4"/>
      <c r="DDL55" s="4"/>
      <c r="DDM55" s="4"/>
      <c r="DDN55" s="4"/>
      <c r="DDO55" s="4"/>
      <c r="DDP55" s="4"/>
      <c r="DDQ55" s="4"/>
      <c r="DDR55" s="4"/>
      <c r="DDS55" s="4"/>
      <c r="DDT55" s="4"/>
      <c r="DDU55" s="4"/>
      <c r="DDV55" s="4"/>
      <c r="DDW55" s="4"/>
      <c r="DDX55" s="4"/>
      <c r="DDY55" s="4"/>
      <c r="DDZ55" s="4"/>
      <c r="DEA55" s="4"/>
      <c r="DEB55" s="4"/>
      <c r="DEC55" s="4"/>
      <c r="DED55" s="4"/>
      <c r="DEE55" s="4"/>
      <c r="DEF55" s="4"/>
      <c r="DEG55" s="4"/>
      <c r="DEH55" s="4"/>
      <c r="DEI55" s="4"/>
      <c r="DEJ55" s="4"/>
      <c r="DEK55" s="4"/>
      <c r="DEL55" s="4"/>
      <c r="DEM55" s="4"/>
      <c r="DEN55" s="4"/>
      <c r="DEO55" s="4"/>
      <c r="DEP55" s="4"/>
      <c r="DEQ55" s="4"/>
      <c r="DER55" s="4"/>
      <c r="DES55" s="4"/>
      <c r="DET55" s="4"/>
      <c r="DEU55" s="4"/>
      <c r="DEV55" s="4"/>
      <c r="DEW55" s="4"/>
      <c r="DEX55" s="4"/>
      <c r="DEY55" s="4"/>
      <c r="DEZ55" s="4"/>
      <c r="DFA55" s="4"/>
      <c r="DFB55" s="4"/>
      <c r="DFC55" s="4"/>
      <c r="DFD55" s="4"/>
      <c r="DFE55" s="4"/>
      <c r="DFF55" s="4"/>
      <c r="DFG55" s="4"/>
      <c r="DFH55" s="4"/>
      <c r="DFI55" s="4"/>
      <c r="DFJ55" s="4"/>
      <c r="DFK55" s="4"/>
      <c r="DFL55" s="4"/>
      <c r="DFM55" s="4"/>
      <c r="DFN55" s="4"/>
      <c r="DFO55" s="4"/>
      <c r="DFP55" s="4"/>
      <c r="DFQ55" s="4"/>
      <c r="DFR55" s="4"/>
      <c r="DFS55" s="4"/>
      <c r="DFT55" s="4"/>
      <c r="DFU55" s="4"/>
      <c r="DFV55" s="4"/>
      <c r="DFW55" s="4"/>
      <c r="DFX55" s="4"/>
      <c r="DFY55" s="4"/>
      <c r="DFZ55" s="4"/>
      <c r="DGA55" s="4"/>
      <c r="DGB55" s="4"/>
      <c r="DGC55" s="4"/>
      <c r="DGD55" s="4"/>
      <c r="DGE55" s="4"/>
      <c r="DGF55" s="4"/>
      <c r="DGG55" s="4"/>
      <c r="DGH55" s="4"/>
      <c r="DGI55" s="4"/>
      <c r="DGJ55" s="4"/>
      <c r="DGK55" s="4"/>
      <c r="DGL55" s="4"/>
      <c r="DGM55" s="4"/>
      <c r="DGN55" s="4"/>
      <c r="DGO55" s="4"/>
      <c r="DGP55" s="4"/>
      <c r="DGQ55" s="4"/>
      <c r="DGR55" s="4"/>
      <c r="DGS55" s="4"/>
      <c r="DGT55" s="4"/>
      <c r="DGU55" s="4"/>
      <c r="DGV55" s="4"/>
      <c r="DGW55" s="4"/>
      <c r="DGX55" s="4"/>
      <c r="DGY55" s="4"/>
      <c r="DGZ55" s="4"/>
      <c r="DHA55" s="4"/>
      <c r="DHB55" s="4"/>
      <c r="DHC55" s="4"/>
      <c r="DHD55" s="4"/>
      <c r="DHE55" s="4"/>
      <c r="DHF55" s="4"/>
      <c r="DHG55" s="4"/>
      <c r="DHH55" s="4"/>
      <c r="DHI55" s="4"/>
      <c r="DHJ55" s="4"/>
      <c r="DHK55" s="4"/>
      <c r="DHL55" s="4"/>
      <c r="DHM55" s="4"/>
      <c r="DHN55" s="4"/>
      <c r="DHO55" s="4"/>
      <c r="DHP55" s="4"/>
      <c r="DHQ55" s="4"/>
      <c r="DHR55" s="4"/>
      <c r="DHS55" s="4"/>
      <c r="DHT55" s="4"/>
      <c r="DHU55" s="4"/>
      <c r="DHV55" s="4"/>
      <c r="DHW55" s="4"/>
      <c r="DHX55" s="4"/>
      <c r="DHY55" s="4"/>
      <c r="DHZ55" s="4"/>
      <c r="DIA55" s="4"/>
      <c r="DIB55" s="4"/>
      <c r="DIC55" s="4"/>
      <c r="DID55" s="4"/>
      <c r="DIE55" s="4"/>
      <c r="DIF55" s="4"/>
      <c r="DIG55" s="4"/>
      <c r="DIH55" s="4"/>
      <c r="DII55" s="4"/>
      <c r="DIJ55" s="4"/>
      <c r="DIK55" s="4"/>
      <c r="DIL55" s="4"/>
      <c r="DIM55" s="4"/>
      <c r="DIN55" s="4"/>
      <c r="DIO55" s="4"/>
      <c r="DIP55" s="4"/>
      <c r="DIQ55" s="4"/>
      <c r="DIR55" s="4"/>
      <c r="DIS55" s="4"/>
      <c r="DIT55" s="4"/>
      <c r="DIU55" s="4"/>
      <c r="DIV55" s="4"/>
      <c r="DIW55" s="4"/>
      <c r="DIX55" s="4"/>
      <c r="DIY55" s="4"/>
      <c r="DIZ55" s="4"/>
      <c r="DJA55" s="4"/>
      <c r="DJB55" s="4"/>
      <c r="DJC55" s="4"/>
      <c r="DJD55" s="4"/>
      <c r="DJE55" s="4"/>
      <c r="DJF55" s="4"/>
      <c r="DJG55" s="4"/>
      <c r="DJH55" s="4"/>
      <c r="DJI55" s="4"/>
      <c r="DJJ55" s="4"/>
      <c r="DJK55" s="4"/>
      <c r="DJL55" s="4"/>
      <c r="DJM55" s="4"/>
      <c r="DJN55" s="4"/>
      <c r="DJO55" s="4"/>
      <c r="DJP55" s="4"/>
      <c r="DJQ55" s="4"/>
      <c r="DJR55" s="4"/>
      <c r="DJS55" s="4"/>
      <c r="DJT55" s="4"/>
      <c r="DJU55" s="4"/>
      <c r="DJV55" s="4"/>
      <c r="DJW55" s="4"/>
      <c r="DJX55" s="4"/>
      <c r="DJY55" s="4"/>
      <c r="DJZ55" s="4"/>
      <c r="DKA55" s="4"/>
      <c r="DKB55" s="4"/>
      <c r="DKC55" s="4"/>
      <c r="DKD55" s="4"/>
      <c r="DKE55" s="4"/>
      <c r="DKF55" s="4"/>
      <c r="DKG55" s="4"/>
      <c r="DKH55" s="4"/>
      <c r="DKI55" s="4"/>
      <c r="DKJ55" s="4"/>
      <c r="DKK55" s="4"/>
      <c r="DKL55" s="4"/>
      <c r="DKM55" s="4"/>
      <c r="DKN55" s="4"/>
      <c r="DKO55" s="4"/>
      <c r="DKP55" s="4"/>
      <c r="DKQ55" s="4"/>
      <c r="DKR55" s="4"/>
      <c r="DKS55" s="4"/>
      <c r="DKT55" s="4"/>
      <c r="DKU55" s="4"/>
      <c r="DKV55" s="4"/>
      <c r="DKW55" s="4"/>
      <c r="DKX55" s="4"/>
      <c r="DKY55" s="4"/>
      <c r="DKZ55" s="4"/>
      <c r="DLA55" s="4"/>
      <c r="DLB55" s="4"/>
      <c r="DLC55" s="4"/>
      <c r="DLD55" s="4"/>
      <c r="DLE55" s="4"/>
      <c r="DLF55" s="4"/>
      <c r="DLG55" s="4"/>
      <c r="DLH55" s="4"/>
      <c r="DLI55" s="4"/>
      <c r="DLJ55" s="4"/>
      <c r="DLK55" s="4"/>
      <c r="DLL55" s="4"/>
      <c r="DLM55" s="4"/>
      <c r="DLN55" s="4"/>
      <c r="DLO55" s="4"/>
      <c r="DLP55" s="4"/>
      <c r="DLQ55" s="4"/>
      <c r="DLR55" s="4"/>
      <c r="DLS55" s="4"/>
      <c r="DLT55" s="4"/>
      <c r="DLU55" s="4"/>
      <c r="DLV55" s="4"/>
      <c r="DLW55" s="4"/>
      <c r="DLX55" s="4"/>
      <c r="DLY55" s="4"/>
      <c r="DLZ55" s="4"/>
      <c r="DMA55" s="4"/>
      <c r="DMB55" s="4"/>
      <c r="DMC55" s="4"/>
      <c r="DMD55" s="4"/>
      <c r="DME55" s="4"/>
      <c r="DMF55" s="4"/>
      <c r="DMG55" s="4"/>
      <c r="DMH55" s="4"/>
      <c r="DMI55" s="4"/>
      <c r="DMJ55" s="4"/>
      <c r="DMK55" s="4"/>
      <c r="DML55" s="4"/>
      <c r="DMM55" s="4"/>
      <c r="DMN55" s="4"/>
      <c r="DMO55" s="4"/>
      <c r="DMP55" s="4"/>
      <c r="DMQ55" s="4"/>
      <c r="DMR55" s="4"/>
      <c r="DMS55" s="4"/>
      <c r="DMT55" s="4"/>
      <c r="DMU55" s="4"/>
      <c r="DMV55" s="4"/>
      <c r="DMW55" s="4"/>
      <c r="DMX55" s="4"/>
      <c r="DMY55" s="4"/>
      <c r="DMZ55" s="4"/>
      <c r="DNA55" s="4"/>
      <c r="DNB55" s="4"/>
      <c r="DNC55" s="4"/>
      <c r="DND55" s="4"/>
      <c r="DNE55" s="4"/>
      <c r="DNF55" s="4"/>
      <c r="DNG55" s="4"/>
      <c r="DNH55" s="4"/>
      <c r="DNI55" s="4"/>
      <c r="DNJ55" s="4"/>
      <c r="DNK55" s="4"/>
      <c r="DNL55" s="4"/>
      <c r="DNM55" s="4"/>
      <c r="DNN55" s="4"/>
      <c r="DNO55" s="4"/>
      <c r="DNP55" s="4"/>
      <c r="DNQ55" s="4"/>
      <c r="DNR55" s="4"/>
      <c r="DNS55" s="4"/>
      <c r="DNT55" s="4"/>
      <c r="DNU55" s="4"/>
      <c r="DNV55" s="4"/>
      <c r="DNW55" s="4"/>
      <c r="DNX55" s="4"/>
      <c r="DNY55" s="4"/>
      <c r="DNZ55" s="4"/>
      <c r="DOA55" s="4"/>
      <c r="DOB55" s="4"/>
      <c r="DOC55" s="4"/>
      <c r="DOD55" s="4"/>
      <c r="DOE55" s="4"/>
      <c r="DOF55" s="4"/>
      <c r="DOG55" s="4"/>
      <c r="DOH55" s="4"/>
      <c r="DOI55" s="4"/>
      <c r="DOJ55" s="4"/>
      <c r="DOK55" s="4"/>
      <c r="DOL55" s="4"/>
      <c r="DOM55" s="4"/>
      <c r="DON55" s="4"/>
      <c r="DOO55" s="4"/>
      <c r="DOP55" s="4"/>
      <c r="DOQ55" s="4"/>
      <c r="DOR55" s="4"/>
      <c r="DOS55" s="4"/>
      <c r="DOT55" s="4"/>
      <c r="DOU55" s="4"/>
      <c r="DOV55" s="4"/>
      <c r="DOW55" s="4"/>
      <c r="DOX55" s="4"/>
      <c r="DOY55" s="4"/>
      <c r="DOZ55" s="4"/>
      <c r="DPA55" s="4"/>
      <c r="DPB55" s="4"/>
      <c r="DPC55" s="4"/>
      <c r="DPD55" s="4"/>
      <c r="DPE55" s="4"/>
      <c r="DPF55" s="4"/>
      <c r="DPG55" s="4"/>
      <c r="DPH55" s="4"/>
      <c r="DPI55" s="4"/>
      <c r="DPJ55" s="4"/>
      <c r="DPK55" s="4"/>
      <c r="DPL55" s="4"/>
      <c r="DPM55" s="4"/>
      <c r="DPN55" s="4"/>
      <c r="DPO55" s="4"/>
      <c r="DPP55" s="4"/>
      <c r="DPQ55" s="4"/>
      <c r="DPR55" s="4"/>
      <c r="DPS55" s="4"/>
      <c r="DPT55" s="4"/>
      <c r="DPU55" s="4"/>
      <c r="DPV55" s="4"/>
      <c r="DPW55" s="4"/>
      <c r="DPX55" s="4"/>
      <c r="DPY55" s="4"/>
      <c r="DPZ55" s="4"/>
      <c r="DQA55" s="4"/>
      <c r="DQB55" s="4"/>
      <c r="DQC55" s="4"/>
      <c r="DQD55" s="4"/>
      <c r="DQE55" s="4"/>
      <c r="DQF55" s="4"/>
      <c r="DQG55" s="4"/>
      <c r="DQH55" s="4"/>
      <c r="DQI55" s="4"/>
      <c r="DQJ55" s="4"/>
      <c r="DQK55" s="4"/>
      <c r="DQL55" s="4"/>
      <c r="DQM55" s="4"/>
      <c r="DQN55" s="4"/>
      <c r="DQO55" s="4"/>
      <c r="DQP55" s="4"/>
      <c r="DQQ55" s="4"/>
      <c r="DQR55" s="4"/>
      <c r="DQS55" s="4"/>
      <c r="DQT55" s="4"/>
      <c r="DQU55" s="4"/>
      <c r="DQV55" s="4"/>
      <c r="DQW55" s="4"/>
      <c r="DQX55" s="4"/>
      <c r="DQY55" s="4"/>
      <c r="DQZ55" s="4"/>
      <c r="DRA55" s="4"/>
      <c r="DRB55" s="4"/>
      <c r="DRC55" s="4"/>
      <c r="DRD55" s="4"/>
      <c r="DRE55" s="4"/>
      <c r="DRF55" s="4"/>
      <c r="DRG55" s="4"/>
      <c r="DRH55" s="4"/>
      <c r="DRI55" s="4"/>
      <c r="DRJ55" s="4"/>
      <c r="DRK55" s="4"/>
      <c r="DRL55" s="4"/>
      <c r="DRM55" s="4"/>
      <c r="DRN55" s="4"/>
      <c r="DRO55" s="4"/>
      <c r="DRP55" s="4"/>
      <c r="DRQ55" s="4"/>
      <c r="DRR55" s="4"/>
      <c r="DRS55" s="4"/>
      <c r="DRT55" s="4"/>
      <c r="DRU55" s="4"/>
      <c r="DRV55" s="4"/>
      <c r="DRW55" s="4"/>
      <c r="DRX55" s="4"/>
      <c r="DRY55" s="4"/>
      <c r="DRZ55" s="4"/>
      <c r="DSA55" s="4"/>
      <c r="DSB55" s="4"/>
      <c r="DSC55" s="4"/>
      <c r="DSD55" s="4"/>
      <c r="DSE55" s="4"/>
      <c r="DSF55" s="4"/>
      <c r="DSG55" s="4"/>
      <c r="DSH55" s="4"/>
      <c r="DSI55" s="4"/>
      <c r="DSJ55" s="4"/>
      <c r="DSK55" s="4"/>
      <c r="DSL55" s="4"/>
      <c r="DSM55" s="4"/>
      <c r="DSN55" s="4"/>
      <c r="DSO55" s="4"/>
      <c r="DSP55" s="4"/>
      <c r="DSQ55" s="4"/>
      <c r="DSR55" s="4"/>
      <c r="DSS55" s="4"/>
      <c r="DST55" s="4"/>
      <c r="DSU55" s="4"/>
      <c r="DSV55" s="4"/>
      <c r="DSW55" s="4"/>
      <c r="DSX55" s="4"/>
      <c r="DSY55" s="4"/>
      <c r="DSZ55" s="4"/>
      <c r="DTA55" s="4"/>
      <c r="DTB55" s="4"/>
      <c r="DTC55" s="4"/>
      <c r="DTD55" s="4"/>
      <c r="DTE55" s="4"/>
      <c r="DTF55" s="4"/>
      <c r="DTG55" s="4"/>
      <c r="DTH55" s="4"/>
      <c r="DTI55" s="4"/>
      <c r="DTJ55" s="4"/>
      <c r="DTK55" s="4"/>
      <c r="DTL55" s="4"/>
      <c r="DTM55" s="4"/>
      <c r="DTN55" s="4"/>
      <c r="DTO55" s="4"/>
      <c r="DTP55" s="4"/>
      <c r="DTQ55" s="4"/>
      <c r="DTR55" s="4"/>
      <c r="DTS55" s="4"/>
      <c r="DTT55" s="4"/>
      <c r="DTU55" s="4"/>
      <c r="DTV55" s="4"/>
      <c r="DTW55" s="4"/>
      <c r="DTX55" s="4"/>
      <c r="DTY55" s="4"/>
      <c r="DTZ55" s="4"/>
      <c r="DUA55" s="4"/>
      <c r="DUB55" s="4"/>
      <c r="DUC55" s="4"/>
      <c r="DUD55" s="4"/>
      <c r="DUE55" s="4"/>
      <c r="DUF55" s="4"/>
      <c r="DUG55" s="4"/>
      <c r="DUH55" s="4"/>
      <c r="DUI55" s="4"/>
      <c r="DUJ55" s="4"/>
      <c r="DUK55" s="4"/>
      <c r="DUL55" s="4"/>
      <c r="DUM55" s="4"/>
      <c r="DUN55" s="4"/>
      <c r="DUO55" s="4"/>
      <c r="DUP55" s="4"/>
      <c r="DUQ55" s="4"/>
      <c r="DUR55" s="4"/>
      <c r="DUS55" s="4"/>
      <c r="DUT55" s="4"/>
      <c r="DUU55" s="4"/>
      <c r="DUV55" s="4"/>
      <c r="DUW55" s="4"/>
      <c r="DUX55" s="4"/>
      <c r="DUY55" s="4"/>
      <c r="DUZ55" s="4"/>
      <c r="DVA55" s="4"/>
      <c r="DVB55" s="4"/>
      <c r="DVC55" s="4"/>
      <c r="DVD55" s="4"/>
      <c r="DVE55" s="4"/>
      <c r="DVF55" s="4"/>
      <c r="DVG55" s="4"/>
      <c r="DVH55" s="4"/>
      <c r="DVI55" s="4"/>
      <c r="DVJ55" s="4"/>
      <c r="DVK55" s="4"/>
      <c r="DVL55" s="4"/>
      <c r="DVM55" s="4"/>
      <c r="DVN55" s="4"/>
      <c r="DVO55" s="4"/>
      <c r="DVP55" s="4"/>
      <c r="DVQ55" s="4"/>
      <c r="DVR55" s="4"/>
      <c r="DVS55" s="4"/>
      <c r="DVT55" s="4"/>
      <c r="DVU55" s="4"/>
      <c r="DVV55" s="4"/>
      <c r="DVW55" s="4"/>
      <c r="DVX55" s="4"/>
      <c r="DVY55" s="4"/>
      <c r="DVZ55" s="4"/>
      <c r="DWA55" s="4"/>
      <c r="DWB55" s="4"/>
      <c r="DWC55" s="4"/>
      <c r="DWD55" s="4"/>
      <c r="DWE55" s="4"/>
      <c r="DWF55" s="4"/>
      <c r="DWG55" s="4"/>
      <c r="DWH55" s="4"/>
      <c r="DWI55" s="4"/>
      <c r="DWJ55" s="4"/>
      <c r="DWK55" s="4"/>
      <c r="DWL55" s="4"/>
      <c r="DWM55" s="4"/>
      <c r="DWN55" s="4"/>
      <c r="DWO55" s="4"/>
      <c r="DWP55" s="4"/>
      <c r="DWQ55" s="4"/>
      <c r="DWR55" s="4"/>
      <c r="DWS55" s="4"/>
      <c r="DWT55" s="4"/>
      <c r="DWU55" s="4"/>
      <c r="DWV55" s="4"/>
      <c r="DWW55" s="4"/>
      <c r="DWX55" s="4"/>
      <c r="DWY55" s="4"/>
      <c r="DWZ55" s="4"/>
      <c r="DXA55" s="4"/>
      <c r="DXB55" s="4"/>
      <c r="DXC55" s="4"/>
      <c r="DXD55" s="4"/>
      <c r="DXE55" s="4"/>
      <c r="DXF55" s="4"/>
      <c r="DXG55" s="4"/>
      <c r="DXH55" s="4"/>
      <c r="DXI55" s="4"/>
      <c r="DXJ55" s="4"/>
      <c r="DXK55" s="4"/>
      <c r="DXL55" s="4"/>
      <c r="DXM55" s="4"/>
      <c r="DXN55" s="4"/>
      <c r="DXO55" s="4"/>
      <c r="DXP55" s="4"/>
      <c r="DXQ55" s="4"/>
      <c r="DXR55" s="4"/>
      <c r="DXS55" s="4"/>
      <c r="DXT55" s="4"/>
      <c r="DXU55" s="4"/>
      <c r="DXV55" s="4"/>
      <c r="DXW55" s="4"/>
      <c r="DXX55" s="4"/>
      <c r="DXY55" s="4"/>
      <c r="DXZ55" s="4"/>
      <c r="DYA55" s="4"/>
      <c r="DYB55" s="4"/>
      <c r="DYC55" s="4"/>
      <c r="DYD55" s="4"/>
      <c r="DYE55" s="4"/>
      <c r="DYF55" s="4"/>
      <c r="DYG55" s="4"/>
      <c r="DYH55" s="4"/>
      <c r="DYI55" s="4"/>
      <c r="DYJ55" s="4"/>
      <c r="DYK55" s="4"/>
      <c r="DYL55" s="4"/>
      <c r="DYM55" s="4"/>
      <c r="DYN55" s="4"/>
      <c r="DYO55" s="4"/>
      <c r="DYP55" s="4"/>
      <c r="DYQ55" s="4"/>
      <c r="DYR55" s="4"/>
      <c r="DYS55" s="4"/>
      <c r="DYT55" s="4"/>
      <c r="DYU55" s="4"/>
      <c r="DYV55" s="4"/>
      <c r="DYW55" s="4"/>
      <c r="DYX55" s="4"/>
      <c r="DYY55" s="4"/>
      <c r="DYZ55" s="4"/>
      <c r="DZA55" s="4"/>
      <c r="DZB55" s="4"/>
      <c r="DZC55" s="4"/>
      <c r="DZD55" s="4"/>
      <c r="DZE55" s="4"/>
      <c r="DZF55" s="4"/>
      <c r="DZG55" s="4"/>
      <c r="DZH55" s="4"/>
      <c r="DZI55" s="4"/>
      <c r="DZJ55" s="4"/>
      <c r="DZK55" s="4"/>
      <c r="DZL55" s="4"/>
      <c r="DZM55" s="4"/>
      <c r="DZN55" s="4"/>
      <c r="DZO55" s="4"/>
      <c r="DZP55" s="4"/>
      <c r="DZQ55" s="4"/>
      <c r="DZR55" s="4"/>
      <c r="DZS55" s="4"/>
      <c r="DZT55" s="4"/>
      <c r="DZU55" s="4"/>
      <c r="DZV55" s="4"/>
      <c r="DZW55" s="4"/>
      <c r="DZX55" s="4"/>
      <c r="DZY55" s="4"/>
      <c r="DZZ55" s="4"/>
      <c r="EAA55" s="4"/>
      <c r="EAB55" s="4"/>
      <c r="EAC55" s="4"/>
      <c r="EAD55" s="4"/>
      <c r="EAE55" s="4"/>
      <c r="EAF55" s="4"/>
      <c r="EAG55" s="4"/>
      <c r="EAH55" s="4"/>
      <c r="EAI55" s="4"/>
      <c r="EAJ55" s="4"/>
      <c r="EAK55" s="4"/>
      <c r="EAL55" s="4"/>
      <c r="EAM55" s="4"/>
      <c r="EAN55" s="4"/>
      <c r="EAO55" s="4"/>
      <c r="EAP55" s="4"/>
      <c r="EAQ55" s="4"/>
      <c r="EAR55" s="4"/>
      <c r="EAS55" s="4"/>
      <c r="EAT55" s="4"/>
      <c r="EAU55" s="4"/>
      <c r="EAV55" s="4"/>
      <c r="EAW55" s="4"/>
      <c r="EAX55" s="4"/>
      <c r="EAY55" s="4"/>
      <c r="EAZ55" s="4"/>
      <c r="EBA55" s="4"/>
      <c r="EBB55" s="4"/>
      <c r="EBC55" s="4"/>
      <c r="EBD55" s="4"/>
      <c r="EBE55" s="4"/>
      <c r="EBF55" s="4"/>
      <c r="EBG55" s="4"/>
      <c r="EBH55" s="4"/>
      <c r="EBI55" s="4"/>
      <c r="EBJ55" s="4"/>
      <c r="EBK55" s="4"/>
      <c r="EBL55" s="4"/>
      <c r="EBM55" s="4"/>
      <c r="EBN55" s="4"/>
      <c r="EBO55" s="4"/>
      <c r="EBP55" s="4"/>
      <c r="EBQ55" s="4"/>
      <c r="EBR55" s="4"/>
      <c r="EBS55" s="4"/>
      <c r="EBT55" s="4"/>
      <c r="EBU55" s="4"/>
      <c r="EBV55" s="4"/>
      <c r="EBW55" s="4"/>
      <c r="EBX55" s="4"/>
      <c r="EBY55" s="4"/>
      <c r="EBZ55" s="4"/>
      <c r="ECA55" s="4"/>
      <c r="ECB55" s="4"/>
      <c r="ECC55" s="4"/>
      <c r="ECD55" s="4"/>
      <c r="ECE55" s="4"/>
      <c r="ECF55" s="4"/>
      <c r="ECG55" s="4"/>
      <c r="ECH55" s="4"/>
      <c r="ECI55" s="4"/>
      <c r="ECJ55" s="4"/>
      <c r="ECK55" s="4"/>
      <c r="ECL55" s="4"/>
      <c r="ECM55" s="4"/>
      <c r="ECN55" s="4"/>
      <c r="ECO55" s="4"/>
      <c r="ECP55" s="4"/>
      <c r="ECQ55" s="4"/>
      <c r="ECR55" s="4"/>
      <c r="ECS55" s="4"/>
      <c r="ECT55" s="4"/>
      <c r="ECU55" s="4"/>
      <c r="ECV55" s="4"/>
      <c r="ECW55" s="4"/>
      <c r="ECX55" s="4"/>
      <c r="ECY55" s="4"/>
      <c r="ECZ55" s="4"/>
      <c r="EDA55" s="4"/>
      <c r="EDB55" s="4"/>
      <c r="EDC55" s="4"/>
      <c r="EDD55" s="4"/>
      <c r="EDE55" s="4"/>
      <c r="EDF55" s="4"/>
      <c r="EDG55" s="4"/>
      <c r="EDH55" s="4"/>
      <c r="EDI55" s="4"/>
      <c r="EDJ55" s="4"/>
      <c r="EDK55" s="4"/>
      <c r="EDL55" s="4"/>
      <c r="EDM55" s="4"/>
      <c r="EDN55" s="4"/>
      <c r="EDO55" s="4"/>
      <c r="EDP55" s="4"/>
      <c r="EDQ55" s="4"/>
      <c r="EDR55" s="4"/>
      <c r="EDS55" s="4"/>
      <c r="EDT55" s="4"/>
      <c r="EDU55" s="4"/>
      <c r="EDV55" s="4"/>
      <c r="EDW55" s="4"/>
      <c r="EDX55" s="4"/>
      <c r="EDY55" s="4"/>
      <c r="EDZ55" s="4"/>
      <c r="EEA55" s="4"/>
      <c r="EEB55" s="4"/>
      <c r="EEC55" s="4"/>
      <c r="EED55" s="4"/>
      <c r="EEE55" s="4"/>
      <c r="EEF55" s="4"/>
      <c r="EEG55" s="4"/>
      <c r="EEH55" s="4"/>
      <c r="EEI55" s="4"/>
      <c r="EEJ55" s="4"/>
      <c r="EEK55" s="4"/>
      <c r="EEL55" s="4"/>
      <c r="EEM55" s="4"/>
      <c r="EEN55" s="4"/>
      <c r="EEO55" s="4"/>
      <c r="EEP55" s="4"/>
      <c r="EEQ55" s="4"/>
      <c r="EER55" s="4"/>
      <c r="EES55" s="4"/>
      <c r="EET55" s="4"/>
      <c r="EEU55" s="4"/>
      <c r="EEV55" s="4"/>
      <c r="EEW55" s="4"/>
      <c r="EEX55" s="4"/>
      <c r="EEY55" s="4"/>
      <c r="EEZ55" s="4"/>
      <c r="EFA55" s="4"/>
      <c r="EFB55" s="4"/>
      <c r="EFC55" s="4"/>
      <c r="EFD55" s="4"/>
      <c r="EFE55" s="4"/>
      <c r="EFF55" s="4"/>
      <c r="EFG55" s="4"/>
      <c r="EFH55" s="4"/>
      <c r="EFI55" s="4"/>
      <c r="EFJ55" s="4"/>
      <c r="EFK55" s="4"/>
      <c r="EFL55" s="4"/>
      <c r="EFM55" s="4"/>
      <c r="EFN55" s="4"/>
      <c r="EFO55" s="4"/>
      <c r="EFP55" s="4"/>
      <c r="EFQ55" s="4"/>
      <c r="EFR55" s="4"/>
      <c r="EFS55" s="4"/>
      <c r="EFT55" s="4"/>
      <c r="EFU55" s="4"/>
      <c r="EFV55" s="4"/>
      <c r="EFW55" s="4"/>
      <c r="EFX55" s="4"/>
      <c r="EFY55" s="4"/>
      <c r="EFZ55" s="4"/>
      <c r="EGA55" s="4"/>
      <c r="EGB55" s="4"/>
      <c r="EGC55" s="4"/>
      <c r="EGD55" s="4"/>
      <c r="EGE55" s="4"/>
      <c r="EGF55" s="4"/>
      <c r="EGG55" s="4"/>
      <c r="EGH55" s="4"/>
      <c r="EGI55" s="4"/>
      <c r="EGJ55" s="4"/>
      <c r="EGK55" s="4"/>
      <c r="EGL55" s="4"/>
      <c r="EGM55" s="4"/>
      <c r="EGN55" s="4"/>
      <c r="EGO55" s="4"/>
      <c r="EGP55" s="4"/>
      <c r="EGQ55" s="4"/>
      <c r="EGR55" s="4"/>
      <c r="EGS55" s="4"/>
      <c r="EGT55" s="4"/>
      <c r="EGU55" s="4"/>
      <c r="EGV55" s="4"/>
      <c r="EGW55" s="4"/>
      <c r="EGX55" s="4"/>
      <c r="EGY55" s="4"/>
      <c r="EGZ55" s="4"/>
      <c r="EHA55" s="4"/>
      <c r="EHB55" s="4"/>
      <c r="EHC55" s="4"/>
      <c r="EHD55" s="4"/>
      <c r="EHE55" s="4"/>
      <c r="EHF55" s="4"/>
      <c r="EHG55" s="4"/>
      <c r="EHH55" s="4"/>
      <c r="EHI55" s="4"/>
      <c r="EHJ55" s="4"/>
      <c r="EHK55" s="4"/>
      <c r="EHL55" s="4"/>
      <c r="EHM55" s="4"/>
      <c r="EHN55" s="4"/>
      <c r="EHO55" s="4"/>
      <c r="EHP55" s="4"/>
      <c r="EHQ55" s="4"/>
      <c r="EHR55" s="4"/>
      <c r="EHS55" s="4"/>
      <c r="EHT55" s="4"/>
      <c r="EHU55" s="4"/>
      <c r="EHV55" s="4"/>
      <c r="EHW55" s="4"/>
      <c r="EHX55" s="4"/>
      <c r="EHY55" s="4"/>
      <c r="EHZ55" s="4"/>
      <c r="EIA55" s="4"/>
      <c r="EIB55" s="4"/>
      <c r="EIC55" s="4"/>
      <c r="EID55" s="4"/>
      <c r="EIE55" s="4"/>
      <c r="EIF55" s="4"/>
      <c r="EIG55" s="4"/>
      <c r="EIH55" s="4"/>
      <c r="EII55" s="4"/>
      <c r="EIJ55" s="4"/>
      <c r="EIK55" s="4"/>
      <c r="EIL55" s="4"/>
      <c r="EIM55" s="4"/>
      <c r="EIN55" s="4"/>
      <c r="EIO55" s="4"/>
      <c r="EIP55" s="4"/>
      <c r="EIQ55" s="4"/>
      <c r="EIR55" s="4"/>
      <c r="EIS55" s="4"/>
      <c r="EIT55" s="4"/>
      <c r="EIU55" s="4"/>
      <c r="EIV55" s="4"/>
      <c r="EIW55" s="4"/>
      <c r="EIX55" s="4"/>
      <c r="EIY55" s="4"/>
      <c r="EIZ55" s="4"/>
      <c r="EJA55" s="4"/>
      <c r="EJB55" s="4"/>
      <c r="EJC55" s="4"/>
      <c r="EJD55" s="4"/>
      <c r="EJE55" s="4"/>
      <c r="EJF55" s="4"/>
      <c r="EJG55" s="4"/>
      <c r="EJH55" s="4"/>
      <c r="EJI55" s="4"/>
      <c r="EJJ55" s="4"/>
      <c r="EJK55" s="4"/>
      <c r="EJL55" s="4"/>
      <c r="EJM55" s="4"/>
      <c r="EJN55" s="4"/>
      <c r="EJO55" s="4"/>
      <c r="EJP55" s="4"/>
      <c r="EJQ55" s="4"/>
      <c r="EJR55" s="4"/>
      <c r="EJS55" s="4"/>
      <c r="EJT55" s="4"/>
      <c r="EJU55" s="4"/>
      <c r="EJV55" s="4"/>
      <c r="EJW55" s="4"/>
      <c r="EJX55" s="4"/>
      <c r="EJY55" s="4"/>
      <c r="EJZ55" s="4"/>
      <c r="EKA55" s="4"/>
      <c r="EKB55" s="4"/>
      <c r="EKC55" s="4"/>
      <c r="EKD55" s="4"/>
      <c r="EKE55" s="4"/>
      <c r="EKF55" s="4"/>
      <c r="EKG55" s="4"/>
      <c r="EKH55" s="4"/>
      <c r="EKI55" s="4"/>
      <c r="EKJ55" s="4"/>
      <c r="EKK55" s="4"/>
      <c r="EKL55" s="4"/>
      <c r="EKM55" s="4"/>
      <c r="EKN55" s="4"/>
      <c r="EKO55" s="4"/>
      <c r="EKP55" s="4"/>
      <c r="EKQ55" s="4"/>
      <c r="EKR55" s="4"/>
      <c r="EKS55" s="4"/>
      <c r="EKT55" s="4"/>
      <c r="EKU55" s="4"/>
      <c r="EKV55" s="4"/>
      <c r="EKW55" s="4"/>
      <c r="EKX55" s="4"/>
      <c r="EKY55" s="4"/>
      <c r="EKZ55" s="4"/>
      <c r="ELA55" s="4"/>
      <c r="ELB55" s="4"/>
      <c r="ELC55" s="4"/>
      <c r="ELD55" s="4"/>
      <c r="ELE55" s="4"/>
      <c r="ELF55" s="4"/>
      <c r="ELG55" s="4"/>
      <c r="ELH55" s="4"/>
      <c r="ELI55" s="4"/>
      <c r="ELJ55" s="4"/>
      <c r="ELK55" s="4"/>
      <c r="ELL55" s="4"/>
      <c r="ELM55" s="4"/>
      <c r="ELN55" s="4"/>
      <c r="ELO55" s="4"/>
      <c r="ELP55" s="4"/>
      <c r="ELQ55" s="4"/>
      <c r="ELR55" s="4"/>
      <c r="ELS55" s="4"/>
      <c r="ELT55" s="4"/>
      <c r="ELU55" s="4"/>
      <c r="ELV55" s="4"/>
      <c r="ELW55" s="4"/>
      <c r="ELX55" s="4"/>
      <c r="ELY55" s="4"/>
      <c r="ELZ55" s="4"/>
      <c r="EMA55" s="4"/>
      <c r="EMB55" s="4"/>
      <c r="EMC55" s="4"/>
      <c r="EMD55" s="4"/>
      <c r="EME55" s="4"/>
      <c r="EMF55" s="4"/>
      <c r="EMG55" s="4"/>
      <c r="EMH55" s="4"/>
      <c r="EMI55" s="4"/>
      <c r="EMJ55" s="4"/>
      <c r="EMK55" s="4"/>
      <c r="EML55" s="4"/>
      <c r="EMM55" s="4"/>
      <c r="EMN55" s="4"/>
      <c r="EMO55" s="4"/>
      <c r="EMP55" s="4"/>
      <c r="EMQ55" s="4"/>
      <c r="EMR55" s="4"/>
      <c r="EMS55" s="4"/>
      <c r="EMT55" s="4"/>
      <c r="EMU55" s="4"/>
      <c r="EMV55" s="4"/>
      <c r="EMW55" s="4"/>
      <c r="EMX55" s="4"/>
      <c r="EMY55" s="4"/>
      <c r="EMZ55" s="4"/>
      <c r="ENA55" s="4"/>
      <c r="ENB55" s="4"/>
      <c r="ENC55" s="4"/>
      <c r="END55" s="4"/>
      <c r="ENE55" s="4"/>
      <c r="ENF55" s="4"/>
      <c r="ENG55" s="4"/>
      <c r="ENH55" s="4"/>
      <c r="ENI55" s="4"/>
      <c r="ENJ55" s="4"/>
      <c r="ENK55" s="4"/>
      <c r="ENL55" s="4"/>
      <c r="ENM55" s="4"/>
      <c r="ENN55" s="4"/>
      <c r="ENO55" s="4"/>
      <c r="ENP55" s="4"/>
      <c r="ENQ55" s="4"/>
      <c r="ENR55" s="4"/>
      <c r="ENS55" s="4"/>
      <c r="ENT55" s="4"/>
      <c r="ENU55" s="4"/>
      <c r="ENV55" s="4"/>
      <c r="ENW55" s="4"/>
      <c r="ENX55" s="4"/>
      <c r="ENY55" s="4"/>
      <c r="ENZ55" s="4"/>
      <c r="EOA55" s="4"/>
      <c r="EOB55" s="4"/>
      <c r="EOC55" s="4"/>
      <c r="EOD55" s="4"/>
      <c r="EOE55" s="4"/>
      <c r="EOF55" s="4"/>
      <c r="EOG55" s="4"/>
      <c r="EOH55" s="4"/>
      <c r="EOI55" s="4"/>
      <c r="EOJ55" s="4"/>
      <c r="EOK55" s="4"/>
      <c r="EOL55" s="4"/>
      <c r="EOM55" s="4"/>
      <c r="EON55" s="4"/>
      <c r="EOO55" s="4"/>
      <c r="EOP55" s="4"/>
      <c r="EOQ55" s="4"/>
      <c r="EOR55" s="4"/>
      <c r="EOS55" s="4"/>
      <c r="EOT55" s="4"/>
      <c r="EOU55" s="4"/>
      <c r="EOV55" s="4"/>
      <c r="EOW55" s="4"/>
      <c r="EOX55" s="4"/>
      <c r="EOY55" s="4"/>
      <c r="EOZ55" s="4"/>
      <c r="EPA55" s="4"/>
      <c r="EPB55" s="4"/>
      <c r="EPC55" s="4"/>
      <c r="EPD55" s="4"/>
      <c r="EPE55" s="4"/>
      <c r="EPF55" s="4"/>
      <c r="EPG55" s="4"/>
      <c r="EPH55" s="4"/>
      <c r="EPI55" s="4"/>
      <c r="EPJ55" s="4"/>
      <c r="EPK55" s="4"/>
      <c r="EPL55" s="4"/>
      <c r="EPM55" s="4"/>
      <c r="EPN55" s="4"/>
      <c r="EPO55" s="4"/>
      <c r="EPP55" s="4"/>
      <c r="EPQ55" s="4"/>
      <c r="EPR55" s="4"/>
      <c r="EPS55" s="4"/>
      <c r="EPT55" s="4"/>
      <c r="EPU55" s="4"/>
      <c r="EPV55" s="4"/>
      <c r="EPW55" s="4"/>
      <c r="EPX55" s="4"/>
      <c r="EPY55" s="4"/>
      <c r="EPZ55" s="4"/>
      <c r="EQA55" s="4"/>
      <c r="EQB55" s="4"/>
      <c r="EQC55" s="4"/>
      <c r="EQD55" s="4"/>
      <c r="EQE55" s="4"/>
      <c r="EQF55" s="4"/>
      <c r="EQG55" s="4"/>
      <c r="EQH55" s="4"/>
      <c r="EQI55" s="4"/>
      <c r="EQJ55" s="4"/>
      <c r="EQK55" s="4"/>
      <c r="EQL55" s="4"/>
      <c r="EQM55" s="4"/>
      <c r="EQN55" s="4"/>
      <c r="EQO55" s="4"/>
      <c r="EQP55" s="4"/>
      <c r="EQQ55" s="4"/>
      <c r="EQR55" s="4"/>
      <c r="EQS55" s="4"/>
      <c r="EQT55" s="4"/>
      <c r="EQU55" s="4"/>
      <c r="EQV55" s="4"/>
      <c r="EQW55" s="4"/>
      <c r="EQX55" s="4"/>
      <c r="EQY55" s="4"/>
      <c r="EQZ55" s="4"/>
      <c r="ERA55" s="4"/>
      <c r="ERB55" s="4"/>
      <c r="ERC55" s="4"/>
      <c r="ERD55" s="4"/>
      <c r="ERE55" s="4"/>
      <c r="ERF55" s="4"/>
      <c r="ERG55" s="4"/>
      <c r="ERH55" s="4"/>
      <c r="ERI55" s="4"/>
      <c r="ERJ55" s="4"/>
      <c r="ERK55" s="4"/>
      <c r="ERL55" s="4"/>
      <c r="ERM55" s="4"/>
      <c r="ERN55" s="4"/>
      <c r="ERO55" s="4"/>
      <c r="ERP55" s="4"/>
      <c r="ERQ55" s="4"/>
      <c r="ERR55" s="4"/>
      <c r="ERS55" s="4"/>
      <c r="ERT55" s="4"/>
      <c r="ERU55" s="4"/>
      <c r="ERV55" s="4"/>
      <c r="ERW55" s="4"/>
      <c r="ERX55" s="4"/>
      <c r="ERY55" s="4"/>
      <c r="ERZ55" s="4"/>
      <c r="ESA55" s="4"/>
      <c r="ESB55" s="4"/>
      <c r="ESC55" s="4"/>
      <c r="ESD55" s="4"/>
      <c r="ESE55" s="4"/>
      <c r="ESF55" s="4"/>
      <c r="ESG55" s="4"/>
      <c r="ESH55" s="4"/>
      <c r="ESI55" s="4"/>
      <c r="ESJ55" s="4"/>
      <c r="ESK55" s="4"/>
      <c r="ESL55" s="4"/>
      <c r="ESM55" s="4"/>
      <c r="ESN55" s="4"/>
      <c r="ESO55" s="4"/>
      <c r="ESP55" s="4"/>
      <c r="ESQ55" s="4"/>
      <c r="ESR55" s="4"/>
      <c r="ESS55" s="4"/>
      <c r="EST55" s="4"/>
      <c r="ESU55" s="4"/>
      <c r="ESV55" s="4"/>
      <c r="ESW55" s="4"/>
      <c r="ESX55" s="4"/>
      <c r="ESY55" s="4"/>
      <c r="ESZ55" s="4"/>
      <c r="ETA55" s="4"/>
      <c r="ETB55" s="4"/>
      <c r="ETC55" s="4"/>
      <c r="ETD55" s="4"/>
      <c r="ETE55" s="4"/>
      <c r="ETF55" s="4"/>
      <c r="ETG55" s="4"/>
      <c r="ETH55" s="4"/>
      <c r="ETI55" s="4"/>
      <c r="ETJ55" s="4"/>
      <c r="ETK55" s="4"/>
      <c r="ETL55" s="4"/>
      <c r="ETM55" s="4"/>
      <c r="ETN55" s="4"/>
      <c r="ETO55" s="4"/>
      <c r="ETP55" s="4"/>
      <c r="ETQ55" s="4"/>
      <c r="ETR55" s="4"/>
      <c r="ETS55" s="4"/>
      <c r="ETT55" s="4"/>
      <c r="ETU55" s="4"/>
      <c r="ETV55" s="4"/>
      <c r="ETW55" s="4"/>
      <c r="ETX55" s="4"/>
      <c r="ETY55" s="4"/>
      <c r="ETZ55" s="4"/>
      <c r="EUA55" s="4"/>
      <c r="EUB55" s="4"/>
      <c r="EUC55" s="4"/>
      <c r="EUD55" s="4"/>
      <c r="EUE55" s="4"/>
      <c r="EUF55" s="4"/>
      <c r="EUG55" s="4"/>
      <c r="EUH55" s="4"/>
      <c r="EUI55" s="4"/>
      <c r="EUJ55" s="4"/>
      <c r="EUK55" s="4"/>
      <c r="EUL55" s="4"/>
      <c r="EUM55" s="4"/>
      <c r="EUN55" s="4"/>
      <c r="EUO55" s="4"/>
      <c r="EUP55" s="4"/>
      <c r="EUQ55" s="4"/>
      <c r="EUR55" s="4"/>
      <c r="EUS55" s="4"/>
      <c r="EUT55" s="4"/>
      <c r="EUU55" s="4"/>
      <c r="EUV55" s="4"/>
      <c r="EUW55" s="4"/>
      <c r="EUX55" s="4"/>
      <c r="EUY55" s="4"/>
      <c r="EUZ55" s="4"/>
      <c r="EVA55" s="4"/>
      <c r="EVB55" s="4"/>
      <c r="EVC55" s="4"/>
      <c r="EVD55" s="4"/>
      <c r="EVE55" s="4"/>
      <c r="EVF55" s="4"/>
      <c r="EVG55" s="4"/>
      <c r="EVH55" s="4"/>
      <c r="EVI55" s="4"/>
      <c r="EVJ55" s="4"/>
      <c r="EVK55" s="4"/>
      <c r="EVL55" s="4"/>
      <c r="EVM55" s="4"/>
      <c r="EVN55" s="4"/>
      <c r="EVO55" s="4"/>
      <c r="EVP55" s="4"/>
      <c r="EVQ55" s="4"/>
      <c r="EVR55" s="4"/>
      <c r="EVS55" s="4"/>
      <c r="EVT55" s="4"/>
      <c r="EVU55" s="4"/>
      <c r="EVV55" s="4"/>
      <c r="EVW55" s="4"/>
      <c r="EVX55" s="4"/>
      <c r="EVY55" s="4"/>
      <c r="EVZ55" s="4"/>
      <c r="EWA55" s="4"/>
      <c r="EWB55" s="4"/>
      <c r="EWC55" s="4"/>
      <c r="EWD55" s="4"/>
      <c r="EWE55" s="4"/>
      <c r="EWF55" s="4"/>
      <c r="EWG55" s="4"/>
      <c r="EWH55" s="4"/>
      <c r="EWI55" s="4"/>
      <c r="EWJ55" s="4"/>
      <c r="EWK55" s="4"/>
      <c r="EWL55" s="4"/>
      <c r="EWM55" s="4"/>
      <c r="EWN55" s="4"/>
      <c r="EWO55" s="4"/>
      <c r="EWP55" s="4"/>
      <c r="EWQ55" s="4"/>
      <c r="EWR55" s="4"/>
      <c r="EWS55" s="4"/>
      <c r="EWT55" s="4"/>
      <c r="EWU55" s="4"/>
      <c r="EWV55" s="4"/>
      <c r="EWW55" s="4"/>
      <c r="EWX55" s="4"/>
      <c r="EWY55" s="4"/>
      <c r="EWZ55" s="4"/>
      <c r="EXA55" s="4"/>
      <c r="EXB55" s="4"/>
      <c r="EXC55" s="4"/>
      <c r="EXD55" s="4"/>
      <c r="EXE55" s="4"/>
      <c r="EXF55" s="4"/>
      <c r="EXG55" s="4"/>
      <c r="EXH55" s="4"/>
      <c r="EXI55" s="4"/>
      <c r="EXJ55" s="4"/>
      <c r="EXK55" s="4"/>
      <c r="EXL55" s="4"/>
      <c r="EXM55" s="4"/>
      <c r="EXN55" s="4"/>
      <c r="EXO55" s="4"/>
      <c r="EXP55" s="4"/>
      <c r="EXQ55" s="4"/>
      <c r="EXR55" s="4"/>
      <c r="EXS55" s="4"/>
      <c r="EXT55" s="4"/>
      <c r="EXU55" s="4"/>
      <c r="EXV55" s="4"/>
      <c r="EXW55" s="4"/>
      <c r="EXX55" s="4"/>
      <c r="EXY55" s="4"/>
      <c r="EXZ55" s="4"/>
      <c r="EYA55" s="4"/>
      <c r="EYB55" s="4"/>
      <c r="EYC55" s="4"/>
      <c r="EYD55" s="4"/>
      <c r="EYE55" s="4"/>
      <c r="EYF55" s="4"/>
      <c r="EYG55" s="4"/>
      <c r="EYH55" s="4"/>
      <c r="EYI55" s="4"/>
      <c r="EYJ55" s="4"/>
      <c r="EYK55" s="4"/>
      <c r="EYL55" s="4"/>
      <c r="EYM55" s="4"/>
      <c r="EYN55" s="4"/>
      <c r="EYO55" s="4"/>
      <c r="EYP55" s="4"/>
      <c r="EYQ55" s="4"/>
      <c r="EYR55" s="4"/>
      <c r="EYS55" s="4"/>
      <c r="EYT55" s="4"/>
      <c r="EYU55" s="4"/>
      <c r="EYV55" s="4"/>
      <c r="EYW55" s="4"/>
      <c r="EYX55" s="4"/>
      <c r="EYY55" s="4"/>
      <c r="EYZ55" s="4"/>
      <c r="EZA55" s="4"/>
      <c r="EZB55" s="4"/>
      <c r="EZC55" s="4"/>
      <c r="EZD55" s="4"/>
      <c r="EZE55" s="4"/>
      <c r="EZF55" s="4"/>
      <c r="EZG55" s="4"/>
      <c r="EZH55" s="4"/>
      <c r="EZI55" s="4"/>
      <c r="EZJ55" s="4"/>
      <c r="EZK55" s="4"/>
      <c r="EZL55" s="4"/>
      <c r="EZM55" s="4"/>
      <c r="EZN55" s="4"/>
      <c r="EZO55" s="4"/>
      <c r="EZP55" s="4"/>
      <c r="EZQ55" s="4"/>
      <c r="EZR55" s="4"/>
      <c r="EZS55" s="4"/>
      <c r="EZT55" s="4"/>
      <c r="EZU55" s="4"/>
      <c r="EZV55" s="4"/>
      <c r="EZW55" s="4"/>
      <c r="EZX55" s="4"/>
      <c r="EZY55" s="4"/>
      <c r="EZZ55" s="4"/>
      <c r="FAA55" s="4"/>
      <c r="FAB55" s="4"/>
      <c r="FAC55" s="4"/>
      <c r="FAD55" s="4"/>
      <c r="FAE55" s="4"/>
      <c r="FAF55" s="4"/>
      <c r="FAG55" s="4"/>
      <c r="FAH55" s="4"/>
      <c r="FAI55" s="4"/>
      <c r="FAJ55" s="4"/>
      <c r="FAK55" s="4"/>
      <c r="FAL55" s="4"/>
      <c r="FAM55" s="4"/>
      <c r="FAN55" s="4"/>
      <c r="FAO55" s="4"/>
      <c r="FAP55" s="4"/>
      <c r="FAQ55" s="4"/>
      <c r="FAR55" s="4"/>
      <c r="FAS55" s="4"/>
      <c r="FAT55" s="4"/>
      <c r="FAU55" s="4"/>
      <c r="FAV55" s="4"/>
      <c r="FAW55" s="4"/>
      <c r="FAX55" s="4"/>
      <c r="FAY55" s="4"/>
      <c r="FAZ55" s="4"/>
      <c r="FBA55" s="4"/>
      <c r="FBB55" s="4"/>
      <c r="FBC55" s="4"/>
      <c r="FBD55" s="4"/>
      <c r="FBE55" s="4"/>
      <c r="FBF55" s="4"/>
      <c r="FBG55" s="4"/>
      <c r="FBH55" s="4"/>
      <c r="FBI55" s="4"/>
      <c r="FBJ55" s="4"/>
      <c r="FBK55" s="4"/>
      <c r="FBL55" s="4"/>
      <c r="FBM55" s="4"/>
      <c r="FBN55" s="4"/>
      <c r="FBO55" s="4"/>
      <c r="FBP55" s="4"/>
      <c r="FBQ55" s="4"/>
      <c r="FBR55" s="4"/>
      <c r="FBS55" s="4"/>
      <c r="FBT55" s="4"/>
      <c r="FBU55" s="4"/>
      <c r="FBV55" s="4"/>
      <c r="FBW55" s="4"/>
      <c r="FBX55" s="4"/>
      <c r="FBY55" s="4"/>
      <c r="FBZ55" s="4"/>
      <c r="FCA55" s="4"/>
      <c r="FCB55" s="4"/>
      <c r="FCC55" s="4"/>
      <c r="FCD55" s="4"/>
      <c r="FCE55" s="4"/>
      <c r="FCF55" s="4"/>
      <c r="FCG55" s="4"/>
      <c r="FCH55" s="4"/>
      <c r="FCI55" s="4"/>
      <c r="FCJ55" s="4"/>
      <c r="FCK55" s="4"/>
      <c r="FCL55" s="4"/>
      <c r="FCM55" s="4"/>
      <c r="FCN55" s="4"/>
      <c r="FCO55" s="4"/>
      <c r="FCP55" s="4"/>
      <c r="FCQ55" s="4"/>
      <c r="FCR55" s="4"/>
      <c r="FCS55" s="4"/>
      <c r="FCT55" s="4"/>
      <c r="FCU55" s="4"/>
      <c r="FCV55" s="4"/>
      <c r="FCW55" s="4"/>
      <c r="FCX55" s="4"/>
      <c r="FCY55" s="4"/>
      <c r="FCZ55" s="4"/>
      <c r="FDA55" s="4"/>
      <c r="FDB55" s="4"/>
      <c r="FDC55" s="4"/>
      <c r="FDD55" s="4"/>
      <c r="FDE55" s="4"/>
      <c r="FDF55" s="4"/>
      <c r="FDG55" s="4"/>
      <c r="FDH55" s="4"/>
      <c r="FDI55" s="4"/>
      <c r="FDJ55" s="4"/>
      <c r="FDK55" s="4"/>
      <c r="FDL55" s="4"/>
      <c r="FDM55" s="4"/>
      <c r="FDN55" s="4"/>
      <c r="FDO55" s="4"/>
      <c r="FDP55" s="4"/>
      <c r="FDQ55" s="4"/>
      <c r="FDR55" s="4"/>
      <c r="FDS55" s="4"/>
      <c r="FDT55" s="4"/>
      <c r="FDU55" s="4"/>
      <c r="FDV55" s="4"/>
      <c r="FDW55" s="4"/>
      <c r="FDX55" s="4"/>
      <c r="FDY55" s="4"/>
      <c r="FDZ55" s="4"/>
      <c r="FEA55" s="4"/>
      <c r="FEB55" s="4"/>
      <c r="FEC55" s="4"/>
      <c r="FED55" s="4"/>
      <c r="FEE55" s="4"/>
      <c r="FEF55" s="4"/>
      <c r="FEG55" s="4"/>
      <c r="FEH55" s="4"/>
      <c r="FEI55" s="4"/>
      <c r="FEJ55" s="4"/>
      <c r="FEK55" s="4"/>
      <c r="FEL55" s="4"/>
      <c r="FEM55" s="4"/>
      <c r="FEN55" s="4"/>
      <c r="FEO55" s="4"/>
      <c r="FEP55" s="4"/>
      <c r="FEQ55" s="4"/>
      <c r="FER55" s="4"/>
      <c r="FES55" s="4"/>
      <c r="FET55" s="4"/>
      <c r="FEU55" s="4"/>
      <c r="FEV55" s="4"/>
      <c r="FEW55" s="4"/>
      <c r="FEX55" s="4"/>
      <c r="FEY55" s="4"/>
      <c r="FEZ55" s="4"/>
      <c r="FFA55" s="4"/>
      <c r="FFB55" s="4"/>
      <c r="FFC55" s="4"/>
      <c r="FFD55" s="4"/>
      <c r="FFE55" s="4"/>
      <c r="FFF55" s="4"/>
      <c r="FFG55" s="4"/>
      <c r="FFH55" s="4"/>
      <c r="FFI55" s="4"/>
      <c r="FFJ55" s="4"/>
      <c r="FFK55" s="4"/>
      <c r="FFL55" s="4"/>
      <c r="FFM55" s="4"/>
      <c r="FFN55" s="4"/>
      <c r="FFO55" s="4"/>
      <c r="FFP55" s="4"/>
      <c r="FFQ55" s="4"/>
      <c r="FFR55" s="4"/>
      <c r="FFS55" s="4"/>
      <c r="FFT55" s="4"/>
      <c r="FFU55" s="4"/>
      <c r="FFV55" s="4"/>
      <c r="FFW55" s="4"/>
      <c r="FFX55" s="4"/>
      <c r="FFY55" s="4"/>
      <c r="FFZ55" s="4"/>
      <c r="FGA55" s="4"/>
      <c r="FGB55" s="4"/>
      <c r="FGC55" s="4"/>
      <c r="FGD55" s="4"/>
      <c r="FGE55" s="4"/>
      <c r="FGF55" s="4"/>
      <c r="FGG55" s="4"/>
      <c r="FGH55" s="4"/>
      <c r="FGI55" s="4"/>
      <c r="FGJ55" s="4"/>
      <c r="FGK55" s="4"/>
      <c r="FGL55" s="4"/>
      <c r="FGM55" s="4"/>
      <c r="FGN55" s="4"/>
      <c r="FGO55" s="4"/>
      <c r="FGP55" s="4"/>
      <c r="FGQ55" s="4"/>
      <c r="FGR55" s="4"/>
      <c r="FGS55" s="4"/>
      <c r="FGT55" s="4"/>
      <c r="FGU55" s="4"/>
      <c r="FGV55" s="4"/>
      <c r="FGW55" s="4"/>
      <c r="FGX55" s="4"/>
      <c r="FGY55" s="4"/>
      <c r="FGZ55" s="4"/>
      <c r="FHA55" s="4"/>
      <c r="FHB55" s="4"/>
      <c r="FHC55" s="4"/>
      <c r="FHD55" s="4"/>
      <c r="FHE55" s="4"/>
      <c r="FHF55" s="4"/>
      <c r="FHG55" s="4"/>
      <c r="FHH55" s="4"/>
      <c r="FHI55" s="4"/>
      <c r="FHJ55" s="4"/>
      <c r="FHK55" s="4"/>
      <c r="FHL55" s="4"/>
      <c r="FHM55" s="4"/>
      <c r="FHN55" s="4"/>
      <c r="FHO55" s="4"/>
      <c r="FHP55" s="4"/>
      <c r="FHQ55" s="4"/>
      <c r="FHR55" s="4"/>
      <c r="FHS55" s="4"/>
      <c r="FHT55" s="4"/>
      <c r="FHU55" s="4"/>
      <c r="FHV55" s="4"/>
      <c r="FHW55" s="4"/>
      <c r="FHX55" s="4"/>
      <c r="FHY55" s="4"/>
      <c r="FHZ55" s="4"/>
      <c r="FIA55" s="4"/>
      <c r="FIB55" s="4"/>
      <c r="FIC55" s="4"/>
      <c r="FID55" s="4"/>
      <c r="FIE55" s="4"/>
      <c r="FIF55" s="4"/>
      <c r="FIG55" s="4"/>
      <c r="FIH55" s="4"/>
      <c r="FII55" s="4"/>
      <c r="FIJ55" s="4"/>
      <c r="FIK55" s="4"/>
      <c r="FIL55" s="4"/>
      <c r="FIM55" s="4"/>
      <c r="FIN55" s="4"/>
      <c r="FIO55" s="4"/>
      <c r="FIP55" s="4"/>
      <c r="FIQ55" s="4"/>
      <c r="FIR55" s="4"/>
      <c r="FIS55" s="4"/>
      <c r="FIT55" s="4"/>
      <c r="FIU55" s="4"/>
      <c r="FIV55" s="4"/>
      <c r="FIW55" s="4"/>
      <c r="FIX55" s="4"/>
      <c r="FIY55" s="4"/>
      <c r="FIZ55" s="4"/>
      <c r="FJA55" s="4"/>
      <c r="FJB55" s="4"/>
      <c r="FJC55" s="4"/>
      <c r="FJD55" s="4"/>
      <c r="FJE55" s="4"/>
      <c r="FJF55" s="4"/>
      <c r="FJG55" s="4"/>
      <c r="FJH55" s="4"/>
      <c r="FJI55" s="4"/>
      <c r="FJJ55" s="4"/>
      <c r="FJK55" s="4"/>
      <c r="FJL55" s="4"/>
      <c r="FJM55" s="4"/>
      <c r="FJN55" s="4"/>
      <c r="FJO55" s="4"/>
      <c r="FJP55" s="4"/>
      <c r="FJQ55" s="4"/>
      <c r="FJR55" s="4"/>
      <c r="FJS55" s="4"/>
      <c r="FJT55" s="4"/>
      <c r="FJU55" s="4"/>
      <c r="FJV55" s="4"/>
      <c r="FJW55" s="4"/>
      <c r="FJX55" s="4"/>
      <c r="FJY55" s="4"/>
      <c r="FJZ55" s="4"/>
      <c r="FKA55" s="4"/>
      <c r="FKB55" s="4"/>
      <c r="FKC55" s="4"/>
      <c r="FKD55" s="4"/>
      <c r="FKE55" s="4"/>
      <c r="FKF55" s="4"/>
      <c r="FKG55" s="4"/>
      <c r="FKH55" s="4"/>
      <c r="FKI55" s="4"/>
      <c r="FKJ55" s="4"/>
      <c r="FKK55" s="4"/>
      <c r="FKL55" s="4"/>
      <c r="FKM55" s="4"/>
      <c r="FKN55" s="4"/>
      <c r="FKO55" s="4"/>
      <c r="FKP55" s="4"/>
      <c r="FKQ55" s="4"/>
      <c r="FKR55" s="4"/>
      <c r="FKS55" s="4"/>
      <c r="FKT55" s="4"/>
      <c r="FKU55" s="4"/>
      <c r="FKV55" s="4"/>
      <c r="FKW55" s="4"/>
      <c r="FKX55" s="4"/>
      <c r="FKY55" s="4"/>
      <c r="FKZ55" s="4"/>
      <c r="FLA55" s="4"/>
      <c r="FLB55" s="4"/>
      <c r="FLC55" s="4"/>
      <c r="FLD55" s="4"/>
      <c r="FLE55" s="4"/>
      <c r="FLF55" s="4"/>
      <c r="FLG55" s="4"/>
      <c r="FLH55" s="4"/>
      <c r="FLI55" s="4"/>
      <c r="FLJ55" s="4"/>
      <c r="FLK55" s="4"/>
      <c r="FLL55" s="4"/>
      <c r="FLM55" s="4"/>
      <c r="FLN55" s="4"/>
      <c r="FLO55" s="4"/>
      <c r="FLP55" s="4"/>
      <c r="FLQ55" s="4"/>
      <c r="FLR55" s="4"/>
      <c r="FLS55" s="4"/>
      <c r="FLT55" s="4"/>
      <c r="FLU55" s="4"/>
      <c r="FLV55" s="4"/>
      <c r="FLW55" s="4"/>
      <c r="FLX55" s="4"/>
      <c r="FLY55" s="4"/>
      <c r="FLZ55" s="4"/>
      <c r="FMA55" s="4"/>
      <c r="FMB55" s="4"/>
      <c r="FMC55" s="4"/>
      <c r="FMD55" s="4"/>
      <c r="FME55" s="4"/>
      <c r="FMF55" s="4"/>
      <c r="FMG55" s="4"/>
      <c r="FMH55" s="4"/>
      <c r="FMI55" s="4"/>
      <c r="FMJ55" s="4"/>
      <c r="FMK55" s="4"/>
      <c r="FML55" s="4"/>
      <c r="FMM55" s="4"/>
      <c r="FMN55" s="4"/>
      <c r="FMO55" s="4"/>
      <c r="FMP55" s="4"/>
      <c r="FMQ55" s="4"/>
      <c r="FMR55" s="4"/>
      <c r="FMS55" s="4"/>
      <c r="FMT55" s="4"/>
      <c r="FMU55" s="4"/>
      <c r="FMV55" s="4"/>
      <c r="FMW55" s="4"/>
      <c r="FMX55" s="4"/>
      <c r="FMY55" s="4"/>
      <c r="FMZ55" s="4"/>
      <c r="FNA55" s="4"/>
      <c r="FNB55" s="4"/>
      <c r="FNC55" s="4"/>
      <c r="FND55" s="4"/>
      <c r="FNE55" s="4"/>
      <c r="FNF55" s="4"/>
      <c r="FNG55" s="4"/>
      <c r="FNH55" s="4"/>
      <c r="FNI55" s="4"/>
      <c r="FNJ55" s="4"/>
      <c r="FNK55" s="4"/>
      <c r="FNL55" s="4"/>
      <c r="FNM55" s="4"/>
      <c r="FNN55" s="4"/>
      <c r="FNO55" s="4"/>
      <c r="FNP55" s="4"/>
      <c r="FNQ55" s="4"/>
      <c r="FNR55" s="4"/>
      <c r="FNS55" s="4"/>
      <c r="FNT55" s="4"/>
      <c r="FNU55" s="4"/>
      <c r="FNV55" s="4"/>
      <c r="FNW55" s="4"/>
      <c r="FNX55" s="4"/>
      <c r="FNY55" s="4"/>
      <c r="FNZ55" s="4"/>
      <c r="FOA55" s="4"/>
      <c r="FOB55" s="4"/>
      <c r="FOC55" s="4"/>
      <c r="FOD55" s="4"/>
      <c r="FOE55" s="4"/>
      <c r="FOF55" s="4"/>
      <c r="FOG55" s="4"/>
      <c r="FOH55" s="4"/>
      <c r="FOI55" s="4"/>
      <c r="FOJ55" s="4"/>
      <c r="FOK55" s="4"/>
      <c r="FOL55" s="4"/>
      <c r="FOM55" s="4"/>
      <c r="FON55" s="4"/>
      <c r="FOO55" s="4"/>
      <c r="FOP55" s="4"/>
      <c r="FOQ55" s="4"/>
      <c r="FOR55" s="4"/>
      <c r="FOS55" s="4"/>
      <c r="FOT55" s="4"/>
      <c r="FOU55" s="4"/>
      <c r="FOV55" s="4"/>
      <c r="FOW55" s="4"/>
      <c r="FOX55" s="4"/>
      <c r="FOY55" s="4"/>
      <c r="FOZ55" s="4"/>
      <c r="FPA55" s="4"/>
      <c r="FPB55" s="4"/>
      <c r="FPC55" s="4"/>
      <c r="FPD55" s="4"/>
      <c r="FPE55" s="4"/>
      <c r="FPF55" s="4"/>
      <c r="FPG55" s="4"/>
      <c r="FPH55" s="4"/>
      <c r="FPI55" s="4"/>
      <c r="FPJ55" s="4"/>
      <c r="FPK55" s="4"/>
      <c r="FPL55" s="4"/>
      <c r="FPM55" s="4"/>
      <c r="FPN55" s="4"/>
      <c r="FPO55" s="4"/>
      <c r="FPP55" s="4"/>
      <c r="FPQ55" s="4"/>
      <c r="FPR55" s="4"/>
      <c r="FPS55" s="4"/>
      <c r="FPT55" s="4"/>
      <c r="FPU55" s="4"/>
      <c r="FPV55" s="4"/>
      <c r="FPW55" s="4"/>
      <c r="FPX55" s="4"/>
      <c r="FPY55" s="4"/>
      <c r="FPZ55" s="4"/>
      <c r="FQA55" s="4"/>
      <c r="FQB55" s="4"/>
      <c r="FQC55" s="4"/>
      <c r="FQD55" s="4"/>
      <c r="FQE55" s="4"/>
      <c r="FQF55" s="4"/>
      <c r="FQG55" s="4"/>
      <c r="FQH55" s="4"/>
      <c r="FQI55" s="4"/>
      <c r="FQJ55" s="4"/>
      <c r="FQK55" s="4"/>
      <c r="FQL55" s="4"/>
      <c r="FQM55" s="4"/>
      <c r="FQN55" s="4"/>
      <c r="FQO55" s="4"/>
      <c r="FQP55" s="4"/>
      <c r="FQQ55" s="4"/>
      <c r="FQR55" s="4"/>
      <c r="FQS55" s="4"/>
      <c r="FQT55" s="4"/>
      <c r="FQU55" s="4"/>
      <c r="FQV55" s="4"/>
      <c r="FQW55" s="4"/>
      <c r="FQX55" s="4"/>
      <c r="FQY55" s="4"/>
      <c r="FQZ55" s="4"/>
      <c r="FRA55" s="4"/>
      <c r="FRB55" s="4"/>
      <c r="FRC55" s="4"/>
      <c r="FRD55" s="4"/>
      <c r="FRE55" s="4"/>
      <c r="FRF55" s="4"/>
      <c r="FRG55" s="4"/>
      <c r="FRH55" s="4"/>
      <c r="FRI55" s="4"/>
      <c r="FRJ55" s="4"/>
      <c r="FRK55" s="4"/>
      <c r="FRL55" s="4"/>
      <c r="FRM55" s="4"/>
      <c r="FRN55" s="4"/>
      <c r="FRO55" s="4"/>
      <c r="FRP55" s="4"/>
      <c r="FRQ55" s="4"/>
      <c r="FRR55" s="4"/>
      <c r="FRS55" s="4"/>
      <c r="FRT55" s="4"/>
      <c r="FRU55" s="4"/>
      <c r="FRV55" s="4"/>
      <c r="FRW55" s="4"/>
      <c r="FRX55" s="4"/>
      <c r="FRY55" s="4"/>
      <c r="FRZ55" s="4"/>
      <c r="FSA55" s="4"/>
      <c r="FSB55" s="4"/>
      <c r="FSC55" s="4"/>
      <c r="FSD55" s="4"/>
      <c r="FSE55" s="4"/>
      <c r="FSF55" s="4"/>
      <c r="FSG55" s="4"/>
      <c r="FSH55" s="4"/>
      <c r="FSI55" s="4"/>
      <c r="FSJ55" s="4"/>
      <c r="FSK55" s="4"/>
      <c r="FSL55" s="4"/>
      <c r="FSM55" s="4"/>
      <c r="FSN55" s="4"/>
      <c r="FSO55" s="4"/>
      <c r="FSP55" s="4"/>
      <c r="FSQ55" s="4"/>
      <c r="FSR55" s="4"/>
      <c r="FSS55" s="4"/>
      <c r="FST55" s="4"/>
      <c r="FSU55" s="4"/>
      <c r="FSV55" s="4"/>
      <c r="FSW55" s="4"/>
      <c r="FSX55" s="4"/>
      <c r="FSY55" s="4"/>
      <c r="FSZ55" s="4"/>
      <c r="FTA55" s="4"/>
      <c r="FTB55" s="4"/>
      <c r="FTC55" s="4"/>
      <c r="FTD55" s="4"/>
      <c r="FTE55" s="4"/>
      <c r="FTF55" s="4"/>
      <c r="FTG55" s="4"/>
      <c r="FTH55" s="4"/>
      <c r="FTI55" s="4"/>
      <c r="FTJ55" s="4"/>
      <c r="FTK55" s="4"/>
      <c r="FTL55" s="4"/>
      <c r="FTM55" s="4"/>
      <c r="FTN55" s="4"/>
      <c r="FTO55" s="4"/>
      <c r="FTP55" s="4"/>
      <c r="FTQ55" s="4"/>
      <c r="FTR55" s="4"/>
      <c r="FTS55" s="4"/>
      <c r="FTT55" s="4"/>
      <c r="FTU55" s="4"/>
      <c r="FTV55" s="4"/>
      <c r="FTW55" s="4"/>
      <c r="FTX55" s="4"/>
      <c r="FTY55" s="4"/>
      <c r="FTZ55" s="4"/>
      <c r="FUA55" s="4"/>
      <c r="FUB55" s="4"/>
      <c r="FUC55" s="4"/>
      <c r="FUD55" s="4"/>
      <c r="FUE55" s="4"/>
      <c r="FUF55" s="4"/>
      <c r="FUG55" s="4"/>
      <c r="FUH55" s="4"/>
      <c r="FUI55" s="4"/>
      <c r="FUJ55" s="4"/>
      <c r="FUK55" s="4"/>
      <c r="FUL55" s="4"/>
      <c r="FUM55" s="4"/>
      <c r="FUN55" s="4"/>
      <c r="FUO55" s="4"/>
      <c r="FUP55" s="4"/>
      <c r="FUQ55" s="4"/>
      <c r="FUR55" s="4"/>
      <c r="FUS55" s="4"/>
      <c r="FUT55" s="4"/>
      <c r="FUU55" s="4"/>
      <c r="FUV55" s="4"/>
      <c r="FUW55" s="4"/>
      <c r="FUX55" s="4"/>
      <c r="FUY55" s="4"/>
      <c r="FUZ55" s="4"/>
      <c r="FVA55" s="4"/>
      <c r="FVB55" s="4"/>
      <c r="FVC55" s="4"/>
      <c r="FVD55" s="4"/>
      <c r="FVE55" s="4"/>
      <c r="FVF55" s="4"/>
      <c r="FVG55" s="4"/>
      <c r="FVH55" s="4"/>
      <c r="FVI55" s="4"/>
      <c r="FVJ55" s="4"/>
      <c r="FVK55" s="4"/>
      <c r="FVL55" s="4"/>
      <c r="FVM55" s="4"/>
      <c r="FVN55" s="4"/>
      <c r="FVO55" s="4"/>
      <c r="FVP55" s="4"/>
      <c r="FVQ55" s="4"/>
      <c r="FVR55" s="4"/>
      <c r="FVS55" s="4"/>
      <c r="FVT55" s="4"/>
      <c r="FVU55" s="4"/>
      <c r="FVV55" s="4"/>
      <c r="FVW55" s="4"/>
      <c r="FVX55" s="4"/>
      <c r="FVY55" s="4"/>
      <c r="FVZ55" s="4"/>
      <c r="FWA55" s="4"/>
      <c r="FWB55" s="4"/>
      <c r="FWC55" s="4"/>
      <c r="FWD55" s="4"/>
      <c r="FWE55" s="4"/>
      <c r="FWF55" s="4"/>
      <c r="FWG55" s="4"/>
      <c r="FWH55" s="4"/>
      <c r="FWI55" s="4"/>
      <c r="FWJ55" s="4"/>
      <c r="FWK55" s="4"/>
      <c r="FWL55" s="4"/>
      <c r="FWM55" s="4"/>
      <c r="FWN55" s="4"/>
      <c r="FWO55" s="4"/>
      <c r="FWP55" s="4"/>
      <c r="FWQ55" s="4"/>
      <c r="FWR55" s="4"/>
      <c r="FWS55" s="4"/>
      <c r="FWT55" s="4"/>
      <c r="FWU55" s="4"/>
      <c r="FWV55" s="4"/>
      <c r="FWW55" s="4"/>
      <c r="FWX55" s="4"/>
      <c r="FWY55" s="4"/>
      <c r="FWZ55" s="4"/>
      <c r="FXA55" s="4"/>
      <c r="FXB55" s="4"/>
      <c r="FXC55" s="4"/>
      <c r="FXD55" s="4"/>
      <c r="FXE55" s="4"/>
      <c r="FXF55" s="4"/>
      <c r="FXG55" s="4"/>
      <c r="FXH55" s="4"/>
      <c r="FXI55" s="4"/>
      <c r="FXJ55" s="4"/>
      <c r="FXK55" s="4"/>
      <c r="FXL55" s="4"/>
      <c r="FXM55" s="4"/>
      <c r="FXN55" s="4"/>
      <c r="FXO55" s="4"/>
      <c r="FXP55" s="4"/>
      <c r="FXQ55" s="4"/>
      <c r="FXR55" s="4"/>
      <c r="FXS55" s="4"/>
      <c r="FXT55" s="4"/>
      <c r="FXU55" s="4"/>
      <c r="FXV55" s="4"/>
      <c r="FXW55" s="4"/>
      <c r="FXX55" s="4"/>
      <c r="FXY55" s="4"/>
      <c r="FXZ55" s="4"/>
      <c r="FYA55" s="4"/>
      <c r="FYB55" s="4"/>
      <c r="FYC55" s="4"/>
      <c r="FYD55" s="4"/>
      <c r="FYE55" s="4"/>
      <c r="FYF55" s="4"/>
      <c r="FYG55" s="4"/>
      <c r="FYH55" s="4"/>
      <c r="FYI55" s="4"/>
      <c r="FYJ55" s="4"/>
      <c r="FYK55" s="4"/>
      <c r="FYL55" s="4"/>
      <c r="FYM55" s="4"/>
      <c r="FYN55" s="4"/>
      <c r="FYO55" s="4"/>
      <c r="FYP55" s="4"/>
      <c r="FYQ55" s="4"/>
      <c r="FYR55" s="4"/>
      <c r="FYS55" s="4"/>
      <c r="FYT55" s="4"/>
      <c r="FYU55" s="4"/>
      <c r="FYV55" s="4"/>
      <c r="FYW55" s="4"/>
      <c r="FYX55" s="4"/>
      <c r="FYY55" s="4"/>
      <c r="FYZ55" s="4"/>
      <c r="FZA55" s="4"/>
      <c r="FZB55" s="4"/>
      <c r="FZC55" s="4"/>
      <c r="FZD55" s="4"/>
      <c r="FZE55" s="4"/>
      <c r="FZF55" s="4"/>
      <c r="FZG55" s="4"/>
      <c r="FZH55" s="4"/>
      <c r="FZI55" s="4"/>
      <c r="FZJ55" s="4"/>
      <c r="FZK55" s="4"/>
      <c r="FZL55" s="4"/>
      <c r="FZM55" s="4"/>
      <c r="FZN55" s="4"/>
      <c r="FZO55" s="4"/>
      <c r="FZP55" s="4"/>
      <c r="FZQ55" s="4"/>
      <c r="FZR55" s="4"/>
      <c r="FZS55" s="4"/>
      <c r="FZT55" s="4"/>
      <c r="FZU55" s="4"/>
      <c r="FZV55" s="4"/>
      <c r="FZW55" s="4"/>
      <c r="FZX55" s="4"/>
      <c r="FZY55" s="4"/>
      <c r="FZZ55" s="4"/>
      <c r="GAA55" s="4"/>
      <c r="GAB55" s="4"/>
      <c r="GAC55" s="4"/>
      <c r="GAD55" s="4"/>
      <c r="GAE55" s="4"/>
      <c r="GAF55" s="4"/>
      <c r="GAG55" s="4"/>
      <c r="GAH55" s="4"/>
      <c r="GAI55" s="4"/>
      <c r="GAJ55" s="4"/>
      <c r="GAK55" s="4"/>
      <c r="GAL55" s="4"/>
      <c r="GAM55" s="4"/>
      <c r="GAN55" s="4"/>
      <c r="GAO55" s="4"/>
      <c r="GAP55" s="4"/>
      <c r="GAQ55" s="4"/>
      <c r="GAR55" s="4"/>
      <c r="GAS55" s="4"/>
      <c r="GAT55" s="4"/>
      <c r="GAU55" s="4"/>
      <c r="GAV55" s="4"/>
      <c r="GAW55" s="4"/>
      <c r="GAX55" s="4"/>
      <c r="GAY55" s="4"/>
      <c r="GAZ55" s="4"/>
      <c r="GBA55" s="4"/>
      <c r="GBB55" s="4"/>
      <c r="GBC55" s="4"/>
      <c r="GBD55" s="4"/>
      <c r="GBE55" s="4"/>
      <c r="GBF55" s="4"/>
      <c r="GBG55" s="4"/>
      <c r="GBH55" s="4"/>
      <c r="GBI55" s="4"/>
      <c r="GBJ55" s="4"/>
      <c r="GBK55" s="4"/>
      <c r="GBL55" s="4"/>
      <c r="GBM55" s="4"/>
      <c r="GBN55" s="4"/>
      <c r="GBO55" s="4"/>
      <c r="GBP55" s="4"/>
      <c r="GBQ55" s="4"/>
      <c r="GBR55" s="4"/>
      <c r="GBS55" s="4"/>
      <c r="GBT55" s="4"/>
      <c r="GBU55" s="4"/>
      <c r="GBV55" s="4"/>
      <c r="GBW55" s="4"/>
      <c r="GBX55" s="4"/>
      <c r="GBY55" s="4"/>
      <c r="GBZ55" s="4"/>
      <c r="GCA55" s="4"/>
      <c r="GCB55" s="4"/>
      <c r="GCC55" s="4"/>
      <c r="GCD55" s="4"/>
      <c r="GCE55" s="4"/>
      <c r="GCF55" s="4"/>
      <c r="GCG55" s="4"/>
      <c r="GCH55" s="4"/>
      <c r="GCI55" s="4"/>
      <c r="GCJ55" s="4"/>
      <c r="GCK55" s="4"/>
      <c r="GCL55" s="4"/>
      <c r="GCM55" s="4"/>
      <c r="GCN55" s="4"/>
      <c r="GCO55" s="4"/>
      <c r="GCP55" s="4"/>
      <c r="GCQ55" s="4"/>
      <c r="GCR55" s="4"/>
      <c r="GCS55" s="4"/>
      <c r="GCT55" s="4"/>
      <c r="GCU55" s="4"/>
      <c r="GCV55" s="4"/>
      <c r="GCW55" s="4"/>
      <c r="GCX55" s="4"/>
      <c r="GCY55" s="4"/>
      <c r="GCZ55" s="4"/>
      <c r="GDA55" s="4"/>
      <c r="GDB55" s="4"/>
      <c r="GDC55" s="4"/>
      <c r="GDD55" s="4"/>
      <c r="GDE55" s="4"/>
      <c r="GDF55" s="4"/>
      <c r="GDG55" s="4"/>
      <c r="GDH55" s="4"/>
      <c r="GDI55" s="4"/>
      <c r="GDJ55" s="4"/>
      <c r="GDK55" s="4"/>
      <c r="GDL55" s="4"/>
      <c r="GDM55" s="4"/>
      <c r="GDN55" s="4"/>
      <c r="GDO55" s="4"/>
      <c r="GDP55" s="4"/>
      <c r="GDQ55" s="4"/>
      <c r="GDR55" s="4"/>
      <c r="GDS55" s="4"/>
      <c r="GDT55" s="4"/>
      <c r="GDU55" s="4"/>
      <c r="GDV55" s="4"/>
      <c r="GDW55" s="4"/>
      <c r="GDX55" s="4"/>
      <c r="GDY55" s="4"/>
      <c r="GDZ55" s="4"/>
      <c r="GEA55" s="4"/>
      <c r="GEB55" s="4"/>
      <c r="GEC55" s="4"/>
      <c r="GED55" s="4"/>
      <c r="GEE55" s="4"/>
      <c r="GEF55" s="4"/>
      <c r="GEG55" s="4"/>
      <c r="GEH55" s="4"/>
      <c r="GEI55" s="4"/>
      <c r="GEJ55" s="4"/>
      <c r="GEK55" s="4"/>
      <c r="GEL55" s="4"/>
      <c r="GEM55" s="4"/>
      <c r="GEN55" s="4"/>
      <c r="GEO55" s="4"/>
      <c r="GEP55" s="4"/>
      <c r="GEQ55" s="4"/>
      <c r="GER55" s="4"/>
      <c r="GES55" s="4"/>
      <c r="GET55" s="4"/>
      <c r="GEU55" s="4"/>
      <c r="GEV55" s="4"/>
      <c r="GEW55" s="4"/>
      <c r="GEX55" s="4"/>
      <c r="GEY55" s="4"/>
      <c r="GEZ55" s="4"/>
      <c r="GFA55" s="4"/>
      <c r="GFB55" s="4"/>
      <c r="GFC55" s="4"/>
      <c r="GFD55" s="4"/>
      <c r="GFE55" s="4"/>
      <c r="GFF55" s="4"/>
      <c r="GFG55" s="4"/>
      <c r="GFH55" s="4"/>
      <c r="GFI55" s="4"/>
      <c r="GFJ55" s="4"/>
      <c r="GFK55" s="4"/>
      <c r="GFL55" s="4"/>
      <c r="GFM55" s="4"/>
      <c r="GFN55" s="4"/>
      <c r="GFO55" s="4"/>
      <c r="GFP55" s="4"/>
      <c r="GFQ55" s="4"/>
      <c r="GFR55" s="4"/>
      <c r="GFS55" s="4"/>
      <c r="GFT55" s="4"/>
      <c r="GFU55" s="4"/>
      <c r="GFV55" s="4"/>
      <c r="GFW55" s="4"/>
      <c r="GFX55" s="4"/>
      <c r="GFY55" s="4"/>
      <c r="GFZ55" s="4"/>
      <c r="GGA55" s="4"/>
      <c r="GGB55" s="4"/>
      <c r="GGC55" s="4"/>
      <c r="GGD55" s="4"/>
      <c r="GGE55" s="4"/>
      <c r="GGF55" s="4"/>
      <c r="GGG55" s="4"/>
      <c r="GGH55" s="4"/>
      <c r="GGI55" s="4"/>
      <c r="GGJ55" s="4"/>
      <c r="GGK55" s="4"/>
      <c r="GGL55" s="4"/>
      <c r="GGM55" s="4"/>
      <c r="GGN55" s="4"/>
      <c r="GGO55" s="4"/>
      <c r="GGP55" s="4"/>
      <c r="GGQ55" s="4"/>
      <c r="GGR55" s="4"/>
      <c r="GGS55" s="4"/>
      <c r="GGT55" s="4"/>
      <c r="GGU55" s="4"/>
      <c r="GGV55" s="4"/>
      <c r="GGW55" s="4"/>
      <c r="GGX55" s="4"/>
      <c r="GGY55" s="4"/>
      <c r="GGZ55" s="4"/>
      <c r="GHA55" s="4"/>
      <c r="GHB55" s="4"/>
      <c r="GHC55" s="4"/>
      <c r="GHD55" s="4"/>
      <c r="GHE55" s="4"/>
      <c r="GHF55" s="4"/>
      <c r="GHG55" s="4"/>
      <c r="GHH55" s="4"/>
      <c r="GHI55" s="4"/>
      <c r="GHJ55" s="4"/>
      <c r="GHK55" s="4"/>
      <c r="GHL55" s="4"/>
      <c r="GHM55" s="4"/>
      <c r="GHN55" s="4"/>
      <c r="GHO55" s="4"/>
      <c r="GHP55" s="4"/>
      <c r="GHQ55" s="4"/>
      <c r="GHR55" s="4"/>
      <c r="GHS55" s="4"/>
      <c r="GHT55" s="4"/>
      <c r="GHU55" s="4"/>
      <c r="GHV55" s="4"/>
      <c r="GHW55" s="4"/>
      <c r="GHX55" s="4"/>
      <c r="GHY55" s="4"/>
      <c r="GHZ55" s="4"/>
      <c r="GIA55" s="4"/>
      <c r="GIB55" s="4"/>
      <c r="GIC55" s="4"/>
      <c r="GID55" s="4"/>
      <c r="GIE55" s="4"/>
      <c r="GIF55" s="4"/>
      <c r="GIG55" s="4"/>
      <c r="GIH55" s="4"/>
      <c r="GII55" s="4"/>
      <c r="GIJ55" s="4"/>
      <c r="GIK55" s="4"/>
      <c r="GIL55" s="4"/>
      <c r="GIM55" s="4"/>
      <c r="GIN55" s="4"/>
      <c r="GIO55" s="4"/>
      <c r="GIP55" s="4"/>
      <c r="GIQ55" s="4"/>
      <c r="GIR55" s="4"/>
      <c r="GIS55" s="4"/>
      <c r="GIT55" s="4"/>
      <c r="GIU55" s="4"/>
      <c r="GIV55" s="4"/>
      <c r="GIW55" s="4"/>
      <c r="GIX55" s="4"/>
      <c r="GIY55" s="4"/>
      <c r="GIZ55" s="4"/>
      <c r="GJA55" s="4"/>
      <c r="GJB55" s="4"/>
      <c r="GJC55" s="4"/>
      <c r="GJD55" s="4"/>
      <c r="GJE55" s="4"/>
      <c r="GJF55" s="4"/>
      <c r="GJG55" s="4"/>
      <c r="GJH55" s="4"/>
      <c r="GJI55" s="4"/>
      <c r="GJJ55" s="4"/>
      <c r="GJK55" s="4"/>
      <c r="GJL55" s="4"/>
      <c r="GJM55" s="4"/>
      <c r="GJN55" s="4"/>
      <c r="GJO55" s="4"/>
      <c r="GJP55" s="4"/>
      <c r="GJQ55" s="4"/>
      <c r="GJR55" s="4"/>
      <c r="GJS55" s="4"/>
      <c r="GJT55" s="4"/>
      <c r="GJU55" s="4"/>
      <c r="GJV55" s="4"/>
      <c r="GJW55" s="4"/>
      <c r="GJX55" s="4"/>
      <c r="GJY55" s="4"/>
      <c r="GJZ55" s="4"/>
      <c r="GKA55" s="4"/>
      <c r="GKB55" s="4"/>
      <c r="GKC55" s="4"/>
      <c r="GKD55" s="4"/>
      <c r="GKE55" s="4"/>
      <c r="GKF55" s="4"/>
      <c r="GKG55" s="4"/>
      <c r="GKH55" s="4"/>
      <c r="GKI55" s="4"/>
      <c r="GKJ55" s="4"/>
      <c r="GKK55" s="4"/>
      <c r="GKL55" s="4"/>
      <c r="GKM55" s="4"/>
      <c r="GKN55" s="4"/>
      <c r="GKO55" s="4"/>
      <c r="GKP55" s="4"/>
      <c r="GKQ55" s="4"/>
      <c r="GKR55" s="4"/>
      <c r="GKS55" s="4"/>
      <c r="GKT55" s="4"/>
      <c r="GKU55" s="4"/>
      <c r="GKV55" s="4"/>
      <c r="GKW55" s="4"/>
      <c r="GKX55" s="4"/>
      <c r="GKY55" s="4"/>
      <c r="GKZ55" s="4"/>
      <c r="GLA55" s="4"/>
      <c r="GLB55" s="4"/>
      <c r="GLC55" s="4"/>
      <c r="GLD55" s="4"/>
      <c r="GLE55" s="4"/>
      <c r="GLF55" s="4"/>
      <c r="GLG55" s="4"/>
      <c r="GLH55" s="4"/>
      <c r="GLI55" s="4"/>
      <c r="GLJ55" s="4"/>
      <c r="GLK55" s="4"/>
      <c r="GLL55" s="4"/>
      <c r="GLM55" s="4"/>
      <c r="GLN55" s="4"/>
      <c r="GLO55" s="4"/>
      <c r="GLP55" s="4"/>
      <c r="GLQ55" s="4"/>
      <c r="GLR55" s="4"/>
      <c r="GLS55" s="4"/>
      <c r="GLT55" s="4"/>
      <c r="GLU55" s="4"/>
      <c r="GLV55" s="4"/>
      <c r="GLW55" s="4"/>
      <c r="GLX55" s="4"/>
      <c r="GLY55" s="4"/>
      <c r="GLZ55" s="4"/>
      <c r="GMA55" s="4"/>
      <c r="GMB55" s="4"/>
      <c r="GMC55" s="4"/>
      <c r="GMD55" s="4"/>
      <c r="GME55" s="4"/>
      <c r="GMF55" s="4"/>
      <c r="GMG55" s="4"/>
      <c r="GMH55" s="4"/>
      <c r="GMI55" s="4"/>
      <c r="GMJ55" s="4"/>
      <c r="GMK55" s="4"/>
      <c r="GML55" s="4"/>
      <c r="GMM55" s="4"/>
      <c r="GMN55" s="4"/>
      <c r="GMO55" s="4"/>
      <c r="GMP55" s="4"/>
      <c r="GMQ55" s="4"/>
      <c r="GMR55" s="4"/>
      <c r="GMS55" s="4"/>
      <c r="GMT55" s="4"/>
      <c r="GMU55" s="4"/>
      <c r="GMV55" s="4"/>
      <c r="GMW55" s="4"/>
      <c r="GMX55" s="4"/>
      <c r="GMY55" s="4"/>
      <c r="GMZ55" s="4"/>
      <c r="GNA55" s="4"/>
      <c r="GNB55" s="4"/>
      <c r="GNC55" s="4"/>
      <c r="GND55" s="4"/>
      <c r="GNE55" s="4"/>
      <c r="GNF55" s="4"/>
      <c r="GNG55" s="4"/>
      <c r="GNH55" s="4"/>
      <c r="GNI55" s="4"/>
      <c r="GNJ55" s="4"/>
      <c r="GNK55" s="4"/>
      <c r="GNL55" s="4"/>
      <c r="GNM55" s="4"/>
      <c r="GNN55" s="4"/>
      <c r="GNO55" s="4"/>
      <c r="GNP55" s="4"/>
      <c r="GNQ55" s="4"/>
      <c r="GNR55" s="4"/>
      <c r="GNS55" s="4"/>
      <c r="GNT55" s="4"/>
      <c r="GNU55" s="4"/>
      <c r="GNV55" s="4"/>
      <c r="GNW55" s="4"/>
      <c r="GNX55" s="4"/>
      <c r="GNY55" s="4"/>
      <c r="GNZ55" s="4"/>
      <c r="GOA55" s="4"/>
      <c r="GOB55" s="4"/>
      <c r="GOC55" s="4"/>
      <c r="GOD55" s="4"/>
      <c r="GOE55" s="4"/>
      <c r="GOF55" s="4"/>
      <c r="GOG55" s="4"/>
      <c r="GOH55" s="4"/>
      <c r="GOI55" s="4"/>
      <c r="GOJ55" s="4"/>
      <c r="GOK55" s="4"/>
      <c r="GOL55" s="4"/>
      <c r="GOM55" s="4"/>
      <c r="GON55" s="4"/>
      <c r="GOO55" s="4"/>
      <c r="GOP55" s="4"/>
      <c r="GOQ55" s="4"/>
      <c r="GOR55" s="4"/>
      <c r="GOS55" s="4"/>
      <c r="GOT55" s="4"/>
      <c r="GOU55" s="4"/>
      <c r="GOV55" s="4"/>
      <c r="GOW55" s="4"/>
      <c r="GOX55" s="4"/>
      <c r="GOY55" s="4"/>
      <c r="GOZ55" s="4"/>
      <c r="GPA55" s="4"/>
      <c r="GPB55" s="4"/>
      <c r="GPC55" s="4"/>
      <c r="GPD55" s="4"/>
      <c r="GPE55" s="4"/>
      <c r="GPF55" s="4"/>
      <c r="GPG55" s="4"/>
      <c r="GPH55" s="4"/>
      <c r="GPI55" s="4"/>
      <c r="GPJ55" s="4"/>
      <c r="GPK55" s="4"/>
      <c r="GPL55" s="4"/>
      <c r="GPM55" s="4"/>
      <c r="GPN55" s="4"/>
      <c r="GPO55" s="4"/>
      <c r="GPP55" s="4"/>
      <c r="GPQ55" s="4"/>
      <c r="GPR55" s="4"/>
      <c r="GPS55" s="4"/>
      <c r="GPT55" s="4"/>
      <c r="GPU55" s="4"/>
      <c r="GPV55" s="4"/>
      <c r="GPW55" s="4"/>
      <c r="GPX55" s="4"/>
      <c r="GPY55" s="4"/>
      <c r="GPZ55" s="4"/>
      <c r="GQA55" s="4"/>
      <c r="GQB55" s="4"/>
      <c r="GQC55" s="4"/>
      <c r="GQD55" s="4"/>
      <c r="GQE55" s="4"/>
      <c r="GQF55" s="4"/>
      <c r="GQG55" s="4"/>
      <c r="GQH55" s="4"/>
      <c r="GQI55" s="4"/>
      <c r="GQJ55" s="4"/>
      <c r="GQK55" s="4"/>
      <c r="GQL55" s="4"/>
      <c r="GQM55" s="4"/>
      <c r="GQN55" s="4"/>
      <c r="GQO55" s="4"/>
      <c r="GQP55" s="4"/>
      <c r="GQQ55" s="4"/>
      <c r="GQR55" s="4"/>
      <c r="GQS55" s="4"/>
      <c r="GQT55" s="4"/>
      <c r="GQU55" s="4"/>
      <c r="GQV55" s="4"/>
      <c r="GQW55" s="4"/>
      <c r="GQX55" s="4"/>
      <c r="GQY55" s="4"/>
      <c r="GQZ55" s="4"/>
      <c r="GRA55" s="4"/>
      <c r="GRB55" s="4"/>
      <c r="GRC55" s="4"/>
      <c r="GRD55" s="4"/>
      <c r="GRE55" s="4"/>
      <c r="GRF55" s="4"/>
      <c r="GRG55" s="4"/>
      <c r="GRH55" s="4"/>
      <c r="GRI55" s="4"/>
      <c r="GRJ55" s="4"/>
      <c r="GRK55" s="4"/>
      <c r="GRL55" s="4"/>
      <c r="GRM55" s="4"/>
      <c r="GRN55" s="4"/>
      <c r="GRO55" s="4"/>
      <c r="GRP55" s="4"/>
      <c r="GRQ55" s="4"/>
      <c r="GRR55" s="4"/>
      <c r="GRS55" s="4"/>
      <c r="GRT55" s="4"/>
      <c r="GRU55" s="4"/>
      <c r="GRV55" s="4"/>
      <c r="GRW55" s="4"/>
      <c r="GRX55" s="4"/>
      <c r="GRY55" s="4"/>
      <c r="GRZ55" s="4"/>
      <c r="GSA55" s="4"/>
      <c r="GSB55" s="4"/>
      <c r="GSC55" s="4"/>
      <c r="GSD55" s="4"/>
      <c r="GSE55" s="4"/>
      <c r="GSF55" s="4"/>
      <c r="GSG55" s="4"/>
      <c r="GSH55" s="4"/>
      <c r="GSI55" s="4"/>
      <c r="GSJ55" s="4"/>
      <c r="GSK55" s="4"/>
      <c r="GSL55" s="4"/>
      <c r="GSM55" s="4"/>
      <c r="GSN55" s="4"/>
      <c r="GSO55" s="4"/>
      <c r="GSP55" s="4"/>
      <c r="GSQ55" s="4"/>
      <c r="GSR55" s="4"/>
      <c r="GSS55" s="4"/>
      <c r="GST55" s="4"/>
      <c r="GSU55" s="4"/>
      <c r="GSV55" s="4"/>
      <c r="GSW55" s="4"/>
      <c r="GSX55" s="4"/>
      <c r="GSY55" s="4"/>
      <c r="GSZ55" s="4"/>
      <c r="GTA55" s="4"/>
      <c r="GTB55" s="4"/>
      <c r="GTC55" s="4"/>
      <c r="GTD55" s="4"/>
      <c r="GTE55" s="4"/>
      <c r="GTF55" s="4"/>
      <c r="GTG55" s="4"/>
      <c r="GTH55" s="4"/>
      <c r="GTI55" s="4"/>
      <c r="GTJ55" s="4"/>
      <c r="GTK55" s="4"/>
      <c r="GTL55" s="4"/>
      <c r="GTM55" s="4"/>
      <c r="GTN55" s="4"/>
      <c r="GTO55" s="4"/>
      <c r="GTP55" s="4"/>
      <c r="GTQ55" s="4"/>
      <c r="GTR55" s="4"/>
      <c r="GTS55" s="4"/>
      <c r="GTT55" s="4"/>
      <c r="GTU55" s="4"/>
      <c r="GTV55" s="4"/>
      <c r="GTW55" s="4"/>
      <c r="GTX55" s="4"/>
      <c r="GTY55" s="4"/>
      <c r="GTZ55" s="4"/>
      <c r="GUA55" s="4"/>
      <c r="GUB55" s="4"/>
      <c r="GUC55" s="4"/>
      <c r="GUD55" s="4"/>
      <c r="GUE55" s="4"/>
      <c r="GUF55" s="4"/>
      <c r="GUG55" s="4"/>
      <c r="GUH55" s="4"/>
      <c r="GUI55" s="4"/>
      <c r="GUJ55" s="4"/>
      <c r="GUK55" s="4"/>
      <c r="GUL55" s="4"/>
      <c r="GUM55" s="4"/>
      <c r="GUN55" s="4"/>
      <c r="GUO55" s="4"/>
      <c r="GUP55" s="4"/>
      <c r="GUQ55" s="4"/>
      <c r="GUR55" s="4"/>
      <c r="GUS55" s="4"/>
      <c r="GUT55" s="4"/>
      <c r="GUU55" s="4"/>
      <c r="GUV55" s="4"/>
      <c r="GUW55" s="4"/>
      <c r="GUX55" s="4"/>
      <c r="GUY55" s="4"/>
      <c r="GUZ55" s="4"/>
      <c r="GVA55" s="4"/>
      <c r="GVB55" s="4"/>
      <c r="GVC55" s="4"/>
      <c r="GVD55" s="4"/>
      <c r="GVE55" s="4"/>
      <c r="GVF55" s="4"/>
      <c r="GVG55" s="4"/>
      <c r="GVH55" s="4"/>
      <c r="GVI55" s="4"/>
      <c r="GVJ55" s="4"/>
      <c r="GVK55" s="4"/>
      <c r="GVL55" s="4"/>
      <c r="GVM55" s="4"/>
      <c r="GVN55" s="4"/>
      <c r="GVO55" s="4"/>
      <c r="GVP55" s="4"/>
      <c r="GVQ55" s="4"/>
      <c r="GVR55" s="4"/>
      <c r="GVS55" s="4"/>
      <c r="GVT55" s="4"/>
      <c r="GVU55" s="4"/>
      <c r="GVV55" s="4"/>
      <c r="GVW55" s="4"/>
      <c r="GVX55" s="4"/>
      <c r="GVY55" s="4"/>
      <c r="GVZ55" s="4"/>
      <c r="GWA55" s="4"/>
      <c r="GWB55" s="4"/>
      <c r="GWC55" s="4"/>
      <c r="GWD55" s="4"/>
      <c r="GWE55" s="4"/>
      <c r="GWF55" s="4"/>
      <c r="GWG55" s="4"/>
      <c r="GWH55" s="4"/>
      <c r="GWI55" s="4"/>
      <c r="GWJ55" s="4"/>
      <c r="GWK55" s="4"/>
      <c r="GWL55" s="4"/>
      <c r="GWM55" s="4"/>
      <c r="GWN55" s="4"/>
      <c r="GWO55" s="4"/>
      <c r="GWP55" s="4"/>
      <c r="GWQ55" s="4"/>
      <c r="GWR55" s="4"/>
      <c r="GWS55" s="4"/>
      <c r="GWT55" s="4"/>
      <c r="GWU55" s="4"/>
      <c r="GWV55" s="4"/>
      <c r="GWW55" s="4"/>
      <c r="GWX55" s="4"/>
      <c r="GWY55" s="4"/>
      <c r="GWZ55" s="4"/>
      <c r="GXA55" s="4"/>
      <c r="GXB55" s="4"/>
      <c r="GXC55" s="4"/>
      <c r="GXD55" s="4"/>
      <c r="GXE55" s="4"/>
      <c r="GXF55" s="4"/>
      <c r="GXG55" s="4"/>
      <c r="GXH55" s="4"/>
      <c r="GXI55" s="4"/>
      <c r="GXJ55" s="4"/>
      <c r="GXK55" s="4"/>
      <c r="GXL55" s="4"/>
      <c r="GXM55" s="4"/>
      <c r="GXN55" s="4"/>
      <c r="GXO55" s="4"/>
      <c r="GXP55" s="4"/>
      <c r="GXQ55" s="4"/>
      <c r="GXR55" s="4"/>
      <c r="GXS55" s="4"/>
      <c r="GXT55" s="4"/>
      <c r="GXU55" s="4"/>
      <c r="GXV55" s="4"/>
      <c r="GXW55" s="4"/>
      <c r="GXX55" s="4"/>
      <c r="GXY55" s="4"/>
      <c r="GXZ55" s="4"/>
      <c r="GYA55" s="4"/>
      <c r="GYB55" s="4"/>
      <c r="GYC55" s="4"/>
      <c r="GYD55" s="4"/>
      <c r="GYE55" s="4"/>
      <c r="GYF55" s="4"/>
      <c r="GYG55" s="4"/>
      <c r="GYH55" s="4"/>
      <c r="GYI55" s="4"/>
      <c r="GYJ55" s="4"/>
      <c r="GYK55" s="4"/>
      <c r="GYL55" s="4"/>
      <c r="GYM55" s="4"/>
      <c r="GYN55" s="4"/>
      <c r="GYO55" s="4"/>
      <c r="GYP55" s="4"/>
      <c r="GYQ55" s="4"/>
      <c r="GYR55" s="4"/>
      <c r="GYS55" s="4"/>
      <c r="GYT55" s="4"/>
      <c r="GYU55" s="4"/>
      <c r="GYV55" s="4"/>
      <c r="GYW55" s="4"/>
      <c r="GYX55" s="4"/>
      <c r="GYY55" s="4"/>
      <c r="GYZ55" s="4"/>
      <c r="GZA55" s="4"/>
      <c r="GZB55" s="4"/>
      <c r="GZC55" s="4"/>
      <c r="GZD55" s="4"/>
      <c r="GZE55" s="4"/>
      <c r="GZF55" s="4"/>
      <c r="GZG55" s="4"/>
      <c r="GZH55" s="4"/>
      <c r="GZI55" s="4"/>
      <c r="GZJ55" s="4"/>
      <c r="GZK55" s="4"/>
      <c r="GZL55" s="4"/>
      <c r="GZM55" s="4"/>
      <c r="GZN55" s="4"/>
      <c r="GZO55" s="4"/>
      <c r="GZP55" s="4"/>
      <c r="GZQ55" s="4"/>
      <c r="GZR55" s="4"/>
      <c r="GZS55" s="4"/>
      <c r="GZT55" s="4"/>
      <c r="GZU55" s="4"/>
      <c r="GZV55" s="4"/>
      <c r="GZW55" s="4"/>
      <c r="GZX55" s="4"/>
      <c r="GZY55" s="4"/>
      <c r="GZZ55" s="4"/>
      <c r="HAA55" s="4"/>
      <c r="HAB55" s="4"/>
      <c r="HAC55" s="4"/>
      <c r="HAD55" s="4"/>
      <c r="HAE55" s="4"/>
      <c r="HAF55" s="4"/>
      <c r="HAG55" s="4"/>
      <c r="HAH55" s="4"/>
      <c r="HAI55" s="4"/>
      <c r="HAJ55" s="4"/>
      <c r="HAK55" s="4"/>
      <c r="HAL55" s="4"/>
      <c r="HAM55" s="4"/>
      <c r="HAN55" s="4"/>
      <c r="HAO55" s="4"/>
      <c r="HAP55" s="4"/>
      <c r="HAQ55" s="4"/>
      <c r="HAR55" s="4"/>
      <c r="HAS55" s="4"/>
      <c r="HAT55" s="4"/>
      <c r="HAU55" s="4"/>
      <c r="HAV55" s="4"/>
      <c r="HAW55" s="4"/>
      <c r="HAX55" s="4"/>
      <c r="HAY55" s="4"/>
      <c r="HAZ55" s="4"/>
      <c r="HBA55" s="4"/>
      <c r="HBB55" s="4"/>
      <c r="HBC55" s="4"/>
      <c r="HBD55" s="4"/>
      <c r="HBE55" s="4"/>
      <c r="HBF55" s="4"/>
      <c r="HBG55" s="4"/>
      <c r="HBH55" s="4"/>
      <c r="HBI55" s="4"/>
      <c r="HBJ55" s="4"/>
      <c r="HBK55" s="4"/>
      <c r="HBL55" s="4"/>
      <c r="HBM55" s="4"/>
      <c r="HBN55" s="4"/>
      <c r="HBO55" s="4"/>
      <c r="HBP55" s="4"/>
      <c r="HBQ55" s="4"/>
      <c r="HBR55" s="4"/>
      <c r="HBS55" s="4"/>
      <c r="HBT55" s="4"/>
      <c r="HBU55" s="4"/>
      <c r="HBV55" s="4"/>
      <c r="HBW55" s="4"/>
      <c r="HBX55" s="4"/>
      <c r="HBY55" s="4"/>
      <c r="HBZ55" s="4"/>
      <c r="HCA55" s="4"/>
      <c r="HCB55" s="4"/>
      <c r="HCC55" s="4"/>
      <c r="HCD55" s="4"/>
      <c r="HCE55" s="4"/>
      <c r="HCF55" s="4"/>
      <c r="HCG55" s="4"/>
      <c r="HCH55" s="4"/>
      <c r="HCI55" s="4"/>
      <c r="HCJ55" s="4"/>
      <c r="HCK55" s="4"/>
      <c r="HCL55" s="4"/>
      <c r="HCM55" s="4"/>
      <c r="HCN55" s="4"/>
      <c r="HCO55" s="4"/>
      <c r="HCP55" s="4"/>
      <c r="HCQ55" s="4"/>
      <c r="HCR55" s="4"/>
      <c r="HCS55" s="4"/>
      <c r="HCT55" s="4"/>
      <c r="HCU55" s="4"/>
      <c r="HCV55" s="4"/>
      <c r="HCW55" s="4"/>
      <c r="HCX55" s="4"/>
      <c r="HCY55" s="4"/>
      <c r="HCZ55" s="4"/>
      <c r="HDA55" s="4"/>
      <c r="HDB55" s="4"/>
      <c r="HDC55" s="4"/>
      <c r="HDD55" s="4"/>
      <c r="HDE55" s="4"/>
      <c r="HDF55" s="4"/>
      <c r="HDG55" s="4"/>
      <c r="HDH55" s="4"/>
      <c r="HDI55" s="4"/>
      <c r="HDJ55" s="4"/>
      <c r="HDK55" s="4"/>
      <c r="HDL55" s="4"/>
      <c r="HDM55" s="4"/>
      <c r="HDN55" s="4"/>
      <c r="HDO55" s="4"/>
      <c r="HDP55" s="4"/>
      <c r="HDQ55" s="4"/>
      <c r="HDR55" s="4"/>
      <c r="HDS55" s="4"/>
      <c r="HDT55" s="4"/>
      <c r="HDU55" s="4"/>
      <c r="HDV55" s="4"/>
      <c r="HDW55" s="4"/>
      <c r="HDX55" s="4"/>
      <c r="HDY55" s="4"/>
      <c r="HDZ55" s="4"/>
      <c r="HEA55" s="4"/>
      <c r="HEB55" s="4"/>
      <c r="HEC55" s="4"/>
      <c r="HED55" s="4"/>
      <c r="HEE55" s="4"/>
      <c r="HEF55" s="4"/>
      <c r="HEG55" s="4"/>
      <c r="HEH55" s="4"/>
      <c r="HEI55" s="4"/>
      <c r="HEJ55" s="4"/>
      <c r="HEK55" s="4"/>
      <c r="HEL55" s="4"/>
      <c r="HEM55" s="4"/>
      <c r="HEN55" s="4"/>
      <c r="HEO55" s="4"/>
      <c r="HEP55" s="4"/>
      <c r="HEQ55" s="4"/>
      <c r="HER55" s="4"/>
      <c r="HES55" s="4"/>
      <c r="HET55" s="4"/>
      <c r="HEU55" s="4"/>
      <c r="HEV55" s="4"/>
      <c r="HEW55" s="4"/>
      <c r="HEX55" s="4"/>
      <c r="HEY55" s="4"/>
      <c r="HEZ55" s="4"/>
      <c r="HFA55" s="4"/>
      <c r="HFB55" s="4"/>
      <c r="HFC55" s="4"/>
      <c r="HFD55" s="4"/>
      <c r="HFE55" s="4"/>
      <c r="HFF55" s="4"/>
      <c r="HFG55" s="4"/>
      <c r="HFH55" s="4"/>
      <c r="HFI55" s="4"/>
      <c r="HFJ55" s="4"/>
      <c r="HFK55" s="4"/>
      <c r="HFL55" s="4"/>
      <c r="HFM55" s="4"/>
      <c r="HFN55" s="4"/>
      <c r="HFO55" s="4"/>
      <c r="HFP55" s="4"/>
      <c r="HFQ55" s="4"/>
      <c r="HFR55" s="4"/>
      <c r="HFS55" s="4"/>
      <c r="HFT55" s="4"/>
      <c r="HFU55" s="4"/>
      <c r="HFV55" s="4"/>
      <c r="HFW55" s="4"/>
      <c r="HFX55" s="4"/>
      <c r="HFY55" s="4"/>
      <c r="HFZ55" s="4"/>
      <c r="HGA55" s="4"/>
      <c r="HGB55" s="4"/>
      <c r="HGC55" s="4"/>
      <c r="HGD55" s="4"/>
      <c r="HGE55" s="4"/>
      <c r="HGF55" s="4"/>
      <c r="HGG55" s="4"/>
      <c r="HGH55" s="4"/>
      <c r="HGI55" s="4"/>
      <c r="HGJ55" s="4"/>
      <c r="HGK55" s="4"/>
      <c r="HGL55" s="4"/>
      <c r="HGM55" s="4"/>
      <c r="HGN55" s="4"/>
      <c r="HGO55" s="4"/>
      <c r="HGP55" s="4"/>
      <c r="HGQ55" s="4"/>
      <c r="HGR55" s="4"/>
      <c r="HGS55" s="4"/>
      <c r="HGT55" s="4"/>
      <c r="HGU55" s="4"/>
      <c r="HGV55" s="4"/>
      <c r="HGW55" s="4"/>
      <c r="HGX55" s="4"/>
      <c r="HGY55" s="4"/>
      <c r="HGZ55" s="4"/>
      <c r="HHA55" s="4"/>
      <c r="HHB55" s="4"/>
      <c r="HHC55" s="4"/>
      <c r="HHD55" s="4"/>
      <c r="HHE55" s="4"/>
      <c r="HHF55" s="4"/>
      <c r="HHG55" s="4"/>
      <c r="HHH55" s="4"/>
      <c r="HHI55" s="4"/>
      <c r="HHJ55" s="4"/>
      <c r="HHK55" s="4"/>
      <c r="HHL55" s="4"/>
      <c r="HHM55" s="4"/>
      <c r="HHN55" s="4"/>
      <c r="HHO55" s="4"/>
      <c r="HHP55" s="4"/>
      <c r="HHQ55" s="4"/>
      <c r="HHR55" s="4"/>
      <c r="HHS55" s="4"/>
      <c r="HHT55" s="4"/>
      <c r="HHU55" s="4"/>
      <c r="HHV55" s="4"/>
      <c r="HHW55" s="4"/>
      <c r="HHX55" s="4"/>
      <c r="HHY55" s="4"/>
      <c r="HHZ55" s="4"/>
      <c r="HIA55" s="4"/>
      <c r="HIB55" s="4"/>
      <c r="HIC55" s="4"/>
      <c r="HID55" s="4"/>
      <c r="HIE55" s="4"/>
      <c r="HIF55" s="4"/>
      <c r="HIG55" s="4"/>
      <c r="HIH55" s="4"/>
      <c r="HII55" s="4"/>
      <c r="HIJ55" s="4"/>
      <c r="HIK55" s="4"/>
      <c r="HIL55" s="4"/>
      <c r="HIM55" s="4"/>
      <c r="HIN55" s="4"/>
      <c r="HIO55" s="4"/>
      <c r="HIP55" s="4"/>
      <c r="HIQ55" s="4"/>
      <c r="HIR55" s="4"/>
      <c r="HIS55" s="4"/>
      <c r="HIT55" s="4"/>
      <c r="HIU55" s="4"/>
      <c r="HIV55" s="4"/>
      <c r="HIW55" s="4"/>
      <c r="HIX55" s="4"/>
      <c r="HIY55" s="4"/>
      <c r="HIZ55" s="4"/>
      <c r="HJA55" s="4"/>
      <c r="HJB55" s="4"/>
      <c r="HJC55" s="4"/>
      <c r="HJD55" s="4"/>
      <c r="HJE55" s="4"/>
      <c r="HJF55" s="4"/>
      <c r="HJG55" s="4"/>
      <c r="HJH55" s="4"/>
      <c r="HJI55" s="4"/>
      <c r="HJJ55" s="4"/>
      <c r="HJK55" s="4"/>
      <c r="HJL55" s="4"/>
      <c r="HJM55" s="4"/>
      <c r="HJN55" s="4"/>
      <c r="HJO55" s="4"/>
      <c r="HJP55" s="4"/>
      <c r="HJQ55" s="4"/>
      <c r="HJR55" s="4"/>
      <c r="HJS55" s="4"/>
      <c r="HJT55" s="4"/>
      <c r="HJU55" s="4"/>
      <c r="HJV55" s="4"/>
      <c r="HJW55" s="4"/>
      <c r="HJX55" s="4"/>
      <c r="HJY55" s="4"/>
      <c r="HJZ55" s="4"/>
      <c r="HKA55" s="4"/>
      <c r="HKB55" s="4"/>
      <c r="HKC55" s="4"/>
      <c r="HKD55" s="4"/>
      <c r="HKE55" s="4"/>
      <c r="HKF55" s="4"/>
      <c r="HKG55" s="4"/>
      <c r="HKH55" s="4"/>
      <c r="HKI55" s="4"/>
      <c r="HKJ55" s="4"/>
      <c r="HKK55" s="4"/>
      <c r="HKL55" s="4"/>
      <c r="HKM55" s="4"/>
      <c r="HKN55" s="4"/>
      <c r="HKO55" s="4"/>
      <c r="HKP55" s="4"/>
      <c r="HKQ55" s="4"/>
      <c r="HKR55" s="4"/>
      <c r="HKS55" s="4"/>
      <c r="HKT55" s="4"/>
      <c r="HKU55" s="4"/>
      <c r="HKV55" s="4"/>
      <c r="HKW55" s="4"/>
      <c r="HKX55" s="4"/>
      <c r="HKY55" s="4"/>
      <c r="HKZ55" s="4"/>
      <c r="HLA55" s="4"/>
      <c r="HLB55" s="4"/>
      <c r="HLC55" s="4"/>
      <c r="HLD55" s="4"/>
      <c r="HLE55" s="4"/>
      <c r="HLF55" s="4"/>
      <c r="HLG55" s="4"/>
      <c r="HLH55" s="4"/>
      <c r="HLI55" s="4"/>
      <c r="HLJ55" s="4"/>
      <c r="HLK55" s="4"/>
      <c r="HLL55" s="4"/>
      <c r="HLM55" s="4"/>
      <c r="HLN55" s="4"/>
      <c r="HLO55" s="4"/>
      <c r="HLP55" s="4"/>
      <c r="HLQ55" s="4"/>
      <c r="HLR55" s="4"/>
      <c r="HLS55" s="4"/>
      <c r="HLT55" s="4"/>
      <c r="HLU55" s="4"/>
      <c r="HLV55" s="4"/>
      <c r="HLW55" s="4"/>
      <c r="HLX55" s="4"/>
      <c r="HLY55" s="4"/>
      <c r="HLZ55" s="4"/>
      <c r="HMA55" s="4"/>
      <c r="HMB55" s="4"/>
      <c r="HMC55" s="4"/>
      <c r="HMD55" s="4"/>
      <c r="HME55" s="4"/>
      <c r="HMF55" s="4"/>
      <c r="HMG55" s="4"/>
      <c r="HMH55" s="4"/>
      <c r="HMI55" s="4"/>
      <c r="HMJ55" s="4"/>
      <c r="HMK55" s="4"/>
      <c r="HML55" s="4"/>
      <c r="HMM55" s="4"/>
      <c r="HMN55" s="4"/>
      <c r="HMO55" s="4"/>
      <c r="HMP55" s="4"/>
      <c r="HMQ55" s="4"/>
      <c r="HMR55" s="4"/>
      <c r="HMS55" s="4"/>
      <c r="HMT55" s="4"/>
      <c r="HMU55" s="4"/>
      <c r="HMV55" s="4"/>
      <c r="HMW55" s="4"/>
      <c r="HMX55" s="4"/>
      <c r="HMY55" s="4"/>
      <c r="HMZ55" s="4"/>
      <c r="HNA55" s="4"/>
      <c r="HNB55" s="4"/>
      <c r="HNC55" s="4"/>
      <c r="HND55" s="4"/>
      <c r="HNE55" s="4"/>
      <c r="HNF55" s="4"/>
      <c r="HNG55" s="4"/>
      <c r="HNH55" s="4"/>
      <c r="HNI55" s="4"/>
      <c r="HNJ55" s="4"/>
      <c r="HNK55" s="4"/>
      <c r="HNL55" s="4"/>
      <c r="HNM55" s="4"/>
      <c r="HNN55" s="4"/>
      <c r="HNO55" s="4"/>
      <c r="HNP55" s="4"/>
      <c r="HNQ55" s="4"/>
      <c r="HNR55" s="4"/>
      <c r="HNS55" s="4"/>
      <c r="HNT55" s="4"/>
      <c r="HNU55" s="4"/>
      <c r="HNV55" s="4"/>
      <c r="HNW55" s="4"/>
      <c r="HNX55" s="4"/>
      <c r="HNY55" s="4"/>
      <c r="HNZ55" s="4"/>
      <c r="HOA55" s="4"/>
      <c r="HOB55" s="4"/>
      <c r="HOC55" s="4"/>
      <c r="HOD55" s="4"/>
      <c r="HOE55" s="4"/>
      <c r="HOF55" s="4"/>
      <c r="HOG55" s="4"/>
      <c r="HOH55" s="4"/>
      <c r="HOI55" s="4"/>
      <c r="HOJ55" s="4"/>
      <c r="HOK55" s="4"/>
      <c r="HOL55" s="4"/>
      <c r="HOM55" s="4"/>
      <c r="HON55" s="4"/>
      <c r="HOO55" s="4"/>
      <c r="HOP55" s="4"/>
      <c r="HOQ55" s="4"/>
      <c r="HOR55" s="4"/>
      <c r="HOS55" s="4"/>
      <c r="HOT55" s="4"/>
      <c r="HOU55" s="4"/>
      <c r="HOV55" s="4"/>
      <c r="HOW55" s="4"/>
      <c r="HOX55" s="4"/>
      <c r="HOY55" s="4"/>
      <c r="HOZ55" s="4"/>
      <c r="HPA55" s="4"/>
      <c r="HPB55" s="4"/>
      <c r="HPC55" s="4"/>
      <c r="HPD55" s="4"/>
      <c r="HPE55" s="4"/>
      <c r="HPF55" s="4"/>
      <c r="HPG55" s="4"/>
      <c r="HPH55" s="4"/>
      <c r="HPI55" s="4"/>
      <c r="HPJ55" s="4"/>
      <c r="HPK55" s="4"/>
      <c r="HPL55" s="4"/>
      <c r="HPM55" s="4"/>
      <c r="HPN55" s="4"/>
      <c r="HPO55" s="4"/>
      <c r="HPP55" s="4"/>
      <c r="HPQ55" s="4"/>
      <c r="HPR55" s="4"/>
      <c r="HPS55" s="4"/>
      <c r="HPT55" s="4"/>
      <c r="HPU55" s="4"/>
      <c r="HPV55" s="4"/>
      <c r="HPW55" s="4"/>
      <c r="HPX55" s="4"/>
      <c r="HPY55" s="4"/>
      <c r="HPZ55" s="4"/>
      <c r="HQA55" s="4"/>
      <c r="HQB55" s="4"/>
      <c r="HQC55" s="4"/>
      <c r="HQD55" s="4"/>
      <c r="HQE55" s="4"/>
      <c r="HQF55" s="4"/>
      <c r="HQG55" s="4"/>
      <c r="HQH55" s="4"/>
      <c r="HQI55" s="4"/>
      <c r="HQJ55" s="4"/>
      <c r="HQK55" s="4"/>
      <c r="HQL55" s="4"/>
      <c r="HQM55" s="4"/>
      <c r="HQN55" s="4"/>
      <c r="HQO55" s="4"/>
      <c r="HQP55" s="4"/>
      <c r="HQQ55" s="4"/>
      <c r="HQR55" s="4"/>
      <c r="HQS55" s="4"/>
      <c r="HQT55" s="4"/>
      <c r="HQU55" s="4"/>
      <c r="HQV55" s="4"/>
      <c r="HQW55" s="4"/>
      <c r="HQX55" s="4"/>
      <c r="HQY55" s="4"/>
      <c r="HQZ55" s="4"/>
      <c r="HRA55" s="4"/>
      <c r="HRB55" s="4"/>
      <c r="HRC55" s="4"/>
      <c r="HRD55" s="4"/>
      <c r="HRE55" s="4"/>
      <c r="HRF55" s="4"/>
      <c r="HRG55" s="4"/>
      <c r="HRH55" s="4"/>
      <c r="HRI55" s="4"/>
      <c r="HRJ55" s="4"/>
      <c r="HRK55" s="4"/>
      <c r="HRL55" s="4"/>
      <c r="HRM55" s="4"/>
      <c r="HRN55" s="4"/>
      <c r="HRO55" s="4"/>
      <c r="HRP55" s="4"/>
      <c r="HRQ55" s="4"/>
      <c r="HRR55" s="4"/>
      <c r="HRS55" s="4"/>
      <c r="HRT55" s="4"/>
      <c r="HRU55" s="4"/>
      <c r="HRV55" s="4"/>
      <c r="HRW55" s="4"/>
      <c r="HRX55" s="4"/>
      <c r="HRY55" s="4"/>
      <c r="HRZ55" s="4"/>
      <c r="HSA55" s="4"/>
      <c r="HSB55" s="4"/>
      <c r="HSC55" s="4"/>
      <c r="HSD55" s="4"/>
      <c r="HSE55" s="4"/>
      <c r="HSF55" s="4"/>
      <c r="HSG55" s="4"/>
      <c r="HSH55" s="4"/>
      <c r="HSI55" s="4"/>
      <c r="HSJ55" s="4"/>
      <c r="HSK55" s="4"/>
      <c r="HSL55" s="4"/>
      <c r="HSM55" s="4"/>
      <c r="HSN55" s="4"/>
      <c r="HSO55" s="4"/>
      <c r="HSP55" s="4"/>
      <c r="HSQ55" s="4"/>
      <c r="HSR55" s="4"/>
      <c r="HSS55" s="4"/>
      <c r="HST55" s="4"/>
      <c r="HSU55" s="4"/>
      <c r="HSV55" s="4"/>
      <c r="HSW55" s="4"/>
      <c r="HSX55" s="4"/>
      <c r="HSY55" s="4"/>
      <c r="HSZ55" s="4"/>
      <c r="HTA55" s="4"/>
      <c r="HTB55" s="4"/>
      <c r="HTC55" s="4"/>
      <c r="HTD55" s="4"/>
      <c r="HTE55" s="4"/>
      <c r="HTF55" s="4"/>
      <c r="HTG55" s="4"/>
      <c r="HTH55" s="4"/>
      <c r="HTI55" s="4"/>
      <c r="HTJ55" s="4"/>
      <c r="HTK55" s="4"/>
      <c r="HTL55" s="4"/>
      <c r="HTM55" s="4"/>
      <c r="HTN55" s="4"/>
      <c r="HTO55" s="4"/>
      <c r="HTP55" s="4"/>
      <c r="HTQ55" s="4"/>
      <c r="HTR55" s="4"/>
      <c r="HTS55" s="4"/>
      <c r="HTT55" s="4"/>
      <c r="HTU55" s="4"/>
      <c r="HTV55" s="4"/>
      <c r="HTW55" s="4"/>
      <c r="HTX55" s="4"/>
      <c r="HTY55" s="4"/>
      <c r="HTZ55" s="4"/>
      <c r="HUA55" s="4"/>
      <c r="HUB55" s="4"/>
      <c r="HUC55" s="4"/>
      <c r="HUD55" s="4"/>
      <c r="HUE55" s="4"/>
      <c r="HUF55" s="4"/>
      <c r="HUG55" s="4"/>
      <c r="HUH55" s="4"/>
      <c r="HUI55" s="4"/>
      <c r="HUJ55" s="4"/>
      <c r="HUK55" s="4"/>
      <c r="HUL55" s="4"/>
      <c r="HUM55" s="4"/>
      <c r="HUN55" s="4"/>
      <c r="HUO55" s="4"/>
      <c r="HUP55" s="4"/>
      <c r="HUQ55" s="4"/>
      <c r="HUR55" s="4"/>
      <c r="HUS55" s="4"/>
      <c r="HUT55" s="4"/>
      <c r="HUU55" s="4"/>
      <c r="HUV55" s="4"/>
      <c r="HUW55" s="4"/>
      <c r="HUX55" s="4"/>
      <c r="HUY55" s="4"/>
      <c r="HUZ55" s="4"/>
      <c r="HVA55" s="4"/>
      <c r="HVB55" s="4"/>
      <c r="HVC55" s="4"/>
      <c r="HVD55" s="4"/>
      <c r="HVE55" s="4"/>
      <c r="HVF55" s="4"/>
      <c r="HVG55" s="4"/>
      <c r="HVH55" s="4"/>
      <c r="HVI55" s="4"/>
      <c r="HVJ55" s="4"/>
      <c r="HVK55" s="4"/>
      <c r="HVL55" s="4"/>
      <c r="HVM55" s="4"/>
      <c r="HVN55" s="4"/>
      <c r="HVO55" s="4"/>
      <c r="HVP55" s="4"/>
      <c r="HVQ55" s="4"/>
      <c r="HVR55" s="4"/>
      <c r="HVS55" s="4"/>
      <c r="HVT55" s="4"/>
      <c r="HVU55" s="4"/>
      <c r="HVV55" s="4"/>
      <c r="HVW55" s="4"/>
      <c r="HVX55" s="4"/>
      <c r="HVY55" s="4"/>
      <c r="HVZ55" s="4"/>
      <c r="HWA55" s="4"/>
      <c r="HWB55" s="4"/>
      <c r="HWC55" s="4"/>
      <c r="HWD55" s="4"/>
      <c r="HWE55" s="4"/>
      <c r="HWF55" s="4"/>
      <c r="HWG55" s="4"/>
      <c r="HWH55" s="4"/>
      <c r="HWI55" s="4"/>
      <c r="HWJ55" s="4"/>
      <c r="HWK55" s="4"/>
      <c r="HWL55" s="4"/>
      <c r="HWM55" s="4"/>
      <c r="HWN55" s="4"/>
      <c r="HWO55" s="4"/>
      <c r="HWP55" s="4"/>
      <c r="HWQ55" s="4"/>
      <c r="HWR55" s="4"/>
      <c r="HWS55" s="4"/>
      <c r="HWT55" s="4"/>
      <c r="HWU55" s="4"/>
      <c r="HWV55" s="4"/>
      <c r="HWW55" s="4"/>
      <c r="HWX55" s="4"/>
      <c r="HWY55" s="4"/>
      <c r="HWZ55" s="4"/>
      <c r="HXA55" s="4"/>
      <c r="HXB55" s="4"/>
      <c r="HXC55" s="4"/>
      <c r="HXD55" s="4"/>
      <c r="HXE55" s="4"/>
      <c r="HXF55" s="4"/>
      <c r="HXG55" s="4"/>
      <c r="HXH55" s="4"/>
      <c r="HXI55" s="4"/>
      <c r="HXJ55" s="4"/>
      <c r="HXK55" s="4"/>
      <c r="HXL55" s="4"/>
      <c r="HXM55" s="4"/>
      <c r="HXN55" s="4"/>
      <c r="HXO55" s="4"/>
      <c r="HXP55" s="4"/>
      <c r="HXQ55" s="4"/>
      <c r="HXR55" s="4"/>
      <c r="HXS55" s="4"/>
      <c r="HXT55" s="4"/>
      <c r="HXU55" s="4"/>
      <c r="HXV55" s="4"/>
      <c r="HXW55" s="4"/>
      <c r="HXX55" s="4"/>
      <c r="HXY55" s="4"/>
      <c r="HXZ55" s="4"/>
      <c r="HYA55" s="4"/>
      <c r="HYB55" s="4"/>
      <c r="HYC55" s="4"/>
      <c r="HYD55" s="4"/>
      <c r="HYE55" s="4"/>
      <c r="HYF55" s="4"/>
      <c r="HYG55" s="4"/>
      <c r="HYH55" s="4"/>
      <c r="HYI55" s="4"/>
      <c r="HYJ55" s="4"/>
      <c r="HYK55" s="4"/>
      <c r="HYL55" s="4"/>
      <c r="HYM55" s="4"/>
      <c r="HYN55" s="4"/>
      <c r="HYO55" s="4"/>
      <c r="HYP55" s="4"/>
      <c r="HYQ55" s="4"/>
      <c r="HYR55" s="4"/>
      <c r="HYS55" s="4"/>
      <c r="HYT55" s="4"/>
      <c r="HYU55" s="4"/>
      <c r="HYV55" s="4"/>
      <c r="HYW55" s="4"/>
      <c r="HYX55" s="4"/>
      <c r="HYY55" s="4"/>
      <c r="HYZ55" s="4"/>
      <c r="HZA55" s="4"/>
      <c r="HZB55" s="4"/>
      <c r="HZC55" s="4"/>
      <c r="HZD55" s="4"/>
      <c r="HZE55" s="4"/>
      <c r="HZF55" s="4"/>
      <c r="HZG55" s="4"/>
      <c r="HZH55" s="4"/>
      <c r="HZI55" s="4"/>
      <c r="HZJ55" s="4"/>
      <c r="HZK55" s="4"/>
      <c r="HZL55" s="4"/>
      <c r="HZM55" s="4"/>
      <c r="HZN55" s="4"/>
      <c r="HZO55" s="4"/>
      <c r="HZP55" s="4"/>
      <c r="HZQ55" s="4"/>
      <c r="HZR55" s="4"/>
      <c r="HZS55" s="4"/>
      <c r="HZT55" s="4"/>
      <c r="HZU55" s="4"/>
      <c r="HZV55" s="4"/>
      <c r="HZW55" s="4"/>
      <c r="HZX55" s="4"/>
      <c r="HZY55" s="4"/>
      <c r="HZZ55" s="4"/>
      <c r="IAA55" s="4"/>
      <c r="IAB55" s="4"/>
      <c r="IAC55" s="4"/>
      <c r="IAD55" s="4"/>
      <c r="IAE55" s="4"/>
      <c r="IAF55" s="4"/>
      <c r="IAG55" s="4"/>
      <c r="IAH55" s="4"/>
      <c r="IAI55" s="4"/>
      <c r="IAJ55" s="4"/>
      <c r="IAK55" s="4"/>
      <c r="IAL55" s="4"/>
      <c r="IAM55" s="4"/>
      <c r="IAN55" s="4"/>
      <c r="IAO55" s="4"/>
      <c r="IAP55" s="4"/>
      <c r="IAQ55" s="4"/>
      <c r="IAR55" s="4"/>
      <c r="IAS55" s="4"/>
      <c r="IAT55" s="4"/>
      <c r="IAU55" s="4"/>
      <c r="IAV55" s="4"/>
      <c r="IAW55" s="4"/>
      <c r="IAX55" s="4"/>
      <c r="IAY55" s="4"/>
      <c r="IAZ55" s="4"/>
      <c r="IBA55" s="4"/>
      <c r="IBB55" s="4"/>
      <c r="IBC55" s="4"/>
      <c r="IBD55" s="4"/>
      <c r="IBE55" s="4"/>
      <c r="IBF55" s="4"/>
      <c r="IBG55" s="4"/>
      <c r="IBH55" s="4"/>
      <c r="IBI55" s="4"/>
      <c r="IBJ55" s="4"/>
      <c r="IBK55" s="4"/>
      <c r="IBL55" s="4"/>
      <c r="IBM55" s="4"/>
      <c r="IBN55" s="4"/>
      <c r="IBO55" s="4"/>
      <c r="IBP55" s="4"/>
      <c r="IBQ55" s="4"/>
      <c r="IBR55" s="4"/>
      <c r="IBS55" s="4"/>
      <c r="IBT55" s="4"/>
      <c r="IBU55" s="4"/>
      <c r="IBV55" s="4"/>
      <c r="IBW55" s="4"/>
      <c r="IBX55" s="4"/>
      <c r="IBY55" s="4"/>
      <c r="IBZ55" s="4"/>
      <c r="ICA55" s="4"/>
      <c r="ICB55" s="4"/>
      <c r="ICC55" s="4"/>
      <c r="ICD55" s="4"/>
      <c r="ICE55" s="4"/>
      <c r="ICF55" s="4"/>
      <c r="ICG55" s="4"/>
      <c r="ICH55" s="4"/>
      <c r="ICI55" s="4"/>
      <c r="ICJ55" s="4"/>
      <c r="ICK55" s="4"/>
      <c r="ICL55" s="4"/>
      <c r="ICM55" s="4"/>
      <c r="ICN55" s="4"/>
      <c r="ICO55" s="4"/>
      <c r="ICP55" s="4"/>
      <c r="ICQ55" s="4"/>
      <c r="ICR55" s="4"/>
      <c r="ICS55" s="4"/>
      <c r="ICT55" s="4"/>
      <c r="ICU55" s="4"/>
      <c r="ICV55" s="4"/>
      <c r="ICW55" s="4"/>
      <c r="ICX55" s="4"/>
      <c r="ICY55" s="4"/>
      <c r="ICZ55" s="4"/>
      <c r="IDA55" s="4"/>
      <c r="IDB55" s="4"/>
      <c r="IDC55" s="4"/>
      <c r="IDD55" s="4"/>
      <c r="IDE55" s="4"/>
      <c r="IDF55" s="4"/>
      <c r="IDG55" s="4"/>
      <c r="IDH55" s="4"/>
      <c r="IDI55" s="4"/>
      <c r="IDJ55" s="4"/>
      <c r="IDK55" s="4"/>
      <c r="IDL55" s="4"/>
      <c r="IDM55" s="4"/>
      <c r="IDN55" s="4"/>
      <c r="IDO55" s="4"/>
      <c r="IDP55" s="4"/>
      <c r="IDQ55" s="4"/>
      <c r="IDR55" s="4"/>
      <c r="IDS55" s="4"/>
      <c r="IDT55" s="4"/>
      <c r="IDU55" s="4"/>
      <c r="IDV55" s="4"/>
      <c r="IDW55" s="4"/>
      <c r="IDX55" s="4"/>
      <c r="IDY55" s="4"/>
      <c r="IDZ55" s="4"/>
      <c r="IEA55" s="4"/>
      <c r="IEB55" s="4"/>
      <c r="IEC55" s="4"/>
      <c r="IED55" s="4"/>
      <c r="IEE55" s="4"/>
      <c r="IEF55" s="4"/>
      <c r="IEG55" s="4"/>
      <c r="IEH55" s="4"/>
      <c r="IEI55" s="4"/>
      <c r="IEJ55" s="4"/>
      <c r="IEK55" s="4"/>
      <c r="IEL55" s="4"/>
      <c r="IEM55" s="4"/>
      <c r="IEN55" s="4"/>
      <c r="IEO55" s="4"/>
      <c r="IEP55" s="4"/>
      <c r="IEQ55" s="4"/>
      <c r="IER55" s="4"/>
      <c r="IES55" s="4"/>
      <c r="IET55" s="4"/>
      <c r="IEU55" s="4"/>
      <c r="IEV55" s="4"/>
      <c r="IEW55" s="4"/>
      <c r="IEX55" s="4"/>
      <c r="IEY55" s="4"/>
      <c r="IEZ55" s="4"/>
      <c r="IFA55" s="4"/>
      <c r="IFB55" s="4"/>
      <c r="IFC55" s="4"/>
      <c r="IFD55" s="4"/>
      <c r="IFE55" s="4"/>
      <c r="IFF55" s="4"/>
      <c r="IFG55" s="4"/>
      <c r="IFH55" s="4"/>
      <c r="IFI55" s="4"/>
      <c r="IFJ55" s="4"/>
      <c r="IFK55" s="4"/>
      <c r="IFL55" s="4"/>
      <c r="IFM55" s="4"/>
      <c r="IFN55" s="4"/>
      <c r="IFO55" s="4"/>
      <c r="IFP55" s="4"/>
      <c r="IFQ55" s="4"/>
      <c r="IFR55" s="4"/>
      <c r="IFS55" s="4"/>
      <c r="IFT55" s="4"/>
      <c r="IFU55" s="4"/>
      <c r="IFV55" s="4"/>
      <c r="IFW55" s="4"/>
      <c r="IFX55" s="4"/>
      <c r="IFY55" s="4"/>
      <c r="IFZ55" s="4"/>
      <c r="IGA55" s="4"/>
      <c r="IGB55" s="4"/>
      <c r="IGC55" s="4"/>
      <c r="IGD55" s="4"/>
      <c r="IGE55" s="4"/>
      <c r="IGF55" s="4"/>
      <c r="IGG55" s="4"/>
      <c r="IGH55" s="4"/>
      <c r="IGI55" s="4"/>
      <c r="IGJ55" s="4"/>
      <c r="IGK55" s="4"/>
      <c r="IGL55" s="4"/>
      <c r="IGM55" s="4"/>
      <c r="IGN55" s="4"/>
      <c r="IGO55" s="4"/>
      <c r="IGP55" s="4"/>
      <c r="IGQ55" s="4"/>
      <c r="IGR55" s="4"/>
      <c r="IGS55" s="4"/>
      <c r="IGT55" s="4"/>
      <c r="IGU55" s="4"/>
      <c r="IGV55" s="4"/>
      <c r="IGW55" s="4"/>
      <c r="IGX55" s="4"/>
      <c r="IGY55" s="4"/>
      <c r="IGZ55" s="4"/>
      <c r="IHA55" s="4"/>
      <c r="IHB55" s="4"/>
      <c r="IHC55" s="4"/>
      <c r="IHD55" s="4"/>
      <c r="IHE55" s="4"/>
      <c r="IHF55" s="4"/>
      <c r="IHG55" s="4"/>
      <c r="IHH55" s="4"/>
      <c r="IHI55" s="4"/>
      <c r="IHJ55" s="4"/>
      <c r="IHK55" s="4"/>
      <c r="IHL55" s="4"/>
      <c r="IHM55" s="4"/>
      <c r="IHN55" s="4"/>
      <c r="IHO55" s="4"/>
      <c r="IHP55" s="4"/>
      <c r="IHQ55" s="4"/>
      <c r="IHR55" s="4"/>
      <c r="IHS55" s="4"/>
      <c r="IHT55" s="4"/>
      <c r="IHU55" s="4"/>
      <c r="IHV55" s="4"/>
      <c r="IHW55" s="4"/>
      <c r="IHX55" s="4"/>
      <c r="IHY55" s="4"/>
      <c r="IHZ55" s="4"/>
      <c r="IIA55" s="4"/>
      <c r="IIB55" s="4"/>
      <c r="IIC55" s="4"/>
      <c r="IID55" s="4"/>
      <c r="IIE55" s="4"/>
      <c r="IIF55" s="4"/>
      <c r="IIG55" s="4"/>
      <c r="IIH55" s="4"/>
      <c r="III55" s="4"/>
      <c r="IIJ55" s="4"/>
      <c r="IIK55" s="4"/>
      <c r="IIL55" s="4"/>
      <c r="IIM55" s="4"/>
      <c r="IIN55" s="4"/>
      <c r="IIO55" s="4"/>
      <c r="IIP55" s="4"/>
      <c r="IIQ55" s="4"/>
      <c r="IIR55" s="4"/>
      <c r="IIS55" s="4"/>
      <c r="IIT55" s="4"/>
      <c r="IIU55" s="4"/>
      <c r="IIV55" s="4"/>
      <c r="IIW55" s="4"/>
      <c r="IIX55" s="4"/>
      <c r="IIY55" s="4"/>
      <c r="IIZ55" s="4"/>
      <c r="IJA55" s="4"/>
      <c r="IJB55" s="4"/>
      <c r="IJC55" s="4"/>
      <c r="IJD55" s="4"/>
      <c r="IJE55" s="4"/>
      <c r="IJF55" s="4"/>
      <c r="IJG55" s="4"/>
      <c r="IJH55" s="4"/>
      <c r="IJI55" s="4"/>
      <c r="IJJ55" s="4"/>
      <c r="IJK55" s="4"/>
      <c r="IJL55" s="4"/>
      <c r="IJM55" s="4"/>
      <c r="IJN55" s="4"/>
      <c r="IJO55" s="4"/>
      <c r="IJP55" s="4"/>
      <c r="IJQ55" s="4"/>
      <c r="IJR55" s="4"/>
      <c r="IJS55" s="4"/>
      <c r="IJT55" s="4"/>
      <c r="IJU55" s="4"/>
      <c r="IJV55" s="4"/>
      <c r="IJW55" s="4"/>
      <c r="IJX55" s="4"/>
      <c r="IJY55" s="4"/>
      <c r="IJZ55" s="4"/>
      <c r="IKA55" s="4"/>
      <c r="IKB55" s="4"/>
      <c r="IKC55" s="4"/>
      <c r="IKD55" s="4"/>
      <c r="IKE55" s="4"/>
      <c r="IKF55" s="4"/>
      <c r="IKG55" s="4"/>
      <c r="IKH55" s="4"/>
      <c r="IKI55" s="4"/>
      <c r="IKJ55" s="4"/>
      <c r="IKK55" s="4"/>
      <c r="IKL55" s="4"/>
      <c r="IKM55" s="4"/>
      <c r="IKN55" s="4"/>
      <c r="IKO55" s="4"/>
      <c r="IKP55" s="4"/>
      <c r="IKQ55" s="4"/>
      <c r="IKR55" s="4"/>
      <c r="IKS55" s="4"/>
      <c r="IKT55" s="4"/>
      <c r="IKU55" s="4"/>
      <c r="IKV55" s="4"/>
      <c r="IKW55" s="4"/>
      <c r="IKX55" s="4"/>
      <c r="IKY55" s="4"/>
      <c r="IKZ55" s="4"/>
      <c r="ILA55" s="4"/>
      <c r="ILB55" s="4"/>
      <c r="ILC55" s="4"/>
      <c r="ILD55" s="4"/>
      <c r="ILE55" s="4"/>
      <c r="ILF55" s="4"/>
      <c r="ILG55" s="4"/>
      <c r="ILH55" s="4"/>
      <c r="ILI55" s="4"/>
      <c r="ILJ55" s="4"/>
      <c r="ILK55" s="4"/>
      <c r="ILL55" s="4"/>
      <c r="ILM55" s="4"/>
      <c r="ILN55" s="4"/>
      <c r="ILO55" s="4"/>
      <c r="ILP55" s="4"/>
      <c r="ILQ55" s="4"/>
      <c r="ILR55" s="4"/>
      <c r="ILS55" s="4"/>
      <c r="ILT55" s="4"/>
      <c r="ILU55" s="4"/>
      <c r="ILV55" s="4"/>
      <c r="ILW55" s="4"/>
      <c r="ILX55" s="4"/>
      <c r="ILY55" s="4"/>
      <c r="ILZ55" s="4"/>
      <c r="IMA55" s="4"/>
      <c r="IMB55" s="4"/>
      <c r="IMC55" s="4"/>
      <c r="IMD55" s="4"/>
      <c r="IME55" s="4"/>
      <c r="IMF55" s="4"/>
      <c r="IMG55" s="4"/>
      <c r="IMH55" s="4"/>
      <c r="IMI55" s="4"/>
      <c r="IMJ55" s="4"/>
      <c r="IMK55" s="4"/>
      <c r="IML55" s="4"/>
      <c r="IMM55" s="4"/>
      <c r="IMN55" s="4"/>
      <c r="IMO55" s="4"/>
      <c r="IMP55" s="4"/>
      <c r="IMQ55" s="4"/>
      <c r="IMR55" s="4"/>
      <c r="IMS55" s="4"/>
      <c r="IMT55" s="4"/>
      <c r="IMU55" s="4"/>
      <c r="IMV55" s="4"/>
      <c r="IMW55" s="4"/>
      <c r="IMX55" s="4"/>
      <c r="IMY55" s="4"/>
      <c r="IMZ55" s="4"/>
      <c r="INA55" s="4"/>
      <c r="INB55" s="4"/>
      <c r="INC55" s="4"/>
      <c r="IND55" s="4"/>
      <c r="INE55" s="4"/>
      <c r="INF55" s="4"/>
      <c r="ING55" s="4"/>
      <c r="INH55" s="4"/>
      <c r="INI55" s="4"/>
      <c r="INJ55" s="4"/>
      <c r="INK55" s="4"/>
      <c r="INL55" s="4"/>
      <c r="INM55" s="4"/>
      <c r="INN55" s="4"/>
      <c r="INO55" s="4"/>
      <c r="INP55" s="4"/>
      <c r="INQ55" s="4"/>
      <c r="INR55" s="4"/>
      <c r="INS55" s="4"/>
      <c r="INT55" s="4"/>
      <c r="INU55" s="4"/>
      <c r="INV55" s="4"/>
      <c r="INW55" s="4"/>
      <c r="INX55" s="4"/>
      <c r="INY55" s="4"/>
      <c r="INZ55" s="4"/>
      <c r="IOA55" s="4"/>
      <c r="IOB55" s="4"/>
      <c r="IOC55" s="4"/>
      <c r="IOD55" s="4"/>
      <c r="IOE55" s="4"/>
      <c r="IOF55" s="4"/>
      <c r="IOG55" s="4"/>
      <c r="IOH55" s="4"/>
      <c r="IOI55" s="4"/>
      <c r="IOJ55" s="4"/>
      <c r="IOK55" s="4"/>
      <c r="IOL55" s="4"/>
      <c r="IOM55" s="4"/>
      <c r="ION55" s="4"/>
      <c r="IOO55" s="4"/>
      <c r="IOP55" s="4"/>
      <c r="IOQ55" s="4"/>
      <c r="IOR55" s="4"/>
      <c r="IOS55" s="4"/>
      <c r="IOT55" s="4"/>
      <c r="IOU55" s="4"/>
      <c r="IOV55" s="4"/>
      <c r="IOW55" s="4"/>
      <c r="IOX55" s="4"/>
      <c r="IOY55" s="4"/>
      <c r="IOZ55" s="4"/>
      <c r="IPA55" s="4"/>
      <c r="IPB55" s="4"/>
      <c r="IPC55" s="4"/>
      <c r="IPD55" s="4"/>
      <c r="IPE55" s="4"/>
      <c r="IPF55" s="4"/>
      <c r="IPG55" s="4"/>
      <c r="IPH55" s="4"/>
      <c r="IPI55" s="4"/>
      <c r="IPJ55" s="4"/>
      <c r="IPK55" s="4"/>
      <c r="IPL55" s="4"/>
      <c r="IPM55" s="4"/>
      <c r="IPN55" s="4"/>
      <c r="IPO55" s="4"/>
      <c r="IPP55" s="4"/>
      <c r="IPQ55" s="4"/>
      <c r="IPR55" s="4"/>
      <c r="IPS55" s="4"/>
      <c r="IPT55" s="4"/>
      <c r="IPU55" s="4"/>
      <c r="IPV55" s="4"/>
      <c r="IPW55" s="4"/>
      <c r="IPX55" s="4"/>
      <c r="IPY55" s="4"/>
      <c r="IPZ55" s="4"/>
      <c r="IQA55" s="4"/>
      <c r="IQB55" s="4"/>
      <c r="IQC55" s="4"/>
      <c r="IQD55" s="4"/>
      <c r="IQE55" s="4"/>
      <c r="IQF55" s="4"/>
      <c r="IQG55" s="4"/>
      <c r="IQH55" s="4"/>
      <c r="IQI55" s="4"/>
      <c r="IQJ55" s="4"/>
      <c r="IQK55" s="4"/>
      <c r="IQL55" s="4"/>
      <c r="IQM55" s="4"/>
      <c r="IQN55" s="4"/>
      <c r="IQO55" s="4"/>
      <c r="IQP55" s="4"/>
      <c r="IQQ55" s="4"/>
      <c r="IQR55" s="4"/>
      <c r="IQS55" s="4"/>
      <c r="IQT55" s="4"/>
      <c r="IQU55" s="4"/>
      <c r="IQV55" s="4"/>
      <c r="IQW55" s="4"/>
      <c r="IQX55" s="4"/>
      <c r="IQY55" s="4"/>
      <c r="IQZ55" s="4"/>
      <c r="IRA55" s="4"/>
      <c r="IRB55" s="4"/>
      <c r="IRC55" s="4"/>
      <c r="IRD55" s="4"/>
      <c r="IRE55" s="4"/>
      <c r="IRF55" s="4"/>
      <c r="IRG55" s="4"/>
      <c r="IRH55" s="4"/>
      <c r="IRI55" s="4"/>
      <c r="IRJ55" s="4"/>
      <c r="IRK55" s="4"/>
      <c r="IRL55" s="4"/>
      <c r="IRM55" s="4"/>
      <c r="IRN55" s="4"/>
      <c r="IRO55" s="4"/>
      <c r="IRP55" s="4"/>
      <c r="IRQ55" s="4"/>
      <c r="IRR55" s="4"/>
      <c r="IRS55" s="4"/>
      <c r="IRT55" s="4"/>
      <c r="IRU55" s="4"/>
      <c r="IRV55" s="4"/>
      <c r="IRW55" s="4"/>
      <c r="IRX55" s="4"/>
      <c r="IRY55" s="4"/>
      <c r="IRZ55" s="4"/>
      <c r="ISA55" s="4"/>
      <c r="ISB55" s="4"/>
      <c r="ISC55" s="4"/>
      <c r="ISD55" s="4"/>
      <c r="ISE55" s="4"/>
      <c r="ISF55" s="4"/>
      <c r="ISG55" s="4"/>
      <c r="ISH55" s="4"/>
      <c r="ISI55" s="4"/>
      <c r="ISJ55" s="4"/>
      <c r="ISK55" s="4"/>
      <c r="ISL55" s="4"/>
      <c r="ISM55" s="4"/>
      <c r="ISN55" s="4"/>
      <c r="ISO55" s="4"/>
      <c r="ISP55" s="4"/>
      <c r="ISQ55" s="4"/>
      <c r="ISR55" s="4"/>
      <c r="ISS55" s="4"/>
      <c r="IST55" s="4"/>
      <c r="ISU55" s="4"/>
      <c r="ISV55" s="4"/>
      <c r="ISW55" s="4"/>
      <c r="ISX55" s="4"/>
      <c r="ISY55" s="4"/>
      <c r="ISZ55" s="4"/>
      <c r="ITA55" s="4"/>
      <c r="ITB55" s="4"/>
      <c r="ITC55" s="4"/>
      <c r="ITD55" s="4"/>
      <c r="ITE55" s="4"/>
      <c r="ITF55" s="4"/>
      <c r="ITG55" s="4"/>
      <c r="ITH55" s="4"/>
      <c r="ITI55" s="4"/>
      <c r="ITJ55" s="4"/>
      <c r="ITK55" s="4"/>
      <c r="ITL55" s="4"/>
      <c r="ITM55" s="4"/>
      <c r="ITN55" s="4"/>
      <c r="ITO55" s="4"/>
      <c r="ITP55" s="4"/>
      <c r="ITQ55" s="4"/>
      <c r="ITR55" s="4"/>
      <c r="ITS55" s="4"/>
      <c r="ITT55" s="4"/>
      <c r="ITU55" s="4"/>
      <c r="ITV55" s="4"/>
      <c r="ITW55" s="4"/>
      <c r="ITX55" s="4"/>
      <c r="ITY55" s="4"/>
      <c r="ITZ55" s="4"/>
      <c r="IUA55" s="4"/>
      <c r="IUB55" s="4"/>
      <c r="IUC55" s="4"/>
      <c r="IUD55" s="4"/>
      <c r="IUE55" s="4"/>
      <c r="IUF55" s="4"/>
      <c r="IUG55" s="4"/>
      <c r="IUH55" s="4"/>
      <c r="IUI55" s="4"/>
      <c r="IUJ55" s="4"/>
      <c r="IUK55" s="4"/>
      <c r="IUL55" s="4"/>
      <c r="IUM55" s="4"/>
      <c r="IUN55" s="4"/>
      <c r="IUO55" s="4"/>
      <c r="IUP55" s="4"/>
      <c r="IUQ55" s="4"/>
      <c r="IUR55" s="4"/>
      <c r="IUS55" s="4"/>
      <c r="IUT55" s="4"/>
      <c r="IUU55" s="4"/>
      <c r="IUV55" s="4"/>
      <c r="IUW55" s="4"/>
      <c r="IUX55" s="4"/>
      <c r="IUY55" s="4"/>
      <c r="IUZ55" s="4"/>
      <c r="IVA55" s="4"/>
      <c r="IVB55" s="4"/>
      <c r="IVC55" s="4"/>
      <c r="IVD55" s="4"/>
      <c r="IVE55" s="4"/>
      <c r="IVF55" s="4"/>
      <c r="IVG55" s="4"/>
      <c r="IVH55" s="4"/>
      <c r="IVI55" s="4"/>
      <c r="IVJ55" s="4"/>
      <c r="IVK55" s="4"/>
      <c r="IVL55" s="4"/>
      <c r="IVM55" s="4"/>
      <c r="IVN55" s="4"/>
      <c r="IVO55" s="4"/>
      <c r="IVP55" s="4"/>
      <c r="IVQ55" s="4"/>
      <c r="IVR55" s="4"/>
      <c r="IVS55" s="4"/>
      <c r="IVT55" s="4"/>
      <c r="IVU55" s="4"/>
      <c r="IVV55" s="4"/>
      <c r="IVW55" s="4"/>
      <c r="IVX55" s="4"/>
      <c r="IVY55" s="4"/>
      <c r="IVZ55" s="4"/>
      <c r="IWA55" s="4"/>
      <c r="IWB55" s="4"/>
      <c r="IWC55" s="4"/>
      <c r="IWD55" s="4"/>
      <c r="IWE55" s="4"/>
      <c r="IWF55" s="4"/>
      <c r="IWG55" s="4"/>
      <c r="IWH55" s="4"/>
      <c r="IWI55" s="4"/>
      <c r="IWJ55" s="4"/>
      <c r="IWK55" s="4"/>
      <c r="IWL55" s="4"/>
      <c r="IWM55" s="4"/>
      <c r="IWN55" s="4"/>
      <c r="IWO55" s="4"/>
      <c r="IWP55" s="4"/>
      <c r="IWQ55" s="4"/>
      <c r="IWR55" s="4"/>
      <c r="IWS55" s="4"/>
      <c r="IWT55" s="4"/>
      <c r="IWU55" s="4"/>
      <c r="IWV55" s="4"/>
      <c r="IWW55" s="4"/>
      <c r="IWX55" s="4"/>
      <c r="IWY55" s="4"/>
      <c r="IWZ55" s="4"/>
      <c r="IXA55" s="4"/>
      <c r="IXB55" s="4"/>
      <c r="IXC55" s="4"/>
      <c r="IXD55" s="4"/>
      <c r="IXE55" s="4"/>
      <c r="IXF55" s="4"/>
      <c r="IXG55" s="4"/>
      <c r="IXH55" s="4"/>
      <c r="IXI55" s="4"/>
      <c r="IXJ55" s="4"/>
      <c r="IXK55" s="4"/>
      <c r="IXL55" s="4"/>
      <c r="IXM55" s="4"/>
      <c r="IXN55" s="4"/>
      <c r="IXO55" s="4"/>
      <c r="IXP55" s="4"/>
      <c r="IXQ55" s="4"/>
      <c r="IXR55" s="4"/>
      <c r="IXS55" s="4"/>
      <c r="IXT55" s="4"/>
      <c r="IXU55" s="4"/>
      <c r="IXV55" s="4"/>
      <c r="IXW55" s="4"/>
      <c r="IXX55" s="4"/>
      <c r="IXY55" s="4"/>
      <c r="IXZ55" s="4"/>
      <c r="IYA55" s="4"/>
      <c r="IYB55" s="4"/>
      <c r="IYC55" s="4"/>
      <c r="IYD55" s="4"/>
      <c r="IYE55" s="4"/>
      <c r="IYF55" s="4"/>
      <c r="IYG55" s="4"/>
      <c r="IYH55" s="4"/>
      <c r="IYI55" s="4"/>
      <c r="IYJ55" s="4"/>
      <c r="IYK55" s="4"/>
      <c r="IYL55" s="4"/>
      <c r="IYM55" s="4"/>
      <c r="IYN55" s="4"/>
      <c r="IYO55" s="4"/>
      <c r="IYP55" s="4"/>
      <c r="IYQ55" s="4"/>
      <c r="IYR55" s="4"/>
      <c r="IYS55" s="4"/>
      <c r="IYT55" s="4"/>
      <c r="IYU55" s="4"/>
      <c r="IYV55" s="4"/>
      <c r="IYW55" s="4"/>
      <c r="IYX55" s="4"/>
      <c r="IYY55" s="4"/>
      <c r="IYZ55" s="4"/>
      <c r="IZA55" s="4"/>
      <c r="IZB55" s="4"/>
      <c r="IZC55" s="4"/>
      <c r="IZD55" s="4"/>
      <c r="IZE55" s="4"/>
      <c r="IZF55" s="4"/>
      <c r="IZG55" s="4"/>
      <c r="IZH55" s="4"/>
      <c r="IZI55" s="4"/>
      <c r="IZJ55" s="4"/>
      <c r="IZK55" s="4"/>
      <c r="IZL55" s="4"/>
      <c r="IZM55" s="4"/>
      <c r="IZN55" s="4"/>
      <c r="IZO55" s="4"/>
      <c r="IZP55" s="4"/>
      <c r="IZQ55" s="4"/>
      <c r="IZR55" s="4"/>
      <c r="IZS55" s="4"/>
      <c r="IZT55" s="4"/>
      <c r="IZU55" s="4"/>
      <c r="IZV55" s="4"/>
      <c r="IZW55" s="4"/>
      <c r="IZX55" s="4"/>
      <c r="IZY55" s="4"/>
      <c r="IZZ55" s="4"/>
      <c r="JAA55" s="4"/>
      <c r="JAB55" s="4"/>
      <c r="JAC55" s="4"/>
      <c r="JAD55" s="4"/>
      <c r="JAE55" s="4"/>
      <c r="JAF55" s="4"/>
      <c r="JAG55" s="4"/>
      <c r="JAH55" s="4"/>
      <c r="JAI55" s="4"/>
      <c r="JAJ55" s="4"/>
      <c r="JAK55" s="4"/>
      <c r="JAL55" s="4"/>
      <c r="JAM55" s="4"/>
      <c r="JAN55" s="4"/>
      <c r="JAO55" s="4"/>
      <c r="JAP55" s="4"/>
      <c r="JAQ55" s="4"/>
      <c r="JAR55" s="4"/>
      <c r="JAS55" s="4"/>
      <c r="JAT55" s="4"/>
      <c r="JAU55" s="4"/>
      <c r="JAV55" s="4"/>
      <c r="JAW55" s="4"/>
      <c r="JAX55" s="4"/>
      <c r="JAY55" s="4"/>
      <c r="JAZ55" s="4"/>
      <c r="JBA55" s="4"/>
      <c r="JBB55" s="4"/>
      <c r="JBC55" s="4"/>
      <c r="JBD55" s="4"/>
      <c r="JBE55" s="4"/>
      <c r="JBF55" s="4"/>
      <c r="JBG55" s="4"/>
      <c r="JBH55" s="4"/>
      <c r="JBI55" s="4"/>
      <c r="JBJ55" s="4"/>
      <c r="JBK55" s="4"/>
      <c r="JBL55" s="4"/>
      <c r="JBM55" s="4"/>
      <c r="JBN55" s="4"/>
      <c r="JBO55" s="4"/>
      <c r="JBP55" s="4"/>
      <c r="JBQ55" s="4"/>
      <c r="JBR55" s="4"/>
      <c r="JBS55" s="4"/>
      <c r="JBT55" s="4"/>
      <c r="JBU55" s="4"/>
      <c r="JBV55" s="4"/>
      <c r="JBW55" s="4"/>
      <c r="JBX55" s="4"/>
      <c r="JBY55" s="4"/>
      <c r="JBZ55" s="4"/>
      <c r="JCA55" s="4"/>
      <c r="JCB55" s="4"/>
      <c r="JCC55" s="4"/>
      <c r="JCD55" s="4"/>
      <c r="JCE55" s="4"/>
      <c r="JCF55" s="4"/>
      <c r="JCG55" s="4"/>
      <c r="JCH55" s="4"/>
      <c r="JCI55" s="4"/>
      <c r="JCJ55" s="4"/>
      <c r="JCK55" s="4"/>
      <c r="JCL55" s="4"/>
      <c r="JCM55" s="4"/>
      <c r="JCN55" s="4"/>
      <c r="JCO55" s="4"/>
      <c r="JCP55" s="4"/>
      <c r="JCQ55" s="4"/>
      <c r="JCR55" s="4"/>
      <c r="JCS55" s="4"/>
      <c r="JCT55" s="4"/>
      <c r="JCU55" s="4"/>
      <c r="JCV55" s="4"/>
      <c r="JCW55" s="4"/>
      <c r="JCX55" s="4"/>
      <c r="JCY55" s="4"/>
      <c r="JCZ55" s="4"/>
      <c r="JDA55" s="4"/>
      <c r="JDB55" s="4"/>
      <c r="JDC55" s="4"/>
      <c r="JDD55" s="4"/>
      <c r="JDE55" s="4"/>
      <c r="JDF55" s="4"/>
      <c r="JDG55" s="4"/>
      <c r="JDH55" s="4"/>
      <c r="JDI55" s="4"/>
      <c r="JDJ55" s="4"/>
      <c r="JDK55" s="4"/>
      <c r="JDL55" s="4"/>
      <c r="JDM55" s="4"/>
      <c r="JDN55" s="4"/>
      <c r="JDO55" s="4"/>
      <c r="JDP55" s="4"/>
      <c r="JDQ55" s="4"/>
      <c r="JDR55" s="4"/>
      <c r="JDS55" s="4"/>
      <c r="JDT55" s="4"/>
      <c r="JDU55" s="4"/>
      <c r="JDV55" s="4"/>
      <c r="JDW55" s="4"/>
      <c r="JDX55" s="4"/>
      <c r="JDY55" s="4"/>
      <c r="JDZ55" s="4"/>
      <c r="JEA55" s="4"/>
      <c r="JEB55" s="4"/>
      <c r="JEC55" s="4"/>
      <c r="JED55" s="4"/>
      <c r="JEE55" s="4"/>
      <c r="JEF55" s="4"/>
      <c r="JEG55" s="4"/>
      <c r="JEH55" s="4"/>
      <c r="JEI55" s="4"/>
      <c r="JEJ55" s="4"/>
      <c r="JEK55" s="4"/>
      <c r="JEL55" s="4"/>
      <c r="JEM55" s="4"/>
      <c r="JEN55" s="4"/>
      <c r="JEO55" s="4"/>
      <c r="JEP55" s="4"/>
      <c r="JEQ55" s="4"/>
      <c r="JER55" s="4"/>
      <c r="JES55" s="4"/>
      <c r="JET55" s="4"/>
      <c r="JEU55" s="4"/>
      <c r="JEV55" s="4"/>
      <c r="JEW55" s="4"/>
      <c r="JEX55" s="4"/>
      <c r="JEY55" s="4"/>
      <c r="JEZ55" s="4"/>
      <c r="JFA55" s="4"/>
      <c r="JFB55" s="4"/>
      <c r="JFC55" s="4"/>
      <c r="JFD55" s="4"/>
      <c r="JFE55" s="4"/>
      <c r="JFF55" s="4"/>
      <c r="JFG55" s="4"/>
      <c r="JFH55" s="4"/>
      <c r="JFI55" s="4"/>
      <c r="JFJ55" s="4"/>
      <c r="JFK55" s="4"/>
      <c r="JFL55" s="4"/>
      <c r="JFM55" s="4"/>
      <c r="JFN55" s="4"/>
      <c r="JFO55" s="4"/>
      <c r="JFP55" s="4"/>
      <c r="JFQ55" s="4"/>
      <c r="JFR55" s="4"/>
      <c r="JFS55" s="4"/>
      <c r="JFT55" s="4"/>
      <c r="JFU55" s="4"/>
      <c r="JFV55" s="4"/>
      <c r="JFW55" s="4"/>
      <c r="JFX55" s="4"/>
      <c r="JFY55" s="4"/>
      <c r="JFZ55" s="4"/>
      <c r="JGA55" s="4"/>
      <c r="JGB55" s="4"/>
      <c r="JGC55" s="4"/>
      <c r="JGD55" s="4"/>
      <c r="JGE55" s="4"/>
      <c r="JGF55" s="4"/>
      <c r="JGG55" s="4"/>
      <c r="JGH55" s="4"/>
      <c r="JGI55" s="4"/>
      <c r="JGJ55" s="4"/>
      <c r="JGK55" s="4"/>
      <c r="JGL55" s="4"/>
      <c r="JGM55" s="4"/>
      <c r="JGN55" s="4"/>
      <c r="JGO55" s="4"/>
      <c r="JGP55" s="4"/>
      <c r="JGQ55" s="4"/>
      <c r="JGR55" s="4"/>
      <c r="JGS55" s="4"/>
      <c r="JGT55" s="4"/>
      <c r="JGU55" s="4"/>
      <c r="JGV55" s="4"/>
      <c r="JGW55" s="4"/>
      <c r="JGX55" s="4"/>
      <c r="JGY55" s="4"/>
      <c r="JGZ55" s="4"/>
      <c r="JHA55" s="4"/>
      <c r="JHB55" s="4"/>
      <c r="JHC55" s="4"/>
      <c r="JHD55" s="4"/>
      <c r="JHE55" s="4"/>
      <c r="JHF55" s="4"/>
      <c r="JHG55" s="4"/>
      <c r="JHH55" s="4"/>
      <c r="JHI55" s="4"/>
      <c r="JHJ55" s="4"/>
      <c r="JHK55" s="4"/>
      <c r="JHL55" s="4"/>
      <c r="JHM55" s="4"/>
      <c r="JHN55" s="4"/>
      <c r="JHO55" s="4"/>
      <c r="JHP55" s="4"/>
      <c r="JHQ55" s="4"/>
      <c r="JHR55" s="4"/>
      <c r="JHS55" s="4"/>
      <c r="JHT55" s="4"/>
      <c r="JHU55" s="4"/>
      <c r="JHV55" s="4"/>
      <c r="JHW55" s="4"/>
      <c r="JHX55" s="4"/>
      <c r="JHY55" s="4"/>
      <c r="JHZ55" s="4"/>
      <c r="JIA55" s="4"/>
      <c r="JIB55" s="4"/>
      <c r="JIC55" s="4"/>
      <c r="JID55" s="4"/>
      <c r="JIE55" s="4"/>
      <c r="JIF55" s="4"/>
      <c r="JIG55" s="4"/>
      <c r="JIH55" s="4"/>
      <c r="JII55" s="4"/>
      <c r="JIJ55" s="4"/>
      <c r="JIK55" s="4"/>
      <c r="JIL55" s="4"/>
      <c r="JIM55" s="4"/>
      <c r="JIN55" s="4"/>
      <c r="JIO55" s="4"/>
      <c r="JIP55" s="4"/>
      <c r="JIQ55" s="4"/>
      <c r="JIR55" s="4"/>
      <c r="JIS55" s="4"/>
      <c r="JIT55" s="4"/>
      <c r="JIU55" s="4"/>
      <c r="JIV55" s="4"/>
      <c r="JIW55" s="4"/>
      <c r="JIX55" s="4"/>
      <c r="JIY55" s="4"/>
      <c r="JIZ55" s="4"/>
      <c r="JJA55" s="4"/>
      <c r="JJB55" s="4"/>
      <c r="JJC55" s="4"/>
      <c r="JJD55" s="4"/>
      <c r="JJE55" s="4"/>
      <c r="JJF55" s="4"/>
      <c r="JJG55" s="4"/>
      <c r="JJH55" s="4"/>
      <c r="JJI55" s="4"/>
      <c r="JJJ55" s="4"/>
      <c r="JJK55" s="4"/>
      <c r="JJL55" s="4"/>
      <c r="JJM55" s="4"/>
      <c r="JJN55" s="4"/>
      <c r="JJO55" s="4"/>
      <c r="JJP55" s="4"/>
      <c r="JJQ55" s="4"/>
      <c r="JJR55" s="4"/>
      <c r="JJS55" s="4"/>
      <c r="JJT55" s="4"/>
      <c r="JJU55" s="4"/>
      <c r="JJV55" s="4"/>
      <c r="JJW55" s="4"/>
      <c r="JJX55" s="4"/>
      <c r="JJY55" s="4"/>
      <c r="JJZ55" s="4"/>
      <c r="JKA55" s="4"/>
      <c r="JKB55" s="4"/>
      <c r="JKC55" s="4"/>
      <c r="JKD55" s="4"/>
      <c r="JKE55" s="4"/>
      <c r="JKF55" s="4"/>
      <c r="JKG55" s="4"/>
      <c r="JKH55" s="4"/>
      <c r="JKI55" s="4"/>
      <c r="JKJ55" s="4"/>
      <c r="JKK55" s="4"/>
      <c r="JKL55" s="4"/>
      <c r="JKM55" s="4"/>
      <c r="JKN55" s="4"/>
      <c r="JKO55" s="4"/>
      <c r="JKP55" s="4"/>
      <c r="JKQ55" s="4"/>
      <c r="JKR55" s="4"/>
      <c r="JKS55" s="4"/>
      <c r="JKT55" s="4"/>
      <c r="JKU55" s="4"/>
      <c r="JKV55" s="4"/>
      <c r="JKW55" s="4"/>
      <c r="JKX55" s="4"/>
      <c r="JKY55" s="4"/>
      <c r="JKZ55" s="4"/>
      <c r="JLA55" s="4"/>
      <c r="JLB55" s="4"/>
      <c r="JLC55" s="4"/>
      <c r="JLD55" s="4"/>
      <c r="JLE55" s="4"/>
      <c r="JLF55" s="4"/>
      <c r="JLG55" s="4"/>
      <c r="JLH55" s="4"/>
      <c r="JLI55" s="4"/>
      <c r="JLJ55" s="4"/>
      <c r="JLK55" s="4"/>
      <c r="JLL55" s="4"/>
      <c r="JLM55" s="4"/>
      <c r="JLN55" s="4"/>
      <c r="JLO55" s="4"/>
      <c r="JLP55" s="4"/>
      <c r="JLQ55" s="4"/>
      <c r="JLR55" s="4"/>
      <c r="JLS55" s="4"/>
      <c r="JLT55" s="4"/>
      <c r="JLU55" s="4"/>
      <c r="JLV55" s="4"/>
      <c r="JLW55" s="4"/>
      <c r="JLX55" s="4"/>
      <c r="JLY55" s="4"/>
      <c r="JLZ55" s="4"/>
      <c r="JMA55" s="4"/>
      <c r="JMB55" s="4"/>
      <c r="JMC55" s="4"/>
      <c r="JMD55" s="4"/>
      <c r="JME55" s="4"/>
      <c r="JMF55" s="4"/>
      <c r="JMG55" s="4"/>
      <c r="JMH55" s="4"/>
      <c r="JMI55" s="4"/>
      <c r="JMJ55" s="4"/>
      <c r="JMK55" s="4"/>
      <c r="JML55" s="4"/>
      <c r="JMM55" s="4"/>
      <c r="JMN55" s="4"/>
      <c r="JMO55" s="4"/>
      <c r="JMP55" s="4"/>
      <c r="JMQ55" s="4"/>
      <c r="JMR55" s="4"/>
      <c r="JMS55" s="4"/>
      <c r="JMT55" s="4"/>
      <c r="JMU55" s="4"/>
      <c r="JMV55" s="4"/>
      <c r="JMW55" s="4"/>
      <c r="JMX55" s="4"/>
      <c r="JMY55" s="4"/>
      <c r="JMZ55" s="4"/>
      <c r="JNA55" s="4"/>
      <c r="JNB55" s="4"/>
      <c r="JNC55" s="4"/>
      <c r="JND55" s="4"/>
      <c r="JNE55" s="4"/>
      <c r="JNF55" s="4"/>
      <c r="JNG55" s="4"/>
      <c r="JNH55" s="4"/>
      <c r="JNI55" s="4"/>
      <c r="JNJ55" s="4"/>
      <c r="JNK55" s="4"/>
      <c r="JNL55" s="4"/>
      <c r="JNM55" s="4"/>
      <c r="JNN55" s="4"/>
      <c r="JNO55" s="4"/>
      <c r="JNP55" s="4"/>
      <c r="JNQ55" s="4"/>
      <c r="JNR55" s="4"/>
      <c r="JNS55" s="4"/>
      <c r="JNT55" s="4"/>
      <c r="JNU55" s="4"/>
      <c r="JNV55" s="4"/>
      <c r="JNW55" s="4"/>
      <c r="JNX55" s="4"/>
      <c r="JNY55" s="4"/>
      <c r="JNZ55" s="4"/>
      <c r="JOA55" s="4"/>
      <c r="JOB55" s="4"/>
      <c r="JOC55" s="4"/>
      <c r="JOD55" s="4"/>
      <c r="JOE55" s="4"/>
      <c r="JOF55" s="4"/>
      <c r="JOG55" s="4"/>
      <c r="JOH55" s="4"/>
      <c r="JOI55" s="4"/>
      <c r="JOJ55" s="4"/>
      <c r="JOK55" s="4"/>
      <c r="JOL55" s="4"/>
      <c r="JOM55" s="4"/>
      <c r="JON55" s="4"/>
      <c r="JOO55" s="4"/>
      <c r="JOP55" s="4"/>
      <c r="JOQ55" s="4"/>
      <c r="JOR55" s="4"/>
      <c r="JOS55" s="4"/>
      <c r="JOT55" s="4"/>
      <c r="JOU55" s="4"/>
      <c r="JOV55" s="4"/>
      <c r="JOW55" s="4"/>
      <c r="JOX55" s="4"/>
      <c r="JOY55" s="4"/>
      <c r="JOZ55" s="4"/>
      <c r="JPA55" s="4"/>
      <c r="JPB55" s="4"/>
      <c r="JPC55" s="4"/>
      <c r="JPD55" s="4"/>
      <c r="JPE55" s="4"/>
      <c r="JPF55" s="4"/>
      <c r="JPG55" s="4"/>
      <c r="JPH55" s="4"/>
      <c r="JPI55" s="4"/>
      <c r="JPJ55" s="4"/>
      <c r="JPK55" s="4"/>
      <c r="JPL55" s="4"/>
      <c r="JPM55" s="4"/>
      <c r="JPN55" s="4"/>
      <c r="JPO55" s="4"/>
      <c r="JPP55" s="4"/>
      <c r="JPQ55" s="4"/>
      <c r="JPR55" s="4"/>
      <c r="JPS55" s="4"/>
      <c r="JPT55" s="4"/>
      <c r="JPU55" s="4"/>
      <c r="JPV55" s="4"/>
      <c r="JPW55" s="4"/>
      <c r="JPX55" s="4"/>
      <c r="JPY55" s="4"/>
      <c r="JPZ55" s="4"/>
      <c r="JQA55" s="4"/>
      <c r="JQB55" s="4"/>
      <c r="JQC55" s="4"/>
      <c r="JQD55" s="4"/>
      <c r="JQE55" s="4"/>
      <c r="JQF55" s="4"/>
      <c r="JQG55" s="4"/>
      <c r="JQH55" s="4"/>
      <c r="JQI55" s="4"/>
      <c r="JQJ55" s="4"/>
      <c r="JQK55" s="4"/>
      <c r="JQL55" s="4"/>
      <c r="JQM55" s="4"/>
      <c r="JQN55" s="4"/>
      <c r="JQO55" s="4"/>
      <c r="JQP55" s="4"/>
      <c r="JQQ55" s="4"/>
      <c r="JQR55" s="4"/>
      <c r="JQS55" s="4"/>
      <c r="JQT55" s="4"/>
      <c r="JQU55" s="4"/>
      <c r="JQV55" s="4"/>
      <c r="JQW55" s="4"/>
      <c r="JQX55" s="4"/>
      <c r="JQY55" s="4"/>
      <c r="JQZ55" s="4"/>
      <c r="JRA55" s="4"/>
      <c r="JRB55" s="4"/>
      <c r="JRC55" s="4"/>
      <c r="JRD55" s="4"/>
      <c r="JRE55" s="4"/>
      <c r="JRF55" s="4"/>
      <c r="JRG55" s="4"/>
      <c r="JRH55" s="4"/>
      <c r="JRI55" s="4"/>
      <c r="JRJ55" s="4"/>
      <c r="JRK55" s="4"/>
      <c r="JRL55" s="4"/>
      <c r="JRM55" s="4"/>
      <c r="JRN55" s="4"/>
      <c r="JRO55" s="4"/>
      <c r="JRP55" s="4"/>
      <c r="JRQ55" s="4"/>
      <c r="JRR55" s="4"/>
      <c r="JRS55" s="4"/>
      <c r="JRT55" s="4"/>
      <c r="JRU55" s="4"/>
      <c r="JRV55" s="4"/>
      <c r="JRW55" s="4"/>
      <c r="JRX55" s="4"/>
      <c r="JRY55" s="4"/>
      <c r="JRZ55" s="4"/>
      <c r="JSA55" s="4"/>
      <c r="JSB55" s="4"/>
      <c r="JSC55" s="4"/>
      <c r="JSD55" s="4"/>
      <c r="JSE55" s="4"/>
      <c r="JSF55" s="4"/>
      <c r="JSG55" s="4"/>
      <c r="JSH55" s="4"/>
      <c r="JSI55" s="4"/>
      <c r="JSJ55" s="4"/>
      <c r="JSK55" s="4"/>
      <c r="JSL55" s="4"/>
      <c r="JSM55" s="4"/>
      <c r="JSN55" s="4"/>
      <c r="JSO55" s="4"/>
      <c r="JSP55" s="4"/>
      <c r="JSQ55" s="4"/>
      <c r="JSR55" s="4"/>
      <c r="JSS55" s="4"/>
      <c r="JST55" s="4"/>
      <c r="JSU55" s="4"/>
      <c r="JSV55" s="4"/>
      <c r="JSW55" s="4"/>
      <c r="JSX55" s="4"/>
      <c r="JSY55" s="4"/>
      <c r="JSZ55" s="4"/>
      <c r="JTA55" s="4"/>
      <c r="JTB55" s="4"/>
      <c r="JTC55" s="4"/>
      <c r="JTD55" s="4"/>
      <c r="JTE55" s="4"/>
      <c r="JTF55" s="4"/>
      <c r="JTG55" s="4"/>
      <c r="JTH55" s="4"/>
      <c r="JTI55" s="4"/>
      <c r="JTJ55" s="4"/>
      <c r="JTK55" s="4"/>
      <c r="JTL55" s="4"/>
      <c r="JTM55" s="4"/>
      <c r="JTN55" s="4"/>
      <c r="JTO55" s="4"/>
      <c r="JTP55" s="4"/>
      <c r="JTQ55" s="4"/>
      <c r="JTR55" s="4"/>
      <c r="JTS55" s="4"/>
      <c r="JTT55" s="4"/>
      <c r="JTU55" s="4"/>
      <c r="JTV55" s="4"/>
      <c r="JTW55" s="4"/>
      <c r="JTX55" s="4"/>
      <c r="JTY55" s="4"/>
      <c r="JTZ55" s="4"/>
      <c r="JUA55" s="4"/>
      <c r="JUB55" s="4"/>
      <c r="JUC55" s="4"/>
      <c r="JUD55" s="4"/>
      <c r="JUE55" s="4"/>
      <c r="JUF55" s="4"/>
      <c r="JUG55" s="4"/>
      <c r="JUH55" s="4"/>
      <c r="JUI55" s="4"/>
      <c r="JUJ55" s="4"/>
      <c r="JUK55" s="4"/>
      <c r="JUL55" s="4"/>
      <c r="JUM55" s="4"/>
      <c r="JUN55" s="4"/>
      <c r="JUO55" s="4"/>
      <c r="JUP55" s="4"/>
      <c r="JUQ55" s="4"/>
      <c r="JUR55" s="4"/>
      <c r="JUS55" s="4"/>
      <c r="JUT55" s="4"/>
      <c r="JUU55" s="4"/>
      <c r="JUV55" s="4"/>
      <c r="JUW55" s="4"/>
      <c r="JUX55" s="4"/>
      <c r="JUY55" s="4"/>
      <c r="JUZ55" s="4"/>
      <c r="JVA55" s="4"/>
      <c r="JVB55" s="4"/>
      <c r="JVC55" s="4"/>
      <c r="JVD55" s="4"/>
      <c r="JVE55" s="4"/>
      <c r="JVF55" s="4"/>
      <c r="JVG55" s="4"/>
      <c r="JVH55" s="4"/>
      <c r="JVI55" s="4"/>
      <c r="JVJ55" s="4"/>
      <c r="JVK55" s="4"/>
      <c r="JVL55" s="4"/>
      <c r="JVM55" s="4"/>
      <c r="JVN55" s="4"/>
      <c r="JVO55" s="4"/>
      <c r="JVP55" s="4"/>
      <c r="JVQ55" s="4"/>
      <c r="JVR55" s="4"/>
      <c r="JVS55" s="4"/>
      <c r="JVT55" s="4"/>
      <c r="JVU55" s="4"/>
      <c r="JVV55" s="4"/>
      <c r="JVW55" s="4"/>
      <c r="JVX55" s="4"/>
      <c r="JVY55" s="4"/>
      <c r="JVZ55" s="4"/>
      <c r="JWA55" s="4"/>
      <c r="JWB55" s="4"/>
      <c r="JWC55" s="4"/>
      <c r="JWD55" s="4"/>
      <c r="JWE55" s="4"/>
      <c r="JWF55" s="4"/>
      <c r="JWG55" s="4"/>
      <c r="JWH55" s="4"/>
      <c r="JWI55" s="4"/>
      <c r="JWJ55" s="4"/>
      <c r="JWK55" s="4"/>
      <c r="JWL55" s="4"/>
      <c r="JWM55" s="4"/>
      <c r="JWN55" s="4"/>
      <c r="JWO55" s="4"/>
      <c r="JWP55" s="4"/>
      <c r="JWQ55" s="4"/>
      <c r="JWR55" s="4"/>
      <c r="JWS55" s="4"/>
      <c r="JWT55" s="4"/>
      <c r="JWU55" s="4"/>
      <c r="JWV55" s="4"/>
      <c r="JWW55" s="4"/>
      <c r="JWX55" s="4"/>
      <c r="JWY55" s="4"/>
      <c r="JWZ55" s="4"/>
      <c r="JXA55" s="4"/>
      <c r="JXB55" s="4"/>
      <c r="JXC55" s="4"/>
      <c r="JXD55" s="4"/>
      <c r="JXE55" s="4"/>
      <c r="JXF55" s="4"/>
      <c r="JXG55" s="4"/>
      <c r="JXH55" s="4"/>
      <c r="JXI55" s="4"/>
      <c r="JXJ55" s="4"/>
      <c r="JXK55" s="4"/>
      <c r="JXL55" s="4"/>
      <c r="JXM55" s="4"/>
      <c r="JXN55" s="4"/>
      <c r="JXO55" s="4"/>
      <c r="JXP55" s="4"/>
      <c r="JXQ55" s="4"/>
      <c r="JXR55" s="4"/>
      <c r="JXS55" s="4"/>
      <c r="JXT55" s="4"/>
      <c r="JXU55" s="4"/>
      <c r="JXV55" s="4"/>
      <c r="JXW55" s="4"/>
      <c r="JXX55" s="4"/>
      <c r="JXY55" s="4"/>
      <c r="JXZ55" s="4"/>
      <c r="JYA55" s="4"/>
      <c r="JYB55" s="4"/>
      <c r="JYC55" s="4"/>
      <c r="JYD55" s="4"/>
      <c r="JYE55" s="4"/>
      <c r="JYF55" s="4"/>
      <c r="JYG55" s="4"/>
      <c r="JYH55" s="4"/>
      <c r="JYI55" s="4"/>
      <c r="JYJ55" s="4"/>
      <c r="JYK55" s="4"/>
      <c r="JYL55" s="4"/>
      <c r="JYM55" s="4"/>
      <c r="JYN55" s="4"/>
      <c r="JYO55" s="4"/>
      <c r="JYP55" s="4"/>
      <c r="JYQ55" s="4"/>
      <c r="JYR55" s="4"/>
      <c r="JYS55" s="4"/>
      <c r="JYT55" s="4"/>
      <c r="JYU55" s="4"/>
      <c r="JYV55" s="4"/>
      <c r="JYW55" s="4"/>
      <c r="JYX55" s="4"/>
      <c r="JYY55" s="4"/>
      <c r="JYZ55" s="4"/>
      <c r="JZA55" s="4"/>
      <c r="JZB55" s="4"/>
      <c r="JZC55" s="4"/>
      <c r="JZD55" s="4"/>
      <c r="JZE55" s="4"/>
      <c r="JZF55" s="4"/>
      <c r="JZG55" s="4"/>
      <c r="JZH55" s="4"/>
      <c r="JZI55" s="4"/>
      <c r="JZJ55" s="4"/>
      <c r="JZK55" s="4"/>
      <c r="JZL55" s="4"/>
      <c r="JZM55" s="4"/>
      <c r="JZN55" s="4"/>
      <c r="JZO55" s="4"/>
      <c r="JZP55" s="4"/>
      <c r="JZQ55" s="4"/>
      <c r="JZR55" s="4"/>
      <c r="JZS55" s="4"/>
      <c r="JZT55" s="4"/>
      <c r="JZU55" s="4"/>
      <c r="JZV55" s="4"/>
      <c r="JZW55" s="4"/>
      <c r="JZX55" s="4"/>
      <c r="JZY55" s="4"/>
      <c r="JZZ55" s="4"/>
      <c r="KAA55" s="4"/>
      <c r="KAB55" s="4"/>
      <c r="KAC55" s="4"/>
      <c r="KAD55" s="4"/>
      <c r="KAE55" s="4"/>
      <c r="KAF55" s="4"/>
      <c r="KAG55" s="4"/>
      <c r="KAH55" s="4"/>
      <c r="KAI55" s="4"/>
      <c r="KAJ55" s="4"/>
      <c r="KAK55" s="4"/>
      <c r="KAL55" s="4"/>
      <c r="KAM55" s="4"/>
      <c r="KAN55" s="4"/>
      <c r="KAO55" s="4"/>
      <c r="KAP55" s="4"/>
      <c r="KAQ55" s="4"/>
      <c r="KAR55" s="4"/>
      <c r="KAS55" s="4"/>
      <c r="KAT55" s="4"/>
      <c r="KAU55" s="4"/>
      <c r="KAV55" s="4"/>
      <c r="KAW55" s="4"/>
      <c r="KAX55" s="4"/>
      <c r="KAY55" s="4"/>
      <c r="KAZ55" s="4"/>
      <c r="KBA55" s="4"/>
      <c r="KBB55" s="4"/>
      <c r="KBC55" s="4"/>
      <c r="KBD55" s="4"/>
      <c r="KBE55" s="4"/>
      <c r="KBF55" s="4"/>
      <c r="KBG55" s="4"/>
      <c r="KBH55" s="4"/>
      <c r="KBI55" s="4"/>
      <c r="KBJ55" s="4"/>
      <c r="KBK55" s="4"/>
      <c r="KBL55" s="4"/>
      <c r="KBM55" s="4"/>
      <c r="KBN55" s="4"/>
      <c r="KBO55" s="4"/>
      <c r="KBP55" s="4"/>
      <c r="KBQ55" s="4"/>
      <c r="KBR55" s="4"/>
      <c r="KBS55" s="4"/>
      <c r="KBT55" s="4"/>
      <c r="KBU55" s="4"/>
      <c r="KBV55" s="4"/>
      <c r="KBW55" s="4"/>
      <c r="KBX55" s="4"/>
      <c r="KBY55" s="4"/>
      <c r="KBZ55" s="4"/>
      <c r="KCA55" s="4"/>
      <c r="KCB55" s="4"/>
      <c r="KCC55" s="4"/>
      <c r="KCD55" s="4"/>
      <c r="KCE55" s="4"/>
      <c r="KCF55" s="4"/>
      <c r="KCG55" s="4"/>
      <c r="KCH55" s="4"/>
      <c r="KCI55" s="4"/>
      <c r="KCJ55" s="4"/>
      <c r="KCK55" s="4"/>
      <c r="KCL55" s="4"/>
      <c r="KCM55" s="4"/>
      <c r="KCN55" s="4"/>
      <c r="KCO55" s="4"/>
      <c r="KCP55" s="4"/>
      <c r="KCQ55" s="4"/>
      <c r="KCR55" s="4"/>
      <c r="KCS55" s="4"/>
      <c r="KCT55" s="4"/>
      <c r="KCU55" s="4"/>
      <c r="KCV55" s="4"/>
      <c r="KCW55" s="4"/>
      <c r="KCX55" s="4"/>
      <c r="KCY55" s="4"/>
      <c r="KCZ55" s="4"/>
      <c r="KDA55" s="4"/>
      <c r="KDB55" s="4"/>
      <c r="KDC55" s="4"/>
      <c r="KDD55" s="4"/>
      <c r="KDE55" s="4"/>
      <c r="KDF55" s="4"/>
      <c r="KDG55" s="4"/>
      <c r="KDH55" s="4"/>
      <c r="KDI55" s="4"/>
      <c r="KDJ55" s="4"/>
      <c r="KDK55" s="4"/>
      <c r="KDL55" s="4"/>
      <c r="KDM55" s="4"/>
      <c r="KDN55" s="4"/>
      <c r="KDO55" s="4"/>
      <c r="KDP55" s="4"/>
      <c r="KDQ55" s="4"/>
      <c r="KDR55" s="4"/>
      <c r="KDS55" s="4"/>
      <c r="KDT55" s="4"/>
      <c r="KDU55" s="4"/>
      <c r="KDV55" s="4"/>
      <c r="KDW55" s="4"/>
      <c r="KDX55" s="4"/>
      <c r="KDY55" s="4"/>
      <c r="KDZ55" s="4"/>
      <c r="KEA55" s="4"/>
      <c r="KEB55" s="4"/>
      <c r="KEC55" s="4"/>
      <c r="KED55" s="4"/>
      <c r="KEE55" s="4"/>
      <c r="KEF55" s="4"/>
      <c r="KEG55" s="4"/>
      <c r="KEH55" s="4"/>
      <c r="KEI55" s="4"/>
      <c r="KEJ55" s="4"/>
      <c r="KEK55" s="4"/>
      <c r="KEL55" s="4"/>
      <c r="KEM55" s="4"/>
      <c r="KEN55" s="4"/>
      <c r="KEO55" s="4"/>
      <c r="KEP55" s="4"/>
      <c r="KEQ55" s="4"/>
      <c r="KER55" s="4"/>
      <c r="KES55" s="4"/>
      <c r="KET55" s="4"/>
      <c r="KEU55" s="4"/>
      <c r="KEV55" s="4"/>
      <c r="KEW55" s="4"/>
      <c r="KEX55" s="4"/>
      <c r="KEY55" s="4"/>
      <c r="KEZ55" s="4"/>
      <c r="KFA55" s="4"/>
      <c r="KFB55" s="4"/>
      <c r="KFC55" s="4"/>
      <c r="KFD55" s="4"/>
      <c r="KFE55" s="4"/>
      <c r="KFF55" s="4"/>
      <c r="KFG55" s="4"/>
      <c r="KFH55" s="4"/>
      <c r="KFI55" s="4"/>
      <c r="KFJ55" s="4"/>
      <c r="KFK55" s="4"/>
      <c r="KFL55" s="4"/>
      <c r="KFM55" s="4"/>
      <c r="KFN55" s="4"/>
      <c r="KFO55" s="4"/>
      <c r="KFP55" s="4"/>
      <c r="KFQ55" s="4"/>
      <c r="KFR55" s="4"/>
      <c r="KFS55" s="4"/>
      <c r="KFT55" s="4"/>
      <c r="KFU55" s="4"/>
      <c r="KFV55" s="4"/>
      <c r="KFW55" s="4"/>
      <c r="KFX55" s="4"/>
      <c r="KFY55" s="4"/>
      <c r="KFZ55" s="4"/>
      <c r="KGA55" s="4"/>
      <c r="KGB55" s="4"/>
      <c r="KGC55" s="4"/>
      <c r="KGD55" s="4"/>
      <c r="KGE55" s="4"/>
      <c r="KGF55" s="4"/>
      <c r="KGG55" s="4"/>
      <c r="KGH55" s="4"/>
      <c r="KGI55" s="4"/>
      <c r="KGJ55" s="4"/>
      <c r="KGK55" s="4"/>
      <c r="KGL55" s="4"/>
      <c r="KGM55" s="4"/>
      <c r="KGN55" s="4"/>
      <c r="KGO55" s="4"/>
      <c r="KGP55" s="4"/>
      <c r="KGQ55" s="4"/>
      <c r="KGR55" s="4"/>
      <c r="KGS55" s="4"/>
      <c r="KGT55" s="4"/>
      <c r="KGU55" s="4"/>
      <c r="KGV55" s="4"/>
      <c r="KGW55" s="4"/>
      <c r="KGX55" s="4"/>
      <c r="KGY55" s="4"/>
      <c r="KGZ55" s="4"/>
      <c r="KHA55" s="4"/>
      <c r="KHB55" s="4"/>
      <c r="KHC55" s="4"/>
      <c r="KHD55" s="4"/>
      <c r="KHE55" s="4"/>
      <c r="KHF55" s="4"/>
      <c r="KHG55" s="4"/>
      <c r="KHH55" s="4"/>
      <c r="KHI55" s="4"/>
      <c r="KHJ55" s="4"/>
      <c r="KHK55" s="4"/>
      <c r="KHL55" s="4"/>
      <c r="KHM55" s="4"/>
      <c r="KHN55" s="4"/>
      <c r="KHO55" s="4"/>
      <c r="KHP55" s="4"/>
      <c r="KHQ55" s="4"/>
      <c r="KHR55" s="4"/>
      <c r="KHS55" s="4"/>
      <c r="KHT55" s="4"/>
      <c r="KHU55" s="4"/>
      <c r="KHV55" s="4"/>
      <c r="KHW55" s="4"/>
      <c r="KHX55" s="4"/>
      <c r="KHY55" s="4"/>
      <c r="KHZ55" s="4"/>
      <c r="KIA55" s="4"/>
      <c r="KIB55" s="4"/>
      <c r="KIC55" s="4"/>
      <c r="KID55" s="4"/>
      <c r="KIE55" s="4"/>
      <c r="KIF55" s="4"/>
      <c r="KIG55" s="4"/>
      <c r="KIH55" s="4"/>
      <c r="KII55" s="4"/>
      <c r="KIJ55" s="4"/>
      <c r="KIK55" s="4"/>
      <c r="KIL55" s="4"/>
      <c r="KIM55" s="4"/>
      <c r="KIN55" s="4"/>
      <c r="KIO55" s="4"/>
      <c r="KIP55" s="4"/>
      <c r="KIQ55" s="4"/>
      <c r="KIR55" s="4"/>
      <c r="KIS55" s="4"/>
      <c r="KIT55" s="4"/>
      <c r="KIU55" s="4"/>
      <c r="KIV55" s="4"/>
      <c r="KIW55" s="4"/>
      <c r="KIX55" s="4"/>
      <c r="KIY55" s="4"/>
      <c r="KIZ55" s="4"/>
      <c r="KJA55" s="4"/>
      <c r="KJB55" s="4"/>
      <c r="KJC55" s="4"/>
      <c r="KJD55" s="4"/>
      <c r="KJE55" s="4"/>
      <c r="KJF55" s="4"/>
      <c r="KJG55" s="4"/>
      <c r="KJH55" s="4"/>
      <c r="KJI55" s="4"/>
      <c r="KJJ55" s="4"/>
      <c r="KJK55" s="4"/>
      <c r="KJL55" s="4"/>
      <c r="KJM55" s="4"/>
      <c r="KJN55" s="4"/>
      <c r="KJO55" s="4"/>
      <c r="KJP55" s="4"/>
      <c r="KJQ55" s="4"/>
      <c r="KJR55" s="4"/>
      <c r="KJS55" s="4"/>
      <c r="KJT55" s="4"/>
      <c r="KJU55" s="4"/>
      <c r="KJV55" s="4"/>
      <c r="KJW55" s="4"/>
      <c r="KJX55" s="4"/>
      <c r="KJY55" s="4"/>
      <c r="KJZ55" s="4"/>
      <c r="KKA55" s="4"/>
      <c r="KKB55" s="4"/>
      <c r="KKC55" s="4"/>
      <c r="KKD55" s="4"/>
      <c r="KKE55" s="4"/>
      <c r="KKF55" s="4"/>
      <c r="KKG55" s="4"/>
      <c r="KKH55" s="4"/>
      <c r="KKI55" s="4"/>
      <c r="KKJ55" s="4"/>
      <c r="KKK55" s="4"/>
      <c r="KKL55" s="4"/>
      <c r="KKM55" s="4"/>
      <c r="KKN55" s="4"/>
      <c r="KKO55" s="4"/>
      <c r="KKP55" s="4"/>
      <c r="KKQ55" s="4"/>
      <c r="KKR55" s="4"/>
      <c r="KKS55" s="4"/>
      <c r="KKT55" s="4"/>
      <c r="KKU55" s="4"/>
      <c r="KKV55" s="4"/>
      <c r="KKW55" s="4"/>
      <c r="KKX55" s="4"/>
      <c r="KKY55" s="4"/>
      <c r="KKZ55" s="4"/>
      <c r="KLA55" s="4"/>
      <c r="KLB55" s="4"/>
      <c r="KLC55" s="4"/>
      <c r="KLD55" s="4"/>
      <c r="KLE55" s="4"/>
      <c r="KLF55" s="4"/>
      <c r="KLG55" s="4"/>
      <c r="KLH55" s="4"/>
      <c r="KLI55" s="4"/>
      <c r="KLJ55" s="4"/>
      <c r="KLK55" s="4"/>
      <c r="KLL55" s="4"/>
      <c r="KLM55" s="4"/>
      <c r="KLN55" s="4"/>
      <c r="KLO55" s="4"/>
      <c r="KLP55" s="4"/>
      <c r="KLQ55" s="4"/>
      <c r="KLR55" s="4"/>
      <c r="KLS55" s="4"/>
      <c r="KLT55" s="4"/>
      <c r="KLU55" s="4"/>
      <c r="KLV55" s="4"/>
      <c r="KLW55" s="4"/>
      <c r="KLX55" s="4"/>
      <c r="KLY55" s="4"/>
      <c r="KLZ55" s="4"/>
      <c r="KMA55" s="4"/>
      <c r="KMB55" s="4"/>
      <c r="KMC55" s="4"/>
      <c r="KMD55" s="4"/>
      <c r="KME55" s="4"/>
      <c r="KMF55" s="4"/>
      <c r="KMG55" s="4"/>
      <c r="KMH55" s="4"/>
      <c r="KMI55" s="4"/>
      <c r="KMJ55" s="4"/>
      <c r="KMK55" s="4"/>
      <c r="KML55" s="4"/>
      <c r="KMM55" s="4"/>
      <c r="KMN55" s="4"/>
      <c r="KMO55" s="4"/>
      <c r="KMP55" s="4"/>
      <c r="KMQ55" s="4"/>
      <c r="KMR55" s="4"/>
      <c r="KMS55" s="4"/>
      <c r="KMT55" s="4"/>
      <c r="KMU55" s="4"/>
      <c r="KMV55" s="4"/>
      <c r="KMW55" s="4"/>
      <c r="KMX55" s="4"/>
      <c r="KMY55" s="4"/>
      <c r="KMZ55" s="4"/>
      <c r="KNA55" s="4"/>
      <c r="KNB55" s="4"/>
      <c r="KNC55" s="4"/>
      <c r="KND55" s="4"/>
      <c r="KNE55" s="4"/>
      <c r="KNF55" s="4"/>
      <c r="KNG55" s="4"/>
      <c r="KNH55" s="4"/>
      <c r="KNI55" s="4"/>
      <c r="KNJ55" s="4"/>
      <c r="KNK55" s="4"/>
      <c r="KNL55" s="4"/>
      <c r="KNM55" s="4"/>
      <c r="KNN55" s="4"/>
      <c r="KNO55" s="4"/>
      <c r="KNP55" s="4"/>
      <c r="KNQ55" s="4"/>
      <c r="KNR55" s="4"/>
      <c r="KNS55" s="4"/>
      <c r="KNT55" s="4"/>
      <c r="KNU55" s="4"/>
      <c r="KNV55" s="4"/>
      <c r="KNW55" s="4"/>
      <c r="KNX55" s="4"/>
      <c r="KNY55" s="4"/>
      <c r="KNZ55" s="4"/>
      <c r="KOA55" s="4"/>
      <c r="KOB55" s="4"/>
      <c r="KOC55" s="4"/>
      <c r="KOD55" s="4"/>
      <c r="KOE55" s="4"/>
      <c r="KOF55" s="4"/>
      <c r="KOG55" s="4"/>
      <c r="KOH55" s="4"/>
      <c r="KOI55" s="4"/>
      <c r="KOJ55" s="4"/>
      <c r="KOK55" s="4"/>
      <c r="KOL55" s="4"/>
      <c r="KOM55" s="4"/>
      <c r="KON55" s="4"/>
      <c r="KOO55" s="4"/>
      <c r="KOP55" s="4"/>
      <c r="KOQ55" s="4"/>
      <c r="KOR55" s="4"/>
      <c r="KOS55" s="4"/>
      <c r="KOT55" s="4"/>
      <c r="KOU55" s="4"/>
      <c r="KOV55" s="4"/>
      <c r="KOW55" s="4"/>
      <c r="KOX55" s="4"/>
      <c r="KOY55" s="4"/>
      <c r="KOZ55" s="4"/>
      <c r="KPA55" s="4"/>
      <c r="KPB55" s="4"/>
      <c r="KPC55" s="4"/>
      <c r="KPD55" s="4"/>
      <c r="KPE55" s="4"/>
      <c r="KPF55" s="4"/>
      <c r="KPG55" s="4"/>
      <c r="KPH55" s="4"/>
      <c r="KPI55" s="4"/>
      <c r="KPJ55" s="4"/>
      <c r="KPK55" s="4"/>
      <c r="KPL55" s="4"/>
      <c r="KPM55" s="4"/>
      <c r="KPN55" s="4"/>
      <c r="KPO55" s="4"/>
      <c r="KPP55" s="4"/>
      <c r="KPQ55" s="4"/>
      <c r="KPR55" s="4"/>
      <c r="KPS55" s="4"/>
      <c r="KPT55" s="4"/>
      <c r="KPU55" s="4"/>
      <c r="KPV55" s="4"/>
      <c r="KPW55" s="4"/>
      <c r="KPX55" s="4"/>
      <c r="KPY55" s="4"/>
      <c r="KPZ55" s="4"/>
      <c r="KQA55" s="4"/>
      <c r="KQB55" s="4"/>
      <c r="KQC55" s="4"/>
      <c r="KQD55" s="4"/>
      <c r="KQE55" s="4"/>
      <c r="KQF55" s="4"/>
      <c r="KQG55" s="4"/>
      <c r="KQH55" s="4"/>
      <c r="KQI55" s="4"/>
      <c r="KQJ55" s="4"/>
      <c r="KQK55" s="4"/>
      <c r="KQL55" s="4"/>
      <c r="KQM55" s="4"/>
      <c r="KQN55" s="4"/>
      <c r="KQO55" s="4"/>
      <c r="KQP55" s="4"/>
      <c r="KQQ55" s="4"/>
      <c r="KQR55" s="4"/>
      <c r="KQS55" s="4"/>
      <c r="KQT55" s="4"/>
      <c r="KQU55" s="4"/>
      <c r="KQV55" s="4"/>
      <c r="KQW55" s="4"/>
      <c r="KQX55" s="4"/>
      <c r="KQY55" s="4"/>
      <c r="KQZ55" s="4"/>
      <c r="KRA55" s="4"/>
      <c r="KRB55" s="4"/>
      <c r="KRC55" s="4"/>
      <c r="KRD55" s="4"/>
      <c r="KRE55" s="4"/>
      <c r="KRF55" s="4"/>
      <c r="KRG55" s="4"/>
      <c r="KRH55" s="4"/>
      <c r="KRI55" s="4"/>
      <c r="KRJ55" s="4"/>
      <c r="KRK55" s="4"/>
      <c r="KRL55" s="4"/>
      <c r="KRM55" s="4"/>
      <c r="KRN55" s="4"/>
      <c r="KRO55" s="4"/>
      <c r="KRP55" s="4"/>
      <c r="KRQ55" s="4"/>
      <c r="KRR55" s="4"/>
      <c r="KRS55" s="4"/>
      <c r="KRT55" s="4"/>
      <c r="KRU55" s="4"/>
      <c r="KRV55" s="4"/>
      <c r="KRW55" s="4"/>
      <c r="KRX55" s="4"/>
      <c r="KRY55" s="4"/>
      <c r="KRZ55" s="4"/>
      <c r="KSA55" s="4"/>
      <c r="KSB55" s="4"/>
      <c r="KSC55" s="4"/>
      <c r="KSD55" s="4"/>
      <c r="KSE55" s="4"/>
      <c r="KSF55" s="4"/>
      <c r="KSG55" s="4"/>
      <c r="KSH55" s="4"/>
      <c r="KSI55" s="4"/>
      <c r="KSJ55" s="4"/>
      <c r="KSK55" s="4"/>
      <c r="KSL55" s="4"/>
      <c r="KSM55" s="4"/>
      <c r="KSN55" s="4"/>
      <c r="KSO55" s="4"/>
      <c r="KSP55" s="4"/>
      <c r="KSQ55" s="4"/>
      <c r="KSR55" s="4"/>
      <c r="KSS55" s="4"/>
      <c r="KST55" s="4"/>
      <c r="KSU55" s="4"/>
      <c r="KSV55" s="4"/>
      <c r="KSW55" s="4"/>
      <c r="KSX55" s="4"/>
      <c r="KSY55" s="4"/>
      <c r="KSZ55" s="4"/>
      <c r="KTA55" s="4"/>
      <c r="KTB55" s="4"/>
      <c r="KTC55" s="4"/>
      <c r="KTD55" s="4"/>
      <c r="KTE55" s="4"/>
      <c r="KTF55" s="4"/>
      <c r="KTG55" s="4"/>
      <c r="KTH55" s="4"/>
      <c r="KTI55" s="4"/>
      <c r="KTJ55" s="4"/>
      <c r="KTK55" s="4"/>
      <c r="KTL55" s="4"/>
      <c r="KTM55" s="4"/>
      <c r="KTN55" s="4"/>
      <c r="KTO55" s="4"/>
      <c r="KTP55" s="4"/>
      <c r="KTQ55" s="4"/>
      <c r="KTR55" s="4"/>
      <c r="KTS55" s="4"/>
      <c r="KTT55" s="4"/>
      <c r="KTU55" s="4"/>
      <c r="KTV55" s="4"/>
      <c r="KTW55" s="4"/>
      <c r="KTX55" s="4"/>
      <c r="KTY55" s="4"/>
      <c r="KTZ55" s="4"/>
      <c r="KUA55" s="4"/>
      <c r="KUB55" s="4"/>
      <c r="KUC55" s="4"/>
      <c r="KUD55" s="4"/>
      <c r="KUE55" s="4"/>
      <c r="KUF55" s="4"/>
      <c r="KUG55" s="4"/>
      <c r="KUH55" s="4"/>
      <c r="KUI55" s="4"/>
      <c r="KUJ55" s="4"/>
      <c r="KUK55" s="4"/>
      <c r="KUL55" s="4"/>
      <c r="KUM55" s="4"/>
      <c r="KUN55" s="4"/>
      <c r="KUO55" s="4"/>
      <c r="KUP55" s="4"/>
      <c r="KUQ55" s="4"/>
      <c r="KUR55" s="4"/>
      <c r="KUS55" s="4"/>
      <c r="KUT55" s="4"/>
      <c r="KUU55" s="4"/>
      <c r="KUV55" s="4"/>
      <c r="KUW55" s="4"/>
      <c r="KUX55" s="4"/>
      <c r="KUY55" s="4"/>
      <c r="KUZ55" s="4"/>
      <c r="KVA55" s="4"/>
      <c r="KVB55" s="4"/>
      <c r="KVC55" s="4"/>
      <c r="KVD55" s="4"/>
      <c r="KVE55" s="4"/>
      <c r="KVF55" s="4"/>
      <c r="KVG55" s="4"/>
      <c r="KVH55" s="4"/>
      <c r="KVI55" s="4"/>
      <c r="KVJ55" s="4"/>
      <c r="KVK55" s="4"/>
      <c r="KVL55" s="4"/>
      <c r="KVM55" s="4"/>
      <c r="KVN55" s="4"/>
      <c r="KVO55" s="4"/>
      <c r="KVP55" s="4"/>
      <c r="KVQ55" s="4"/>
      <c r="KVR55" s="4"/>
      <c r="KVS55" s="4"/>
      <c r="KVT55" s="4"/>
      <c r="KVU55" s="4"/>
      <c r="KVV55" s="4"/>
      <c r="KVW55" s="4"/>
      <c r="KVX55" s="4"/>
      <c r="KVY55" s="4"/>
      <c r="KVZ55" s="4"/>
      <c r="KWA55" s="4"/>
      <c r="KWB55" s="4"/>
      <c r="KWC55" s="4"/>
      <c r="KWD55" s="4"/>
      <c r="KWE55" s="4"/>
      <c r="KWF55" s="4"/>
      <c r="KWG55" s="4"/>
      <c r="KWH55" s="4"/>
      <c r="KWI55" s="4"/>
      <c r="KWJ55" s="4"/>
      <c r="KWK55" s="4"/>
      <c r="KWL55" s="4"/>
      <c r="KWM55" s="4"/>
      <c r="KWN55" s="4"/>
      <c r="KWO55" s="4"/>
      <c r="KWP55" s="4"/>
      <c r="KWQ55" s="4"/>
      <c r="KWR55" s="4"/>
      <c r="KWS55" s="4"/>
      <c r="KWT55" s="4"/>
      <c r="KWU55" s="4"/>
      <c r="KWV55" s="4"/>
      <c r="KWW55" s="4"/>
      <c r="KWX55" s="4"/>
      <c r="KWY55" s="4"/>
      <c r="KWZ55" s="4"/>
      <c r="KXA55" s="4"/>
      <c r="KXB55" s="4"/>
      <c r="KXC55" s="4"/>
      <c r="KXD55" s="4"/>
      <c r="KXE55" s="4"/>
      <c r="KXF55" s="4"/>
      <c r="KXG55" s="4"/>
      <c r="KXH55" s="4"/>
      <c r="KXI55" s="4"/>
      <c r="KXJ55" s="4"/>
      <c r="KXK55" s="4"/>
      <c r="KXL55" s="4"/>
      <c r="KXM55" s="4"/>
      <c r="KXN55" s="4"/>
      <c r="KXO55" s="4"/>
      <c r="KXP55" s="4"/>
      <c r="KXQ55" s="4"/>
      <c r="KXR55" s="4"/>
      <c r="KXS55" s="4"/>
      <c r="KXT55" s="4"/>
      <c r="KXU55" s="4"/>
      <c r="KXV55" s="4"/>
      <c r="KXW55" s="4"/>
      <c r="KXX55" s="4"/>
      <c r="KXY55" s="4"/>
      <c r="KXZ55" s="4"/>
      <c r="KYA55" s="4"/>
      <c r="KYB55" s="4"/>
      <c r="KYC55" s="4"/>
      <c r="KYD55" s="4"/>
      <c r="KYE55" s="4"/>
      <c r="KYF55" s="4"/>
      <c r="KYG55" s="4"/>
      <c r="KYH55" s="4"/>
      <c r="KYI55" s="4"/>
      <c r="KYJ55" s="4"/>
      <c r="KYK55" s="4"/>
      <c r="KYL55" s="4"/>
      <c r="KYM55" s="4"/>
      <c r="KYN55" s="4"/>
      <c r="KYO55" s="4"/>
      <c r="KYP55" s="4"/>
      <c r="KYQ55" s="4"/>
      <c r="KYR55" s="4"/>
      <c r="KYS55" s="4"/>
      <c r="KYT55" s="4"/>
      <c r="KYU55" s="4"/>
      <c r="KYV55" s="4"/>
      <c r="KYW55" s="4"/>
      <c r="KYX55" s="4"/>
      <c r="KYY55" s="4"/>
      <c r="KYZ55" s="4"/>
      <c r="KZA55" s="4"/>
      <c r="KZB55" s="4"/>
      <c r="KZC55" s="4"/>
      <c r="KZD55" s="4"/>
      <c r="KZE55" s="4"/>
      <c r="KZF55" s="4"/>
      <c r="KZG55" s="4"/>
      <c r="KZH55" s="4"/>
      <c r="KZI55" s="4"/>
      <c r="KZJ55" s="4"/>
      <c r="KZK55" s="4"/>
      <c r="KZL55" s="4"/>
      <c r="KZM55" s="4"/>
      <c r="KZN55" s="4"/>
      <c r="KZO55" s="4"/>
      <c r="KZP55" s="4"/>
      <c r="KZQ55" s="4"/>
      <c r="KZR55" s="4"/>
      <c r="KZS55" s="4"/>
      <c r="KZT55" s="4"/>
      <c r="KZU55" s="4"/>
      <c r="KZV55" s="4"/>
      <c r="KZW55" s="4"/>
      <c r="KZX55" s="4"/>
      <c r="KZY55" s="4"/>
      <c r="KZZ55" s="4"/>
      <c r="LAA55" s="4"/>
      <c r="LAB55" s="4"/>
      <c r="LAC55" s="4"/>
      <c r="LAD55" s="4"/>
      <c r="LAE55" s="4"/>
      <c r="LAF55" s="4"/>
      <c r="LAG55" s="4"/>
      <c r="LAH55" s="4"/>
      <c r="LAI55" s="4"/>
      <c r="LAJ55" s="4"/>
      <c r="LAK55" s="4"/>
      <c r="LAL55" s="4"/>
      <c r="LAM55" s="4"/>
      <c r="LAN55" s="4"/>
      <c r="LAO55" s="4"/>
      <c r="LAP55" s="4"/>
      <c r="LAQ55" s="4"/>
      <c r="LAR55" s="4"/>
      <c r="LAS55" s="4"/>
      <c r="LAT55" s="4"/>
      <c r="LAU55" s="4"/>
      <c r="LAV55" s="4"/>
      <c r="LAW55" s="4"/>
      <c r="LAX55" s="4"/>
      <c r="LAY55" s="4"/>
      <c r="LAZ55" s="4"/>
      <c r="LBA55" s="4"/>
      <c r="LBB55" s="4"/>
      <c r="LBC55" s="4"/>
      <c r="LBD55" s="4"/>
      <c r="LBE55" s="4"/>
      <c r="LBF55" s="4"/>
      <c r="LBG55" s="4"/>
      <c r="LBH55" s="4"/>
      <c r="LBI55" s="4"/>
      <c r="LBJ55" s="4"/>
      <c r="LBK55" s="4"/>
      <c r="LBL55" s="4"/>
      <c r="LBM55" s="4"/>
      <c r="LBN55" s="4"/>
      <c r="LBO55" s="4"/>
      <c r="LBP55" s="4"/>
      <c r="LBQ55" s="4"/>
      <c r="LBR55" s="4"/>
      <c r="LBS55" s="4"/>
      <c r="LBT55" s="4"/>
      <c r="LBU55" s="4"/>
      <c r="LBV55" s="4"/>
      <c r="LBW55" s="4"/>
      <c r="LBX55" s="4"/>
      <c r="LBY55" s="4"/>
      <c r="LBZ55" s="4"/>
      <c r="LCA55" s="4"/>
      <c r="LCB55" s="4"/>
      <c r="LCC55" s="4"/>
      <c r="LCD55" s="4"/>
      <c r="LCE55" s="4"/>
      <c r="LCF55" s="4"/>
      <c r="LCG55" s="4"/>
      <c r="LCH55" s="4"/>
      <c r="LCI55" s="4"/>
      <c r="LCJ55" s="4"/>
      <c r="LCK55" s="4"/>
      <c r="LCL55" s="4"/>
      <c r="LCM55" s="4"/>
      <c r="LCN55" s="4"/>
      <c r="LCO55" s="4"/>
      <c r="LCP55" s="4"/>
      <c r="LCQ55" s="4"/>
      <c r="LCR55" s="4"/>
      <c r="LCS55" s="4"/>
      <c r="LCT55" s="4"/>
      <c r="LCU55" s="4"/>
      <c r="LCV55" s="4"/>
      <c r="LCW55" s="4"/>
      <c r="LCX55" s="4"/>
      <c r="LCY55" s="4"/>
      <c r="LCZ55" s="4"/>
      <c r="LDA55" s="4"/>
      <c r="LDB55" s="4"/>
      <c r="LDC55" s="4"/>
      <c r="LDD55" s="4"/>
      <c r="LDE55" s="4"/>
      <c r="LDF55" s="4"/>
      <c r="LDG55" s="4"/>
      <c r="LDH55" s="4"/>
      <c r="LDI55" s="4"/>
      <c r="LDJ55" s="4"/>
      <c r="LDK55" s="4"/>
      <c r="LDL55" s="4"/>
      <c r="LDM55" s="4"/>
      <c r="LDN55" s="4"/>
      <c r="LDO55" s="4"/>
      <c r="LDP55" s="4"/>
      <c r="LDQ55" s="4"/>
      <c r="LDR55" s="4"/>
      <c r="LDS55" s="4"/>
      <c r="LDT55" s="4"/>
      <c r="LDU55" s="4"/>
      <c r="LDV55" s="4"/>
      <c r="LDW55" s="4"/>
      <c r="LDX55" s="4"/>
      <c r="LDY55" s="4"/>
      <c r="LDZ55" s="4"/>
      <c r="LEA55" s="4"/>
      <c r="LEB55" s="4"/>
      <c r="LEC55" s="4"/>
      <c r="LED55" s="4"/>
      <c r="LEE55" s="4"/>
      <c r="LEF55" s="4"/>
      <c r="LEG55" s="4"/>
      <c r="LEH55" s="4"/>
      <c r="LEI55" s="4"/>
      <c r="LEJ55" s="4"/>
      <c r="LEK55" s="4"/>
      <c r="LEL55" s="4"/>
      <c r="LEM55" s="4"/>
      <c r="LEN55" s="4"/>
      <c r="LEO55" s="4"/>
      <c r="LEP55" s="4"/>
      <c r="LEQ55" s="4"/>
      <c r="LER55" s="4"/>
      <c r="LES55" s="4"/>
      <c r="LET55" s="4"/>
      <c r="LEU55" s="4"/>
      <c r="LEV55" s="4"/>
      <c r="LEW55" s="4"/>
      <c r="LEX55" s="4"/>
      <c r="LEY55" s="4"/>
      <c r="LEZ55" s="4"/>
      <c r="LFA55" s="4"/>
      <c r="LFB55" s="4"/>
      <c r="LFC55" s="4"/>
      <c r="LFD55" s="4"/>
      <c r="LFE55" s="4"/>
      <c r="LFF55" s="4"/>
      <c r="LFG55" s="4"/>
      <c r="LFH55" s="4"/>
      <c r="LFI55" s="4"/>
      <c r="LFJ55" s="4"/>
      <c r="LFK55" s="4"/>
      <c r="LFL55" s="4"/>
      <c r="LFM55" s="4"/>
      <c r="LFN55" s="4"/>
      <c r="LFO55" s="4"/>
      <c r="LFP55" s="4"/>
      <c r="LFQ55" s="4"/>
      <c r="LFR55" s="4"/>
      <c r="LFS55" s="4"/>
      <c r="LFT55" s="4"/>
      <c r="LFU55" s="4"/>
      <c r="LFV55" s="4"/>
      <c r="LFW55" s="4"/>
      <c r="LFX55" s="4"/>
      <c r="LFY55" s="4"/>
      <c r="LFZ55" s="4"/>
      <c r="LGA55" s="4"/>
      <c r="LGB55" s="4"/>
      <c r="LGC55" s="4"/>
      <c r="LGD55" s="4"/>
      <c r="LGE55" s="4"/>
      <c r="LGF55" s="4"/>
      <c r="LGG55" s="4"/>
      <c r="LGH55" s="4"/>
      <c r="LGI55" s="4"/>
      <c r="LGJ55" s="4"/>
      <c r="LGK55" s="4"/>
      <c r="LGL55" s="4"/>
      <c r="LGM55" s="4"/>
      <c r="LGN55" s="4"/>
      <c r="LGO55" s="4"/>
      <c r="LGP55" s="4"/>
      <c r="LGQ55" s="4"/>
      <c r="LGR55" s="4"/>
      <c r="LGS55" s="4"/>
      <c r="LGT55" s="4"/>
      <c r="LGU55" s="4"/>
      <c r="LGV55" s="4"/>
      <c r="LGW55" s="4"/>
      <c r="LGX55" s="4"/>
      <c r="LGY55" s="4"/>
      <c r="LGZ55" s="4"/>
      <c r="LHA55" s="4"/>
      <c r="LHB55" s="4"/>
      <c r="LHC55" s="4"/>
      <c r="LHD55" s="4"/>
      <c r="LHE55" s="4"/>
      <c r="LHF55" s="4"/>
      <c r="LHG55" s="4"/>
      <c r="LHH55" s="4"/>
      <c r="LHI55" s="4"/>
      <c r="LHJ55" s="4"/>
      <c r="LHK55" s="4"/>
      <c r="LHL55" s="4"/>
      <c r="LHM55" s="4"/>
      <c r="LHN55" s="4"/>
      <c r="LHO55" s="4"/>
      <c r="LHP55" s="4"/>
      <c r="LHQ55" s="4"/>
      <c r="LHR55" s="4"/>
      <c r="LHS55" s="4"/>
      <c r="LHT55" s="4"/>
      <c r="LHU55" s="4"/>
      <c r="LHV55" s="4"/>
      <c r="LHW55" s="4"/>
      <c r="LHX55" s="4"/>
      <c r="LHY55" s="4"/>
      <c r="LHZ55" s="4"/>
      <c r="LIA55" s="4"/>
      <c r="LIB55" s="4"/>
      <c r="LIC55" s="4"/>
      <c r="LID55" s="4"/>
      <c r="LIE55" s="4"/>
      <c r="LIF55" s="4"/>
      <c r="LIG55" s="4"/>
      <c r="LIH55" s="4"/>
      <c r="LII55" s="4"/>
      <c r="LIJ55" s="4"/>
      <c r="LIK55" s="4"/>
      <c r="LIL55" s="4"/>
      <c r="LIM55" s="4"/>
      <c r="LIN55" s="4"/>
      <c r="LIO55" s="4"/>
      <c r="LIP55" s="4"/>
      <c r="LIQ55" s="4"/>
      <c r="LIR55" s="4"/>
      <c r="LIS55" s="4"/>
      <c r="LIT55" s="4"/>
      <c r="LIU55" s="4"/>
      <c r="LIV55" s="4"/>
      <c r="LIW55" s="4"/>
      <c r="LIX55" s="4"/>
      <c r="LIY55" s="4"/>
      <c r="LIZ55" s="4"/>
      <c r="LJA55" s="4"/>
      <c r="LJB55" s="4"/>
      <c r="LJC55" s="4"/>
      <c r="LJD55" s="4"/>
      <c r="LJE55" s="4"/>
      <c r="LJF55" s="4"/>
      <c r="LJG55" s="4"/>
      <c r="LJH55" s="4"/>
      <c r="LJI55" s="4"/>
      <c r="LJJ55" s="4"/>
      <c r="LJK55" s="4"/>
      <c r="LJL55" s="4"/>
      <c r="LJM55" s="4"/>
      <c r="LJN55" s="4"/>
      <c r="LJO55" s="4"/>
      <c r="LJP55" s="4"/>
      <c r="LJQ55" s="4"/>
      <c r="LJR55" s="4"/>
      <c r="LJS55" s="4"/>
      <c r="LJT55" s="4"/>
      <c r="LJU55" s="4"/>
      <c r="LJV55" s="4"/>
      <c r="LJW55" s="4"/>
      <c r="LJX55" s="4"/>
      <c r="LJY55" s="4"/>
      <c r="LJZ55" s="4"/>
      <c r="LKA55" s="4"/>
      <c r="LKB55" s="4"/>
      <c r="LKC55" s="4"/>
      <c r="LKD55" s="4"/>
      <c r="LKE55" s="4"/>
      <c r="LKF55" s="4"/>
      <c r="LKG55" s="4"/>
      <c r="LKH55" s="4"/>
      <c r="LKI55" s="4"/>
      <c r="LKJ55" s="4"/>
      <c r="LKK55" s="4"/>
      <c r="LKL55" s="4"/>
      <c r="LKM55" s="4"/>
      <c r="LKN55" s="4"/>
      <c r="LKO55" s="4"/>
      <c r="LKP55" s="4"/>
      <c r="LKQ55" s="4"/>
      <c r="LKR55" s="4"/>
      <c r="LKS55" s="4"/>
      <c r="LKT55" s="4"/>
      <c r="LKU55" s="4"/>
      <c r="LKV55" s="4"/>
      <c r="LKW55" s="4"/>
      <c r="LKX55" s="4"/>
      <c r="LKY55" s="4"/>
      <c r="LKZ55" s="4"/>
      <c r="LLA55" s="4"/>
      <c r="LLB55" s="4"/>
      <c r="LLC55" s="4"/>
      <c r="LLD55" s="4"/>
      <c r="LLE55" s="4"/>
      <c r="LLF55" s="4"/>
      <c r="LLG55" s="4"/>
      <c r="LLH55" s="4"/>
      <c r="LLI55" s="4"/>
      <c r="LLJ55" s="4"/>
      <c r="LLK55" s="4"/>
      <c r="LLL55" s="4"/>
      <c r="LLM55" s="4"/>
      <c r="LLN55" s="4"/>
      <c r="LLO55" s="4"/>
      <c r="LLP55" s="4"/>
      <c r="LLQ55" s="4"/>
      <c r="LLR55" s="4"/>
      <c r="LLS55" s="4"/>
      <c r="LLT55" s="4"/>
      <c r="LLU55" s="4"/>
      <c r="LLV55" s="4"/>
      <c r="LLW55" s="4"/>
      <c r="LLX55" s="4"/>
      <c r="LLY55" s="4"/>
      <c r="LLZ55" s="4"/>
      <c r="LMA55" s="4"/>
      <c r="LMB55" s="4"/>
      <c r="LMC55" s="4"/>
      <c r="LMD55" s="4"/>
      <c r="LME55" s="4"/>
      <c r="LMF55" s="4"/>
      <c r="LMG55" s="4"/>
      <c r="LMH55" s="4"/>
      <c r="LMI55" s="4"/>
      <c r="LMJ55" s="4"/>
      <c r="LMK55" s="4"/>
      <c r="LML55" s="4"/>
      <c r="LMM55" s="4"/>
      <c r="LMN55" s="4"/>
      <c r="LMO55" s="4"/>
      <c r="LMP55" s="4"/>
      <c r="LMQ55" s="4"/>
      <c r="LMR55" s="4"/>
      <c r="LMS55" s="4"/>
      <c r="LMT55" s="4"/>
      <c r="LMU55" s="4"/>
      <c r="LMV55" s="4"/>
      <c r="LMW55" s="4"/>
      <c r="LMX55" s="4"/>
      <c r="LMY55" s="4"/>
      <c r="LMZ55" s="4"/>
      <c r="LNA55" s="4"/>
      <c r="LNB55" s="4"/>
      <c r="LNC55" s="4"/>
      <c r="LND55" s="4"/>
      <c r="LNE55" s="4"/>
      <c r="LNF55" s="4"/>
      <c r="LNG55" s="4"/>
      <c r="LNH55" s="4"/>
      <c r="LNI55" s="4"/>
      <c r="LNJ55" s="4"/>
      <c r="LNK55" s="4"/>
      <c r="LNL55" s="4"/>
      <c r="LNM55" s="4"/>
      <c r="LNN55" s="4"/>
      <c r="LNO55" s="4"/>
      <c r="LNP55" s="4"/>
      <c r="LNQ55" s="4"/>
      <c r="LNR55" s="4"/>
      <c r="LNS55" s="4"/>
      <c r="LNT55" s="4"/>
      <c r="LNU55" s="4"/>
      <c r="LNV55" s="4"/>
      <c r="LNW55" s="4"/>
      <c r="LNX55" s="4"/>
      <c r="LNY55" s="4"/>
      <c r="LNZ55" s="4"/>
      <c r="LOA55" s="4"/>
      <c r="LOB55" s="4"/>
      <c r="LOC55" s="4"/>
      <c r="LOD55" s="4"/>
      <c r="LOE55" s="4"/>
      <c r="LOF55" s="4"/>
      <c r="LOG55" s="4"/>
      <c r="LOH55" s="4"/>
      <c r="LOI55" s="4"/>
      <c r="LOJ55" s="4"/>
      <c r="LOK55" s="4"/>
      <c r="LOL55" s="4"/>
      <c r="LOM55" s="4"/>
      <c r="LON55" s="4"/>
      <c r="LOO55" s="4"/>
      <c r="LOP55" s="4"/>
      <c r="LOQ55" s="4"/>
      <c r="LOR55" s="4"/>
      <c r="LOS55" s="4"/>
      <c r="LOT55" s="4"/>
      <c r="LOU55" s="4"/>
      <c r="LOV55" s="4"/>
      <c r="LOW55" s="4"/>
      <c r="LOX55" s="4"/>
      <c r="LOY55" s="4"/>
      <c r="LOZ55" s="4"/>
      <c r="LPA55" s="4"/>
      <c r="LPB55" s="4"/>
      <c r="LPC55" s="4"/>
      <c r="LPD55" s="4"/>
      <c r="LPE55" s="4"/>
      <c r="LPF55" s="4"/>
      <c r="LPG55" s="4"/>
      <c r="LPH55" s="4"/>
      <c r="LPI55" s="4"/>
      <c r="LPJ55" s="4"/>
      <c r="LPK55" s="4"/>
      <c r="LPL55" s="4"/>
      <c r="LPM55" s="4"/>
      <c r="LPN55" s="4"/>
      <c r="LPO55" s="4"/>
      <c r="LPP55" s="4"/>
      <c r="LPQ55" s="4"/>
      <c r="LPR55" s="4"/>
      <c r="LPS55" s="4"/>
      <c r="LPT55" s="4"/>
      <c r="LPU55" s="4"/>
      <c r="LPV55" s="4"/>
      <c r="LPW55" s="4"/>
      <c r="LPX55" s="4"/>
      <c r="LPY55" s="4"/>
      <c r="LPZ55" s="4"/>
      <c r="LQA55" s="4"/>
      <c r="LQB55" s="4"/>
      <c r="LQC55" s="4"/>
      <c r="LQD55" s="4"/>
      <c r="LQE55" s="4"/>
      <c r="LQF55" s="4"/>
      <c r="LQG55" s="4"/>
      <c r="LQH55" s="4"/>
      <c r="LQI55" s="4"/>
      <c r="LQJ55" s="4"/>
      <c r="LQK55" s="4"/>
      <c r="LQL55" s="4"/>
      <c r="LQM55" s="4"/>
      <c r="LQN55" s="4"/>
      <c r="LQO55" s="4"/>
      <c r="LQP55" s="4"/>
      <c r="LQQ55" s="4"/>
      <c r="LQR55" s="4"/>
      <c r="LQS55" s="4"/>
      <c r="LQT55" s="4"/>
      <c r="LQU55" s="4"/>
      <c r="LQV55" s="4"/>
      <c r="LQW55" s="4"/>
      <c r="LQX55" s="4"/>
      <c r="LQY55" s="4"/>
      <c r="LQZ55" s="4"/>
      <c r="LRA55" s="4"/>
      <c r="LRB55" s="4"/>
      <c r="LRC55" s="4"/>
      <c r="LRD55" s="4"/>
      <c r="LRE55" s="4"/>
      <c r="LRF55" s="4"/>
      <c r="LRG55" s="4"/>
      <c r="LRH55" s="4"/>
      <c r="LRI55" s="4"/>
      <c r="LRJ55" s="4"/>
      <c r="LRK55" s="4"/>
      <c r="LRL55" s="4"/>
      <c r="LRM55" s="4"/>
      <c r="LRN55" s="4"/>
      <c r="LRO55" s="4"/>
      <c r="LRP55" s="4"/>
      <c r="LRQ55" s="4"/>
      <c r="LRR55" s="4"/>
      <c r="LRS55" s="4"/>
      <c r="LRT55" s="4"/>
      <c r="LRU55" s="4"/>
      <c r="LRV55" s="4"/>
      <c r="LRW55" s="4"/>
      <c r="LRX55" s="4"/>
      <c r="LRY55" s="4"/>
      <c r="LRZ55" s="4"/>
      <c r="LSA55" s="4"/>
      <c r="LSB55" s="4"/>
      <c r="LSC55" s="4"/>
      <c r="LSD55" s="4"/>
      <c r="LSE55" s="4"/>
      <c r="LSF55" s="4"/>
      <c r="LSG55" s="4"/>
      <c r="LSH55" s="4"/>
      <c r="LSI55" s="4"/>
      <c r="LSJ55" s="4"/>
      <c r="LSK55" s="4"/>
      <c r="LSL55" s="4"/>
      <c r="LSM55" s="4"/>
      <c r="LSN55" s="4"/>
      <c r="LSO55" s="4"/>
      <c r="LSP55" s="4"/>
      <c r="LSQ55" s="4"/>
      <c r="LSR55" s="4"/>
      <c r="LSS55" s="4"/>
      <c r="LST55" s="4"/>
      <c r="LSU55" s="4"/>
      <c r="LSV55" s="4"/>
      <c r="LSW55" s="4"/>
      <c r="LSX55" s="4"/>
      <c r="LSY55" s="4"/>
      <c r="LSZ55" s="4"/>
      <c r="LTA55" s="4"/>
      <c r="LTB55" s="4"/>
      <c r="LTC55" s="4"/>
      <c r="LTD55" s="4"/>
      <c r="LTE55" s="4"/>
      <c r="LTF55" s="4"/>
      <c r="LTG55" s="4"/>
      <c r="LTH55" s="4"/>
      <c r="LTI55" s="4"/>
      <c r="LTJ55" s="4"/>
      <c r="LTK55" s="4"/>
      <c r="LTL55" s="4"/>
      <c r="LTM55" s="4"/>
      <c r="LTN55" s="4"/>
      <c r="LTO55" s="4"/>
      <c r="LTP55" s="4"/>
      <c r="LTQ55" s="4"/>
      <c r="LTR55" s="4"/>
      <c r="LTS55" s="4"/>
      <c r="LTT55" s="4"/>
      <c r="LTU55" s="4"/>
      <c r="LTV55" s="4"/>
      <c r="LTW55" s="4"/>
      <c r="LTX55" s="4"/>
      <c r="LTY55" s="4"/>
      <c r="LTZ55" s="4"/>
      <c r="LUA55" s="4"/>
      <c r="LUB55" s="4"/>
      <c r="LUC55" s="4"/>
      <c r="LUD55" s="4"/>
      <c r="LUE55" s="4"/>
      <c r="LUF55" s="4"/>
      <c r="LUG55" s="4"/>
      <c r="LUH55" s="4"/>
      <c r="LUI55" s="4"/>
      <c r="LUJ55" s="4"/>
      <c r="LUK55" s="4"/>
      <c r="LUL55" s="4"/>
      <c r="LUM55" s="4"/>
      <c r="LUN55" s="4"/>
      <c r="LUO55" s="4"/>
      <c r="LUP55" s="4"/>
      <c r="LUQ55" s="4"/>
      <c r="LUR55" s="4"/>
      <c r="LUS55" s="4"/>
      <c r="LUT55" s="4"/>
      <c r="LUU55" s="4"/>
      <c r="LUV55" s="4"/>
      <c r="LUW55" s="4"/>
      <c r="LUX55" s="4"/>
      <c r="LUY55" s="4"/>
      <c r="LUZ55" s="4"/>
      <c r="LVA55" s="4"/>
      <c r="LVB55" s="4"/>
      <c r="LVC55" s="4"/>
      <c r="LVD55" s="4"/>
      <c r="LVE55" s="4"/>
      <c r="LVF55" s="4"/>
      <c r="LVG55" s="4"/>
      <c r="LVH55" s="4"/>
      <c r="LVI55" s="4"/>
      <c r="LVJ55" s="4"/>
      <c r="LVK55" s="4"/>
      <c r="LVL55" s="4"/>
      <c r="LVM55" s="4"/>
      <c r="LVN55" s="4"/>
      <c r="LVO55" s="4"/>
      <c r="LVP55" s="4"/>
      <c r="LVQ55" s="4"/>
      <c r="LVR55" s="4"/>
      <c r="LVS55" s="4"/>
      <c r="LVT55" s="4"/>
      <c r="LVU55" s="4"/>
      <c r="LVV55" s="4"/>
      <c r="LVW55" s="4"/>
      <c r="LVX55" s="4"/>
      <c r="LVY55" s="4"/>
      <c r="LVZ55" s="4"/>
      <c r="LWA55" s="4"/>
      <c r="LWB55" s="4"/>
      <c r="LWC55" s="4"/>
      <c r="LWD55" s="4"/>
      <c r="LWE55" s="4"/>
      <c r="LWF55" s="4"/>
      <c r="LWG55" s="4"/>
      <c r="LWH55" s="4"/>
      <c r="LWI55" s="4"/>
      <c r="LWJ55" s="4"/>
      <c r="LWK55" s="4"/>
      <c r="LWL55" s="4"/>
      <c r="LWM55" s="4"/>
      <c r="LWN55" s="4"/>
      <c r="LWO55" s="4"/>
      <c r="LWP55" s="4"/>
      <c r="LWQ55" s="4"/>
      <c r="LWR55" s="4"/>
      <c r="LWS55" s="4"/>
      <c r="LWT55" s="4"/>
      <c r="LWU55" s="4"/>
      <c r="LWV55" s="4"/>
      <c r="LWW55" s="4"/>
      <c r="LWX55" s="4"/>
      <c r="LWY55" s="4"/>
      <c r="LWZ55" s="4"/>
      <c r="LXA55" s="4"/>
      <c r="LXB55" s="4"/>
      <c r="LXC55" s="4"/>
      <c r="LXD55" s="4"/>
      <c r="LXE55" s="4"/>
      <c r="LXF55" s="4"/>
      <c r="LXG55" s="4"/>
      <c r="LXH55" s="4"/>
      <c r="LXI55" s="4"/>
      <c r="LXJ55" s="4"/>
      <c r="LXK55" s="4"/>
      <c r="LXL55" s="4"/>
      <c r="LXM55" s="4"/>
      <c r="LXN55" s="4"/>
      <c r="LXO55" s="4"/>
      <c r="LXP55" s="4"/>
      <c r="LXQ55" s="4"/>
      <c r="LXR55" s="4"/>
      <c r="LXS55" s="4"/>
      <c r="LXT55" s="4"/>
      <c r="LXU55" s="4"/>
      <c r="LXV55" s="4"/>
      <c r="LXW55" s="4"/>
      <c r="LXX55" s="4"/>
      <c r="LXY55" s="4"/>
      <c r="LXZ55" s="4"/>
      <c r="LYA55" s="4"/>
      <c r="LYB55" s="4"/>
      <c r="LYC55" s="4"/>
      <c r="LYD55" s="4"/>
      <c r="LYE55" s="4"/>
      <c r="LYF55" s="4"/>
      <c r="LYG55" s="4"/>
      <c r="LYH55" s="4"/>
      <c r="LYI55" s="4"/>
      <c r="LYJ55" s="4"/>
      <c r="LYK55" s="4"/>
      <c r="LYL55" s="4"/>
      <c r="LYM55" s="4"/>
      <c r="LYN55" s="4"/>
      <c r="LYO55" s="4"/>
      <c r="LYP55" s="4"/>
      <c r="LYQ55" s="4"/>
      <c r="LYR55" s="4"/>
      <c r="LYS55" s="4"/>
      <c r="LYT55" s="4"/>
      <c r="LYU55" s="4"/>
      <c r="LYV55" s="4"/>
      <c r="LYW55" s="4"/>
      <c r="LYX55" s="4"/>
      <c r="LYY55" s="4"/>
      <c r="LYZ55" s="4"/>
      <c r="LZA55" s="4"/>
      <c r="LZB55" s="4"/>
      <c r="LZC55" s="4"/>
      <c r="LZD55" s="4"/>
      <c r="LZE55" s="4"/>
      <c r="LZF55" s="4"/>
      <c r="LZG55" s="4"/>
      <c r="LZH55" s="4"/>
      <c r="LZI55" s="4"/>
      <c r="LZJ55" s="4"/>
      <c r="LZK55" s="4"/>
      <c r="LZL55" s="4"/>
      <c r="LZM55" s="4"/>
      <c r="LZN55" s="4"/>
      <c r="LZO55" s="4"/>
      <c r="LZP55" s="4"/>
      <c r="LZQ55" s="4"/>
      <c r="LZR55" s="4"/>
      <c r="LZS55" s="4"/>
      <c r="LZT55" s="4"/>
      <c r="LZU55" s="4"/>
      <c r="LZV55" s="4"/>
      <c r="LZW55" s="4"/>
      <c r="LZX55" s="4"/>
      <c r="LZY55" s="4"/>
      <c r="LZZ55" s="4"/>
      <c r="MAA55" s="4"/>
      <c r="MAB55" s="4"/>
      <c r="MAC55" s="4"/>
      <c r="MAD55" s="4"/>
      <c r="MAE55" s="4"/>
      <c r="MAF55" s="4"/>
      <c r="MAG55" s="4"/>
      <c r="MAH55" s="4"/>
      <c r="MAI55" s="4"/>
      <c r="MAJ55" s="4"/>
      <c r="MAK55" s="4"/>
      <c r="MAL55" s="4"/>
      <c r="MAM55" s="4"/>
      <c r="MAN55" s="4"/>
      <c r="MAO55" s="4"/>
      <c r="MAP55" s="4"/>
      <c r="MAQ55" s="4"/>
      <c r="MAR55" s="4"/>
      <c r="MAS55" s="4"/>
      <c r="MAT55" s="4"/>
      <c r="MAU55" s="4"/>
      <c r="MAV55" s="4"/>
      <c r="MAW55" s="4"/>
      <c r="MAX55" s="4"/>
      <c r="MAY55" s="4"/>
      <c r="MAZ55" s="4"/>
      <c r="MBA55" s="4"/>
      <c r="MBB55" s="4"/>
      <c r="MBC55" s="4"/>
      <c r="MBD55" s="4"/>
      <c r="MBE55" s="4"/>
      <c r="MBF55" s="4"/>
      <c r="MBG55" s="4"/>
      <c r="MBH55" s="4"/>
      <c r="MBI55" s="4"/>
      <c r="MBJ55" s="4"/>
      <c r="MBK55" s="4"/>
      <c r="MBL55" s="4"/>
      <c r="MBM55" s="4"/>
      <c r="MBN55" s="4"/>
      <c r="MBO55" s="4"/>
      <c r="MBP55" s="4"/>
      <c r="MBQ55" s="4"/>
      <c r="MBR55" s="4"/>
      <c r="MBS55" s="4"/>
      <c r="MBT55" s="4"/>
      <c r="MBU55" s="4"/>
      <c r="MBV55" s="4"/>
      <c r="MBW55" s="4"/>
      <c r="MBX55" s="4"/>
      <c r="MBY55" s="4"/>
      <c r="MBZ55" s="4"/>
      <c r="MCA55" s="4"/>
      <c r="MCB55" s="4"/>
      <c r="MCC55" s="4"/>
      <c r="MCD55" s="4"/>
      <c r="MCE55" s="4"/>
      <c r="MCF55" s="4"/>
      <c r="MCG55" s="4"/>
      <c r="MCH55" s="4"/>
      <c r="MCI55" s="4"/>
      <c r="MCJ55" s="4"/>
      <c r="MCK55" s="4"/>
      <c r="MCL55" s="4"/>
      <c r="MCM55" s="4"/>
      <c r="MCN55" s="4"/>
      <c r="MCO55" s="4"/>
      <c r="MCP55" s="4"/>
      <c r="MCQ55" s="4"/>
      <c r="MCR55" s="4"/>
      <c r="MCS55" s="4"/>
      <c r="MCT55" s="4"/>
      <c r="MCU55" s="4"/>
      <c r="MCV55" s="4"/>
      <c r="MCW55" s="4"/>
      <c r="MCX55" s="4"/>
      <c r="MCY55" s="4"/>
      <c r="MCZ55" s="4"/>
      <c r="MDA55" s="4"/>
      <c r="MDB55" s="4"/>
      <c r="MDC55" s="4"/>
      <c r="MDD55" s="4"/>
      <c r="MDE55" s="4"/>
      <c r="MDF55" s="4"/>
      <c r="MDG55" s="4"/>
      <c r="MDH55" s="4"/>
      <c r="MDI55" s="4"/>
      <c r="MDJ55" s="4"/>
      <c r="MDK55" s="4"/>
      <c r="MDL55" s="4"/>
      <c r="MDM55" s="4"/>
      <c r="MDN55" s="4"/>
      <c r="MDO55" s="4"/>
      <c r="MDP55" s="4"/>
      <c r="MDQ55" s="4"/>
      <c r="MDR55" s="4"/>
      <c r="MDS55" s="4"/>
      <c r="MDT55" s="4"/>
      <c r="MDU55" s="4"/>
      <c r="MDV55" s="4"/>
      <c r="MDW55" s="4"/>
      <c r="MDX55" s="4"/>
      <c r="MDY55" s="4"/>
      <c r="MDZ55" s="4"/>
      <c r="MEA55" s="4"/>
      <c r="MEB55" s="4"/>
      <c r="MEC55" s="4"/>
      <c r="MED55" s="4"/>
      <c r="MEE55" s="4"/>
      <c r="MEF55" s="4"/>
      <c r="MEG55" s="4"/>
      <c r="MEH55" s="4"/>
      <c r="MEI55" s="4"/>
      <c r="MEJ55" s="4"/>
      <c r="MEK55" s="4"/>
      <c r="MEL55" s="4"/>
      <c r="MEM55" s="4"/>
      <c r="MEN55" s="4"/>
      <c r="MEO55" s="4"/>
      <c r="MEP55" s="4"/>
      <c r="MEQ55" s="4"/>
      <c r="MER55" s="4"/>
      <c r="MES55" s="4"/>
      <c r="MET55" s="4"/>
      <c r="MEU55" s="4"/>
      <c r="MEV55" s="4"/>
      <c r="MEW55" s="4"/>
      <c r="MEX55" s="4"/>
      <c r="MEY55" s="4"/>
      <c r="MEZ55" s="4"/>
      <c r="MFA55" s="4"/>
      <c r="MFB55" s="4"/>
      <c r="MFC55" s="4"/>
      <c r="MFD55" s="4"/>
      <c r="MFE55" s="4"/>
      <c r="MFF55" s="4"/>
      <c r="MFG55" s="4"/>
      <c r="MFH55" s="4"/>
      <c r="MFI55" s="4"/>
      <c r="MFJ55" s="4"/>
      <c r="MFK55" s="4"/>
      <c r="MFL55" s="4"/>
      <c r="MFM55" s="4"/>
      <c r="MFN55" s="4"/>
      <c r="MFO55" s="4"/>
      <c r="MFP55" s="4"/>
      <c r="MFQ55" s="4"/>
      <c r="MFR55" s="4"/>
      <c r="MFS55" s="4"/>
      <c r="MFT55" s="4"/>
      <c r="MFU55" s="4"/>
      <c r="MFV55" s="4"/>
      <c r="MFW55" s="4"/>
      <c r="MFX55" s="4"/>
      <c r="MFY55" s="4"/>
      <c r="MFZ55" s="4"/>
      <c r="MGA55" s="4"/>
      <c r="MGB55" s="4"/>
      <c r="MGC55" s="4"/>
      <c r="MGD55" s="4"/>
      <c r="MGE55" s="4"/>
      <c r="MGF55" s="4"/>
      <c r="MGG55" s="4"/>
      <c r="MGH55" s="4"/>
      <c r="MGI55" s="4"/>
      <c r="MGJ55" s="4"/>
      <c r="MGK55" s="4"/>
      <c r="MGL55" s="4"/>
      <c r="MGM55" s="4"/>
      <c r="MGN55" s="4"/>
      <c r="MGO55" s="4"/>
      <c r="MGP55" s="4"/>
      <c r="MGQ55" s="4"/>
      <c r="MGR55" s="4"/>
      <c r="MGS55" s="4"/>
      <c r="MGT55" s="4"/>
      <c r="MGU55" s="4"/>
      <c r="MGV55" s="4"/>
      <c r="MGW55" s="4"/>
      <c r="MGX55" s="4"/>
      <c r="MGY55" s="4"/>
      <c r="MGZ55" s="4"/>
      <c r="MHA55" s="4"/>
      <c r="MHB55" s="4"/>
      <c r="MHC55" s="4"/>
      <c r="MHD55" s="4"/>
      <c r="MHE55" s="4"/>
      <c r="MHF55" s="4"/>
      <c r="MHG55" s="4"/>
      <c r="MHH55" s="4"/>
      <c r="MHI55" s="4"/>
      <c r="MHJ55" s="4"/>
      <c r="MHK55" s="4"/>
      <c r="MHL55" s="4"/>
      <c r="MHM55" s="4"/>
      <c r="MHN55" s="4"/>
      <c r="MHO55" s="4"/>
      <c r="MHP55" s="4"/>
      <c r="MHQ55" s="4"/>
      <c r="MHR55" s="4"/>
      <c r="MHS55" s="4"/>
      <c r="MHT55" s="4"/>
      <c r="MHU55" s="4"/>
      <c r="MHV55" s="4"/>
      <c r="MHW55" s="4"/>
      <c r="MHX55" s="4"/>
      <c r="MHY55" s="4"/>
      <c r="MHZ55" s="4"/>
      <c r="MIA55" s="4"/>
      <c r="MIB55" s="4"/>
      <c r="MIC55" s="4"/>
      <c r="MID55" s="4"/>
      <c r="MIE55" s="4"/>
      <c r="MIF55" s="4"/>
      <c r="MIG55" s="4"/>
      <c r="MIH55" s="4"/>
      <c r="MII55" s="4"/>
      <c r="MIJ55" s="4"/>
      <c r="MIK55" s="4"/>
      <c r="MIL55" s="4"/>
      <c r="MIM55" s="4"/>
      <c r="MIN55" s="4"/>
      <c r="MIO55" s="4"/>
      <c r="MIP55" s="4"/>
      <c r="MIQ55" s="4"/>
      <c r="MIR55" s="4"/>
      <c r="MIS55" s="4"/>
      <c r="MIT55" s="4"/>
      <c r="MIU55" s="4"/>
      <c r="MIV55" s="4"/>
      <c r="MIW55" s="4"/>
      <c r="MIX55" s="4"/>
      <c r="MIY55" s="4"/>
      <c r="MIZ55" s="4"/>
      <c r="MJA55" s="4"/>
      <c r="MJB55" s="4"/>
      <c r="MJC55" s="4"/>
      <c r="MJD55" s="4"/>
      <c r="MJE55" s="4"/>
      <c r="MJF55" s="4"/>
      <c r="MJG55" s="4"/>
      <c r="MJH55" s="4"/>
      <c r="MJI55" s="4"/>
      <c r="MJJ55" s="4"/>
      <c r="MJK55" s="4"/>
      <c r="MJL55" s="4"/>
      <c r="MJM55" s="4"/>
      <c r="MJN55" s="4"/>
      <c r="MJO55" s="4"/>
      <c r="MJP55" s="4"/>
      <c r="MJQ55" s="4"/>
      <c r="MJR55" s="4"/>
      <c r="MJS55" s="4"/>
      <c r="MJT55" s="4"/>
      <c r="MJU55" s="4"/>
      <c r="MJV55" s="4"/>
      <c r="MJW55" s="4"/>
      <c r="MJX55" s="4"/>
      <c r="MJY55" s="4"/>
      <c r="MJZ55" s="4"/>
      <c r="MKA55" s="4"/>
      <c r="MKB55" s="4"/>
      <c r="MKC55" s="4"/>
      <c r="MKD55" s="4"/>
      <c r="MKE55" s="4"/>
      <c r="MKF55" s="4"/>
      <c r="MKG55" s="4"/>
      <c r="MKH55" s="4"/>
      <c r="MKI55" s="4"/>
      <c r="MKJ55" s="4"/>
      <c r="MKK55" s="4"/>
      <c r="MKL55" s="4"/>
      <c r="MKM55" s="4"/>
      <c r="MKN55" s="4"/>
      <c r="MKO55" s="4"/>
      <c r="MKP55" s="4"/>
      <c r="MKQ55" s="4"/>
      <c r="MKR55" s="4"/>
      <c r="MKS55" s="4"/>
      <c r="MKT55" s="4"/>
      <c r="MKU55" s="4"/>
      <c r="MKV55" s="4"/>
      <c r="MKW55" s="4"/>
      <c r="MKX55" s="4"/>
      <c r="MKY55" s="4"/>
      <c r="MKZ55" s="4"/>
      <c r="MLA55" s="4"/>
      <c r="MLB55" s="4"/>
      <c r="MLC55" s="4"/>
      <c r="MLD55" s="4"/>
      <c r="MLE55" s="4"/>
      <c r="MLF55" s="4"/>
      <c r="MLG55" s="4"/>
      <c r="MLH55" s="4"/>
      <c r="MLI55" s="4"/>
      <c r="MLJ55" s="4"/>
      <c r="MLK55" s="4"/>
      <c r="MLL55" s="4"/>
      <c r="MLM55" s="4"/>
      <c r="MLN55" s="4"/>
      <c r="MLO55" s="4"/>
      <c r="MLP55" s="4"/>
      <c r="MLQ55" s="4"/>
      <c r="MLR55" s="4"/>
      <c r="MLS55" s="4"/>
      <c r="MLT55" s="4"/>
      <c r="MLU55" s="4"/>
      <c r="MLV55" s="4"/>
      <c r="MLW55" s="4"/>
      <c r="MLX55" s="4"/>
      <c r="MLY55" s="4"/>
      <c r="MLZ55" s="4"/>
      <c r="MMA55" s="4"/>
      <c r="MMB55" s="4"/>
      <c r="MMC55" s="4"/>
      <c r="MMD55" s="4"/>
      <c r="MME55" s="4"/>
      <c r="MMF55" s="4"/>
      <c r="MMG55" s="4"/>
      <c r="MMH55" s="4"/>
      <c r="MMI55" s="4"/>
      <c r="MMJ55" s="4"/>
      <c r="MMK55" s="4"/>
      <c r="MML55" s="4"/>
      <c r="MMM55" s="4"/>
      <c r="MMN55" s="4"/>
      <c r="MMO55" s="4"/>
      <c r="MMP55" s="4"/>
      <c r="MMQ55" s="4"/>
      <c r="MMR55" s="4"/>
      <c r="MMS55" s="4"/>
      <c r="MMT55" s="4"/>
      <c r="MMU55" s="4"/>
      <c r="MMV55" s="4"/>
      <c r="MMW55" s="4"/>
      <c r="MMX55" s="4"/>
      <c r="MMY55" s="4"/>
      <c r="MMZ55" s="4"/>
      <c r="MNA55" s="4"/>
      <c r="MNB55" s="4"/>
      <c r="MNC55" s="4"/>
      <c r="MND55" s="4"/>
      <c r="MNE55" s="4"/>
      <c r="MNF55" s="4"/>
      <c r="MNG55" s="4"/>
      <c r="MNH55" s="4"/>
      <c r="MNI55" s="4"/>
      <c r="MNJ55" s="4"/>
      <c r="MNK55" s="4"/>
      <c r="MNL55" s="4"/>
      <c r="MNM55" s="4"/>
      <c r="MNN55" s="4"/>
      <c r="MNO55" s="4"/>
      <c r="MNP55" s="4"/>
      <c r="MNQ55" s="4"/>
      <c r="MNR55" s="4"/>
      <c r="MNS55" s="4"/>
      <c r="MNT55" s="4"/>
      <c r="MNU55" s="4"/>
      <c r="MNV55" s="4"/>
      <c r="MNW55" s="4"/>
      <c r="MNX55" s="4"/>
      <c r="MNY55" s="4"/>
      <c r="MNZ55" s="4"/>
      <c r="MOA55" s="4"/>
      <c r="MOB55" s="4"/>
      <c r="MOC55" s="4"/>
      <c r="MOD55" s="4"/>
      <c r="MOE55" s="4"/>
      <c r="MOF55" s="4"/>
      <c r="MOG55" s="4"/>
      <c r="MOH55" s="4"/>
      <c r="MOI55" s="4"/>
      <c r="MOJ55" s="4"/>
      <c r="MOK55" s="4"/>
      <c r="MOL55" s="4"/>
      <c r="MOM55" s="4"/>
      <c r="MON55" s="4"/>
      <c r="MOO55" s="4"/>
      <c r="MOP55" s="4"/>
      <c r="MOQ55" s="4"/>
      <c r="MOR55" s="4"/>
      <c r="MOS55" s="4"/>
      <c r="MOT55" s="4"/>
      <c r="MOU55" s="4"/>
      <c r="MOV55" s="4"/>
      <c r="MOW55" s="4"/>
      <c r="MOX55" s="4"/>
      <c r="MOY55" s="4"/>
      <c r="MOZ55" s="4"/>
      <c r="MPA55" s="4"/>
      <c r="MPB55" s="4"/>
      <c r="MPC55" s="4"/>
      <c r="MPD55" s="4"/>
      <c r="MPE55" s="4"/>
      <c r="MPF55" s="4"/>
      <c r="MPG55" s="4"/>
      <c r="MPH55" s="4"/>
      <c r="MPI55" s="4"/>
      <c r="MPJ55" s="4"/>
      <c r="MPK55" s="4"/>
      <c r="MPL55" s="4"/>
      <c r="MPM55" s="4"/>
      <c r="MPN55" s="4"/>
      <c r="MPO55" s="4"/>
      <c r="MPP55" s="4"/>
      <c r="MPQ55" s="4"/>
      <c r="MPR55" s="4"/>
      <c r="MPS55" s="4"/>
      <c r="MPT55" s="4"/>
      <c r="MPU55" s="4"/>
      <c r="MPV55" s="4"/>
      <c r="MPW55" s="4"/>
      <c r="MPX55" s="4"/>
      <c r="MPY55" s="4"/>
      <c r="MPZ55" s="4"/>
      <c r="MQA55" s="4"/>
      <c r="MQB55" s="4"/>
      <c r="MQC55" s="4"/>
      <c r="MQD55" s="4"/>
      <c r="MQE55" s="4"/>
      <c r="MQF55" s="4"/>
      <c r="MQG55" s="4"/>
      <c r="MQH55" s="4"/>
      <c r="MQI55" s="4"/>
      <c r="MQJ55" s="4"/>
      <c r="MQK55" s="4"/>
      <c r="MQL55" s="4"/>
      <c r="MQM55" s="4"/>
      <c r="MQN55" s="4"/>
      <c r="MQO55" s="4"/>
      <c r="MQP55" s="4"/>
      <c r="MQQ55" s="4"/>
      <c r="MQR55" s="4"/>
      <c r="MQS55" s="4"/>
      <c r="MQT55" s="4"/>
      <c r="MQU55" s="4"/>
      <c r="MQV55" s="4"/>
      <c r="MQW55" s="4"/>
      <c r="MQX55" s="4"/>
      <c r="MQY55" s="4"/>
      <c r="MQZ55" s="4"/>
      <c r="MRA55" s="4"/>
      <c r="MRB55" s="4"/>
      <c r="MRC55" s="4"/>
      <c r="MRD55" s="4"/>
      <c r="MRE55" s="4"/>
      <c r="MRF55" s="4"/>
      <c r="MRG55" s="4"/>
      <c r="MRH55" s="4"/>
      <c r="MRI55" s="4"/>
      <c r="MRJ55" s="4"/>
      <c r="MRK55" s="4"/>
      <c r="MRL55" s="4"/>
      <c r="MRM55" s="4"/>
      <c r="MRN55" s="4"/>
      <c r="MRO55" s="4"/>
      <c r="MRP55" s="4"/>
      <c r="MRQ55" s="4"/>
      <c r="MRR55" s="4"/>
      <c r="MRS55" s="4"/>
      <c r="MRT55" s="4"/>
      <c r="MRU55" s="4"/>
      <c r="MRV55" s="4"/>
      <c r="MRW55" s="4"/>
      <c r="MRX55" s="4"/>
      <c r="MRY55" s="4"/>
      <c r="MRZ55" s="4"/>
      <c r="MSA55" s="4"/>
      <c r="MSB55" s="4"/>
      <c r="MSC55" s="4"/>
      <c r="MSD55" s="4"/>
      <c r="MSE55" s="4"/>
      <c r="MSF55" s="4"/>
      <c r="MSG55" s="4"/>
      <c r="MSH55" s="4"/>
      <c r="MSI55" s="4"/>
      <c r="MSJ55" s="4"/>
      <c r="MSK55" s="4"/>
      <c r="MSL55" s="4"/>
      <c r="MSM55" s="4"/>
      <c r="MSN55" s="4"/>
      <c r="MSO55" s="4"/>
      <c r="MSP55" s="4"/>
      <c r="MSQ55" s="4"/>
      <c r="MSR55" s="4"/>
      <c r="MSS55" s="4"/>
      <c r="MST55" s="4"/>
      <c r="MSU55" s="4"/>
      <c r="MSV55" s="4"/>
      <c r="MSW55" s="4"/>
      <c r="MSX55" s="4"/>
      <c r="MSY55" s="4"/>
      <c r="MSZ55" s="4"/>
      <c r="MTA55" s="4"/>
      <c r="MTB55" s="4"/>
      <c r="MTC55" s="4"/>
      <c r="MTD55" s="4"/>
      <c r="MTE55" s="4"/>
      <c r="MTF55" s="4"/>
      <c r="MTG55" s="4"/>
      <c r="MTH55" s="4"/>
      <c r="MTI55" s="4"/>
      <c r="MTJ55" s="4"/>
      <c r="MTK55" s="4"/>
      <c r="MTL55" s="4"/>
      <c r="MTM55" s="4"/>
      <c r="MTN55" s="4"/>
      <c r="MTO55" s="4"/>
      <c r="MTP55" s="4"/>
      <c r="MTQ55" s="4"/>
      <c r="MTR55" s="4"/>
      <c r="MTS55" s="4"/>
      <c r="MTT55" s="4"/>
      <c r="MTU55" s="4"/>
      <c r="MTV55" s="4"/>
      <c r="MTW55" s="4"/>
      <c r="MTX55" s="4"/>
      <c r="MTY55" s="4"/>
      <c r="MTZ55" s="4"/>
      <c r="MUA55" s="4"/>
      <c r="MUB55" s="4"/>
      <c r="MUC55" s="4"/>
      <c r="MUD55" s="4"/>
      <c r="MUE55" s="4"/>
      <c r="MUF55" s="4"/>
      <c r="MUG55" s="4"/>
      <c r="MUH55" s="4"/>
      <c r="MUI55" s="4"/>
      <c r="MUJ55" s="4"/>
      <c r="MUK55" s="4"/>
      <c r="MUL55" s="4"/>
      <c r="MUM55" s="4"/>
      <c r="MUN55" s="4"/>
      <c r="MUO55" s="4"/>
      <c r="MUP55" s="4"/>
      <c r="MUQ55" s="4"/>
      <c r="MUR55" s="4"/>
      <c r="MUS55" s="4"/>
      <c r="MUT55" s="4"/>
      <c r="MUU55" s="4"/>
      <c r="MUV55" s="4"/>
      <c r="MUW55" s="4"/>
      <c r="MUX55" s="4"/>
      <c r="MUY55" s="4"/>
      <c r="MUZ55" s="4"/>
      <c r="MVA55" s="4"/>
      <c r="MVB55" s="4"/>
      <c r="MVC55" s="4"/>
      <c r="MVD55" s="4"/>
      <c r="MVE55" s="4"/>
      <c r="MVF55" s="4"/>
      <c r="MVG55" s="4"/>
      <c r="MVH55" s="4"/>
      <c r="MVI55" s="4"/>
      <c r="MVJ55" s="4"/>
      <c r="MVK55" s="4"/>
      <c r="MVL55" s="4"/>
      <c r="MVM55" s="4"/>
      <c r="MVN55" s="4"/>
      <c r="MVO55" s="4"/>
      <c r="MVP55" s="4"/>
      <c r="MVQ55" s="4"/>
      <c r="MVR55" s="4"/>
      <c r="MVS55" s="4"/>
      <c r="MVT55" s="4"/>
      <c r="MVU55" s="4"/>
      <c r="MVV55" s="4"/>
      <c r="MVW55" s="4"/>
      <c r="MVX55" s="4"/>
      <c r="MVY55" s="4"/>
      <c r="MVZ55" s="4"/>
      <c r="MWA55" s="4"/>
      <c r="MWB55" s="4"/>
      <c r="MWC55" s="4"/>
      <c r="MWD55" s="4"/>
      <c r="MWE55" s="4"/>
      <c r="MWF55" s="4"/>
      <c r="MWG55" s="4"/>
      <c r="MWH55" s="4"/>
      <c r="MWI55" s="4"/>
      <c r="MWJ55" s="4"/>
      <c r="MWK55" s="4"/>
      <c r="MWL55" s="4"/>
      <c r="MWM55" s="4"/>
      <c r="MWN55" s="4"/>
      <c r="MWO55" s="4"/>
      <c r="MWP55" s="4"/>
      <c r="MWQ55" s="4"/>
      <c r="MWR55" s="4"/>
      <c r="MWS55" s="4"/>
      <c r="MWT55" s="4"/>
      <c r="MWU55" s="4"/>
      <c r="MWV55" s="4"/>
      <c r="MWW55" s="4"/>
      <c r="MWX55" s="4"/>
      <c r="MWY55" s="4"/>
      <c r="MWZ55" s="4"/>
      <c r="MXA55" s="4"/>
      <c r="MXB55" s="4"/>
      <c r="MXC55" s="4"/>
      <c r="MXD55" s="4"/>
      <c r="MXE55" s="4"/>
      <c r="MXF55" s="4"/>
      <c r="MXG55" s="4"/>
      <c r="MXH55" s="4"/>
      <c r="MXI55" s="4"/>
      <c r="MXJ55" s="4"/>
      <c r="MXK55" s="4"/>
      <c r="MXL55" s="4"/>
      <c r="MXM55" s="4"/>
      <c r="MXN55" s="4"/>
      <c r="MXO55" s="4"/>
      <c r="MXP55" s="4"/>
      <c r="MXQ55" s="4"/>
      <c r="MXR55" s="4"/>
      <c r="MXS55" s="4"/>
      <c r="MXT55" s="4"/>
      <c r="MXU55" s="4"/>
      <c r="MXV55" s="4"/>
      <c r="MXW55" s="4"/>
      <c r="MXX55" s="4"/>
      <c r="MXY55" s="4"/>
      <c r="MXZ55" s="4"/>
      <c r="MYA55" s="4"/>
      <c r="MYB55" s="4"/>
      <c r="MYC55" s="4"/>
      <c r="MYD55" s="4"/>
      <c r="MYE55" s="4"/>
      <c r="MYF55" s="4"/>
      <c r="MYG55" s="4"/>
      <c r="MYH55" s="4"/>
      <c r="MYI55" s="4"/>
      <c r="MYJ55" s="4"/>
      <c r="MYK55" s="4"/>
      <c r="MYL55" s="4"/>
      <c r="MYM55" s="4"/>
      <c r="MYN55" s="4"/>
      <c r="MYO55" s="4"/>
      <c r="MYP55" s="4"/>
      <c r="MYQ55" s="4"/>
      <c r="MYR55" s="4"/>
      <c r="MYS55" s="4"/>
      <c r="MYT55" s="4"/>
      <c r="MYU55" s="4"/>
      <c r="MYV55" s="4"/>
      <c r="MYW55" s="4"/>
      <c r="MYX55" s="4"/>
      <c r="MYY55" s="4"/>
      <c r="MYZ55" s="4"/>
      <c r="MZA55" s="4"/>
      <c r="MZB55" s="4"/>
      <c r="MZC55" s="4"/>
      <c r="MZD55" s="4"/>
      <c r="MZE55" s="4"/>
      <c r="MZF55" s="4"/>
      <c r="MZG55" s="4"/>
      <c r="MZH55" s="4"/>
      <c r="MZI55" s="4"/>
      <c r="MZJ55" s="4"/>
      <c r="MZK55" s="4"/>
      <c r="MZL55" s="4"/>
      <c r="MZM55" s="4"/>
      <c r="MZN55" s="4"/>
      <c r="MZO55" s="4"/>
      <c r="MZP55" s="4"/>
      <c r="MZQ55" s="4"/>
      <c r="MZR55" s="4"/>
      <c r="MZS55" s="4"/>
      <c r="MZT55" s="4"/>
      <c r="MZU55" s="4"/>
      <c r="MZV55" s="4"/>
      <c r="MZW55" s="4"/>
      <c r="MZX55" s="4"/>
      <c r="MZY55" s="4"/>
      <c r="MZZ55" s="4"/>
      <c r="NAA55" s="4"/>
      <c r="NAB55" s="4"/>
      <c r="NAC55" s="4"/>
      <c r="NAD55" s="4"/>
      <c r="NAE55" s="4"/>
      <c r="NAF55" s="4"/>
      <c r="NAG55" s="4"/>
      <c r="NAH55" s="4"/>
      <c r="NAI55" s="4"/>
      <c r="NAJ55" s="4"/>
      <c r="NAK55" s="4"/>
      <c r="NAL55" s="4"/>
      <c r="NAM55" s="4"/>
      <c r="NAN55" s="4"/>
      <c r="NAO55" s="4"/>
      <c r="NAP55" s="4"/>
      <c r="NAQ55" s="4"/>
      <c r="NAR55" s="4"/>
      <c r="NAS55" s="4"/>
      <c r="NAT55" s="4"/>
      <c r="NAU55" s="4"/>
      <c r="NAV55" s="4"/>
      <c r="NAW55" s="4"/>
      <c r="NAX55" s="4"/>
      <c r="NAY55" s="4"/>
      <c r="NAZ55" s="4"/>
      <c r="NBA55" s="4"/>
      <c r="NBB55" s="4"/>
      <c r="NBC55" s="4"/>
      <c r="NBD55" s="4"/>
      <c r="NBE55" s="4"/>
      <c r="NBF55" s="4"/>
      <c r="NBG55" s="4"/>
      <c r="NBH55" s="4"/>
      <c r="NBI55" s="4"/>
      <c r="NBJ55" s="4"/>
      <c r="NBK55" s="4"/>
      <c r="NBL55" s="4"/>
      <c r="NBM55" s="4"/>
      <c r="NBN55" s="4"/>
      <c r="NBO55" s="4"/>
      <c r="NBP55" s="4"/>
      <c r="NBQ55" s="4"/>
      <c r="NBR55" s="4"/>
      <c r="NBS55" s="4"/>
      <c r="NBT55" s="4"/>
      <c r="NBU55" s="4"/>
      <c r="NBV55" s="4"/>
      <c r="NBW55" s="4"/>
      <c r="NBX55" s="4"/>
      <c r="NBY55" s="4"/>
      <c r="NBZ55" s="4"/>
      <c r="NCA55" s="4"/>
      <c r="NCB55" s="4"/>
      <c r="NCC55" s="4"/>
      <c r="NCD55" s="4"/>
      <c r="NCE55" s="4"/>
      <c r="NCF55" s="4"/>
      <c r="NCG55" s="4"/>
      <c r="NCH55" s="4"/>
      <c r="NCI55" s="4"/>
      <c r="NCJ55" s="4"/>
      <c r="NCK55" s="4"/>
      <c r="NCL55" s="4"/>
      <c r="NCM55" s="4"/>
      <c r="NCN55" s="4"/>
      <c r="NCO55" s="4"/>
      <c r="NCP55" s="4"/>
      <c r="NCQ55" s="4"/>
      <c r="NCR55" s="4"/>
      <c r="NCS55" s="4"/>
      <c r="NCT55" s="4"/>
      <c r="NCU55" s="4"/>
      <c r="NCV55" s="4"/>
      <c r="NCW55" s="4"/>
      <c r="NCX55" s="4"/>
      <c r="NCY55" s="4"/>
      <c r="NCZ55" s="4"/>
      <c r="NDA55" s="4"/>
      <c r="NDB55" s="4"/>
      <c r="NDC55" s="4"/>
      <c r="NDD55" s="4"/>
      <c r="NDE55" s="4"/>
      <c r="NDF55" s="4"/>
      <c r="NDG55" s="4"/>
      <c r="NDH55" s="4"/>
      <c r="NDI55" s="4"/>
      <c r="NDJ55" s="4"/>
      <c r="NDK55" s="4"/>
      <c r="NDL55" s="4"/>
      <c r="NDM55" s="4"/>
      <c r="NDN55" s="4"/>
      <c r="NDO55" s="4"/>
      <c r="NDP55" s="4"/>
      <c r="NDQ55" s="4"/>
      <c r="NDR55" s="4"/>
      <c r="NDS55" s="4"/>
      <c r="NDT55" s="4"/>
      <c r="NDU55" s="4"/>
      <c r="NDV55" s="4"/>
      <c r="NDW55" s="4"/>
      <c r="NDX55" s="4"/>
      <c r="NDY55" s="4"/>
      <c r="NDZ55" s="4"/>
      <c r="NEA55" s="4"/>
      <c r="NEB55" s="4"/>
      <c r="NEC55" s="4"/>
      <c r="NED55" s="4"/>
      <c r="NEE55" s="4"/>
      <c r="NEF55" s="4"/>
      <c r="NEG55" s="4"/>
      <c r="NEH55" s="4"/>
      <c r="NEI55" s="4"/>
      <c r="NEJ55" s="4"/>
      <c r="NEK55" s="4"/>
      <c r="NEL55" s="4"/>
      <c r="NEM55" s="4"/>
      <c r="NEN55" s="4"/>
      <c r="NEO55" s="4"/>
      <c r="NEP55" s="4"/>
      <c r="NEQ55" s="4"/>
      <c r="NER55" s="4"/>
      <c r="NES55" s="4"/>
      <c r="NET55" s="4"/>
      <c r="NEU55" s="4"/>
      <c r="NEV55" s="4"/>
      <c r="NEW55" s="4"/>
      <c r="NEX55" s="4"/>
      <c r="NEY55" s="4"/>
      <c r="NEZ55" s="4"/>
      <c r="NFA55" s="4"/>
      <c r="NFB55" s="4"/>
      <c r="NFC55" s="4"/>
      <c r="NFD55" s="4"/>
      <c r="NFE55" s="4"/>
      <c r="NFF55" s="4"/>
      <c r="NFG55" s="4"/>
      <c r="NFH55" s="4"/>
      <c r="NFI55" s="4"/>
      <c r="NFJ55" s="4"/>
      <c r="NFK55" s="4"/>
      <c r="NFL55" s="4"/>
      <c r="NFM55" s="4"/>
      <c r="NFN55" s="4"/>
      <c r="NFO55" s="4"/>
      <c r="NFP55" s="4"/>
      <c r="NFQ55" s="4"/>
      <c r="NFR55" s="4"/>
      <c r="NFS55" s="4"/>
      <c r="NFT55" s="4"/>
      <c r="NFU55" s="4"/>
      <c r="NFV55" s="4"/>
      <c r="NFW55" s="4"/>
      <c r="NFX55" s="4"/>
      <c r="NFY55" s="4"/>
      <c r="NFZ55" s="4"/>
      <c r="NGA55" s="4"/>
      <c r="NGB55" s="4"/>
      <c r="NGC55" s="4"/>
      <c r="NGD55" s="4"/>
      <c r="NGE55" s="4"/>
      <c r="NGF55" s="4"/>
      <c r="NGG55" s="4"/>
      <c r="NGH55" s="4"/>
      <c r="NGI55" s="4"/>
      <c r="NGJ55" s="4"/>
      <c r="NGK55" s="4"/>
      <c r="NGL55" s="4"/>
      <c r="NGM55" s="4"/>
      <c r="NGN55" s="4"/>
      <c r="NGO55" s="4"/>
      <c r="NGP55" s="4"/>
      <c r="NGQ55" s="4"/>
      <c r="NGR55" s="4"/>
      <c r="NGS55" s="4"/>
      <c r="NGT55" s="4"/>
      <c r="NGU55" s="4"/>
      <c r="NGV55" s="4"/>
      <c r="NGW55" s="4"/>
      <c r="NGX55" s="4"/>
      <c r="NGY55" s="4"/>
      <c r="NGZ55" s="4"/>
      <c r="NHA55" s="4"/>
      <c r="NHB55" s="4"/>
      <c r="NHC55" s="4"/>
      <c r="NHD55" s="4"/>
      <c r="NHE55" s="4"/>
      <c r="NHF55" s="4"/>
      <c r="NHG55" s="4"/>
      <c r="NHH55" s="4"/>
      <c r="NHI55" s="4"/>
      <c r="NHJ55" s="4"/>
      <c r="NHK55" s="4"/>
      <c r="NHL55" s="4"/>
      <c r="NHM55" s="4"/>
      <c r="NHN55" s="4"/>
      <c r="NHO55" s="4"/>
      <c r="NHP55" s="4"/>
      <c r="NHQ55" s="4"/>
      <c r="NHR55" s="4"/>
      <c r="NHS55" s="4"/>
      <c r="NHT55" s="4"/>
      <c r="NHU55" s="4"/>
      <c r="NHV55" s="4"/>
      <c r="NHW55" s="4"/>
      <c r="NHX55" s="4"/>
      <c r="NHY55" s="4"/>
      <c r="NHZ55" s="4"/>
      <c r="NIA55" s="4"/>
      <c r="NIB55" s="4"/>
      <c r="NIC55" s="4"/>
      <c r="NID55" s="4"/>
      <c r="NIE55" s="4"/>
      <c r="NIF55" s="4"/>
      <c r="NIG55" s="4"/>
      <c r="NIH55" s="4"/>
      <c r="NII55" s="4"/>
      <c r="NIJ55" s="4"/>
      <c r="NIK55" s="4"/>
      <c r="NIL55" s="4"/>
      <c r="NIM55" s="4"/>
      <c r="NIN55" s="4"/>
      <c r="NIO55" s="4"/>
      <c r="NIP55" s="4"/>
      <c r="NIQ55" s="4"/>
      <c r="NIR55" s="4"/>
      <c r="NIS55" s="4"/>
      <c r="NIT55" s="4"/>
      <c r="NIU55" s="4"/>
      <c r="NIV55" s="4"/>
      <c r="NIW55" s="4"/>
      <c r="NIX55" s="4"/>
      <c r="NIY55" s="4"/>
      <c r="NIZ55" s="4"/>
      <c r="NJA55" s="4"/>
      <c r="NJB55" s="4"/>
      <c r="NJC55" s="4"/>
      <c r="NJD55" s="4"/>
      <c r="NJE55" s="4"/>
      <c r="NJF55" s="4"/>
      <c r="NJG55" s="4"/>
      <c r="NJH55" s="4"/>
      <c r="NJI55" s="4"/>
      <c r="NJJ55" s="4"/>
      <c r="NJK55" s="4"/>
      <c r="NJL55" s="4"/>
      <c r="NJM55" s="4"/>
      <c r="NJN55" s="4"/>
      <c r="NJO55" s="4"/>
      <c r="NJP55" s="4"/>
      <c r="NJQ55" s="4"/>
      <c r="NJR55" s="4"/>
      <c r="NJS55" s="4"/>
      <c r="NJT55" s="4"/>
      <c r="NJU55" s="4"/>
      <c r="NJV55" s="4"/>
      <c r="NJW55" s="4"/>
      <c r="NJX55" s="4"/>
      <c r="NJY55" s="4"/>
      <c r="NJZ55" s="4"/>
      <c r="NKA55" s="4"/>
      <c r="NKB55" s="4"/>
      <c r="NKC55" s="4"/>
      <c r="NKD55" s="4"/>
      <c r="NKE55" s="4"/>
      <c r="NKF55" s="4"/>
      <c r="NKG55" s="4"/>
      <c r="NKH55" s="4"/>
      <c r="NKI55" s="4"/>
      <c r="NKJ55" s="4"/>
      <c r="NKK55" s="4"/>
      <c r="NKL55" s="4"/>
      <c r="NKM55" s="4"/>
      <c r="NKN55" s="4"/>
      <c r="NKO55" s="4"/>
      <c r="NKP55" s="4"/>
      <c r="NKQ55" s="4"/>
      <c r="NKR55" s="4"/>
      <c r="NKS55" s="4"/>
      <c r="NKT55" s="4"/>
      <c r="NKU55" s="4"/>
      <c r="NKV55" s="4"/>
      <c r="NKW55" s="4"/>
      <c r="NKX55" s="4"/>
      <c r="NKY55" s="4"/>
      <c r="NKZ55" s="4"/>
      <c r="NLA55" s="4"/>
      <c r="NLB55" s="4"/>
      <c r="NLC55" s="4"/>
      <c r="NLD55" s="4"/>
      <c r="NLE55" s="4"/>
      <c r="NLF55" s="4"/>
      <c r="NLG55" s="4"/>
      <c r="NLH55" s="4"/>
      <c r="NLI55" s="4"/>
      <c r="NLJ55" s="4"/>
      <c r="NLK55" s="4"/>
      <c r="NLL55" s="4"/>
      <c r="NLM55" s="4"/>
      <c r="NLN55" s="4"/>
      <c r="NLO55" s="4"/>
      <c r="NLP55" s="4"/>
      <c r="NLQ55" s="4"/>
      <c r="NLR55" s="4"/>
      <c r="NLS55" s="4"/>
      <c r="NLT55" s="4"/>
      <c r="NLU55" s="4"/>
      <c r="NLV55" s="4"/>
      <c r="NLW55" s="4"/>
      <c r="NLX55" s="4"/>
      <c r="NLY55" s="4"/>
      <c r="NLZ55" s="4"/>
      <c r="NMA55" s="4"/>
      <c r="NMB55" s="4"/>
      <c r="NMC55" s="4"/>
      <c r="NMD55" s="4"/>
      <c r="NME55" s="4"/>
      <c r="NMF55" s="4"/>
      <c r="NMG55" s="4"/>
      <c r="NMH55" s="4"/>
      <c r="NMI55" s="4"/>
      <c r="NMJ55" s="4"/>
      <c r="NMK55" s="4"/>
      <c r="NML55" s="4"/>
      <c r="NMM55" s="4"/>
      <c r="NMN55" s="4"/>
      <c r="NMO55" s="4"/>
      <c r="NMP55" s="4"/>
      <c r="NMQ55" s="4"/>
      <c r="NMR55" s="4"/>
      <c r="NMS55" s="4"/>
      <c r="NMT55" s="4"/>
      <c r="NMU55" s="4"/>
      <c r="NMV55" s="4"/>
      <c r="NMW55" s="4"/>
      <c r="NMX55" s="4"/>
      <c r="NMY55" s="4"/>
      <c r="NMZ55" s="4"/>
      <c r="NNA55" s="4"/>
      <c r="NNB55" s="4"/>
      <c r="NNC55" s="4"/>
      <c r="NND55" s="4"/>
      <c r="NNE55" s="4"/>
      <c r="NNF55" s="4"/>
      <c r="NNG55" s="4"/>
      <c r="NNH55" s="4"/>
      <c r="NNI55" s="4"/>
      <c r="NNJ55" s="4"/>
      <c r="NNK55" s="4"/>
      <c r="NNL55" s="4"/>
      <c r="NNM55" s="4"/>
      <c r="NNN55" s="4"/>
      <c r="NNO55" s="4"/>
      <c r="NNP55" s="4"/>
      <c r="NNQ55" s="4"/>
      <c r="NNR55" s="4"/>
      <c r="NNS55" s="4"/>
      <c r="NNT55" s="4"/>
      <c r="NNU55" s="4"/>
      <c r="NNV55" s="4"/>
      <c r="NNW55" s="4"/>
      <c r="NNX55" s="4"/>
      <c r="NNY55" s="4"/>
      <c r="NNZ55" s="4"/>
      <c r="NOA55" s="4"/>
      <c r="NOB55" s="4"/>
      <c r="NOC55" s="4"/>
      <c r="NOD55" s="4"/>
      <c r="NOE55" s="4"/>
      <c r="NOF55" s="4"/>
      <c r="NOG55" s="4"/>
      <c r="NOH55" s="4"/>
      <c r="NOI55" s="4"/>
      <c r="NOJ55" s="4"/>
      <c r="NOK55" s="4"/>
      <c r="NOL55" s="4"/>
      <c r="NOM55" s="4"/>
      <c r="NON55" s="4"/>
      <c r="NOO55" s="4"/>
      <c r="NOP55" s="4"/>
      <c r="NOQ55" s="4"/>
      <c r="NOR55" s="4"/>
      <c r="NOS55" s="4"/>
      <c r="NOT55" s="4"/>
      <c r="NOU55" s="4"/>
      <c r="NOV55" s="4"/>
      <c r="NOW55" s="4"/>
      <c r="NOX55" s="4"/>
      <c r="NOY55" s="4"/>
      <c r="NOZ55" s="4"/>
      <c r="NPA55" s="4"/>
      <c r="NPB55" s="4"/>
      <c r="NPC55" s="4"/>
      <c r="NPD55" s="4"/>
      <c r="NPE55" s="4"/>
      <c r="NPF55" s="4"/>
      <c r="NPG55" s="4"/>
      <c r="NPH55" s="4"/>
      <c r="NPI55" s="4"/>
      <c r="NPJ55" s="4"/>
      <c r="NPK55" s="4"/>
      <c r="NPL55" s="4"/>
      <c r="NPM55" s="4"/>
      <c r="NPN55" s="4"/>
      <c r="NPO55" s="4"/>
      <c r="NPP55" s="4"/>
      <c r="NPQ55" s="4"/>
      <c r="NPR55" s="4"/>
      <c r="NPS55" s="4"/>
      <c r="NPT55" s="4"/>
      <c r="NPU55" s="4"/>
      <c r="NPV55" s="4"/>
      <c r="NPW55" s="4"/>
      <c r="NPX55" s="4"/>
      <c r="NPY55" s="4"/>
      <c r="NPZ55" s="4"/>
      <c r="NQA55" s="4"/>
      <c r="NQB55" s="4"/>
      <c r="NQC55" s="4"/>
      <c r="NQD55" s="4"/>
      <c r="NQE55" s="4"/>
      <c r="NQF55" s="4"/>
      <c r="NQG55" s="4"/>
      <c r="NQH55" s="4"/>
      <c r="NQI55" s="4"/>
      <c r="NQJ55" s="4"/>
      <c r="NQK55" s="4"/>
      <c r="NQL55" s="4"/>
      <c r="NQM55" s="4"/>
      <c r="NQN55" s="4"/>
      <c r="NQO55" s="4"/>
      <c r="NQP55" s="4"/>
      <c r="NQQ55" s="4"/>
      <c r="NQR55" s="4"/>
      <c r="NQS55" s="4"/>
      <c r="NQT55" s="4"/>
      <c r="NQU55" s="4"/>
      <c r="NQV55" s="4"/>
      <c r="NQW55" s="4"/>
      <c r="NQX55" s="4"/>
      <c r="NQY55" s="4"/>
      <c r="NQZ55" s="4"/>
      <c r="NRA55" s="4"/>
      <c r="NRB55" s="4"/>
      <c r="NRC55" s="4"/>
      <c r="NRD55" s="4"/>
      <c r="NRE55" s="4"/>
      <c r="NRF55" s="4"/>
      <c r="NRG55" s="4"/>
      <c r="NRH55" s="4"/>
      <c r="NRI55" s="4"/>
      <c r="NRJ55" s="4"/>
      <c r="NRK55" s="4"/>
      <c r="NRL55" s="4"/>
      <c r="NRM55" s="4"/>
      <c r="NRN55" s="4"/>
      <c r="NRO55" s="4"/>
      <c r="NRP55" s="4"/>
      <c r="NRQ55" s="4"/>
      <c r="NRR55" s="4"/>
      <c r="NRS55" s="4"/>
      <c r="NRT55" s="4"/>
      <c r="NRU55" s="4"/>
      <c r="NRV55" s="4"/>
      <c r="NRW55" s="4"/>
      <c r="NRX55" s="4"/>
      <c r="NRY55" s="4"/>
      <c r="NRZ55" s="4"/>
      <c r="NSA55" s="4"/>
      <c r="NSB55" s="4"/>
      <c r="NSC55" s="4"/>
      <c r="NSD55" s="4"/>
      <c r="NSE55" s="4"/>
      <c r="NSF55" s="4"/>
      <c r="NSG55" s="4"/>
      <c r="NSH55" s="4"/>
      <c r="NSI55" s="4"/>
      <c r="NSJ55" s="4"/>
      <c r="NSK55" s="4"/>
      <c r="NSL55" s="4"/>
      <c r="NSM55" s="4"/>
      <c r="NSN55" s="4"/>
      <c r="NSO55" s="4"/>
      <c r="NSP55" s="4"/>
      <c r="NSQ55" s="4"/>
      <c r="NSR55" s="4"/>
      <c r="NSS55" s="4"/>
      <c r="NST55" s="4"/>
      <c r="NSU55" s="4"/>
      <c r="NSV55" s="4"/>
      <c r="NSW55" s="4"/>
      <c r="NSX55" s="4"/>
      <c r="NSY55" s="4"/>
      <c r="NSZ55" s="4"/>
      <c r="NTA55" s="4"/>
      <c r="NTB55" s="4"/>
      <c r="NTC55" s="4"/>
      <c r="NTD55" s="4"/>
      <c r="NTE55" s="4"/>
      <c r="NTF55" s="4"/>
      <c r="NTG55" s="4"/>
      <c r="NTH55" s="4"/>
      <c r="NTI55" s="4"/>
      <c r="NTJ55" s="4"/>
      <c r="NTK55" s="4"/>
      <c r="NTL55" s="4"/>
      <c r="NTM55" s="4"/>
      <c r="NTN55" s="4"/>
      <c r="NTO55" s="4"/>
      <c r="NTP55" s="4"/>
      <c r="NTQ55" s="4"/>
      <c r="NTR55" s="4"/>
      <c r="NTS55" s="4"/>
      <c r="NTT55" s="4"/>
      <c r="NTU55" s="4"/>
      <c r="NTV55" s="4"/>
      <c r="NTW55" s="4"/>
      <c r="NTX55" s="4"/>
      <c r="NTY55" s="4"/>
      <c r="NTZ55" s="4"/>
      <c r="NUA55" s="4"/>
      <c r="NUB55" s="4"/>
      <c r="NUC55" s="4"/>
      <c r="NUD55" s="4"/>
      <c r="NUE55" s="4"/>
      <c r="NUF55" s="4"/>
      <c r="NUG55" s="4"/>
      <c r="NUH55" s="4"/>
      <c r="NUI55" s="4"/>
      <c r="NUJ55" s="4"/>
      <c r="NUK55" s="4"/>
      <c r="NUL55" s="4"/>
      <c r="NUM55" s="4"/>
      <c r="NUN55" s="4"/>
      <c r="NUO55" s="4"/>
      <c r="NUP55" s="4"/>
      <c r="NUQ55" s="4"/>
      <c r="NUR55" s="4"/>
      <c r="NUS55" s="4"/>
      <c r="NUT55" s="4"/>
      <c r="NUU55" s="4"/>
      <c r="NUV55" s="4"/>
      <c r="NUW55" s="4"/>
      <c r="NUX55" s="4"/>
      <c r="NUY55" s="4"/>
      <c r="NUZ55" s="4"/>
      <c r="NVA55" s="4"/>
      <c r="NVB55" s="4"/>
      <c r="NVC55" s="4"/>
      <c r="NVD55" s="4"/>
      <c r="NVE55" s="4"/>
      <c r="NVF55" s="4"/>
      <c r="NVG55" s="4"/>
      <c r="NVH55" s="4"/>
      <c r="NVI55" s="4"/>
      <c r="NVJ55" s="4"/>
      <c r="NVK55" s="4"/>
      <c r="NVL55" s="4"/>
      <c r="NVM55" s="4"/>
      <c r="NVN55" s="4"/>
      <c r="NVO55" s="4"/>
      <c r="NVP55" s="4"/>
      <c r="NVQ55" s="4"/>
      <c r="NVR55" s="4"/>
      <c r="NVS55" s="4"/>
      <c r="NVT55" s="4"/>
      <c r="NVU55" s="4"/>
      <c r="NVV55" s="4"/>
      <c r="NVW55" s="4"/>
      <c r="NVX55" s="4"/>
      <c r="NVY55" s="4"/>
      <c r="NVZ55" s="4"/>
      <c r="NWA55" s="4"/>
      <c r="NWB55" s="4"/>
      <c r="NWC55" s="4"/>
      <c r="NWD55" s="4"/>
      <c r="NWE55" s="4"/>
      <c r="NWF55" s="4"/>
      <c r="NWG55" s="4"/>
      <c r="NWH55" s="4"/>
      <c r="NWI55" s="4"/>
      <c r="NWJ55" s="4"/>
      <c r="NWK55" s="4"/>
      <c r="NWL55" s="4"/>
      <c r="NWM55" s="4"/>
      <c r="NWN55" s="4"/>
      <c r="NWO55" s="4"/>
      <c r="NWP55" s="4"/>
      <c r="NWQ55" s="4"/>
      <c r="NWR55" s="4"/>
      <c r="NWS55" s="4"/>
      <c r="NWT55" s="4"/>
      <c r="NWU55" s="4"/>
      <c r="NWV55" s="4"/>
      <c r="NWW55" s="4"/>
      <c r="NWX55" s="4"/>
      <c r="NWY55" s="4"/>
      <c r="NWZ55" s="4"/>
      <c r="NXA55" s="4"/>
      <c r="NXB55" s="4"/>
      <c r="NXC55" s="4"/>
      <c r="NXD55" s="4"/>
      <c r="NXE55" s="4"/>
      <c r="NXF55" s="4"/>
      <c r="NXG55" s="4"/>
      <c r="NXH55" s="4"/>
      <c r="NXI55" s="4"/>
      <c r="NXJ55" s="4"/>
      <c r="NXK55" s="4"/>
      <c r="NXL55" s="4"/>
      <c r="NXM55" s="4"/>
      <c r="NXN55" s="4"/>
      <c r="NXO55" s="4"/>
      <c r="NXP55" s="4"/>
      <c r="NXQ55" s="4"/>
      <c r="NXR55" s="4"/>
      <c r="NXS55" s="4"/>
      <c r="NXT55" s="4"/>
      <c r="NXU55" s="4"/>
      <c r="NXV55" s="4"/>
      <c r="NXW55" s="4"/>
      <c r="NXX55" s="4"/>
      <c r="NXY55" s="4"/>
      <c r="NXZ55" s="4"/>
      <c r="NYA55" s="4"/>
      <c r="NYB55" s="4"/>
      <c r="NYC55" s="4"/>
      <c r="NYD55" s="4"/>
      <c r="NYE55" s="4"/>
      <c r="NYF55" s="4"/>
      <c r="NYG55" s="4"/>
      <c r="NYH55" s="4"/>
      <c r="NYI55" s="4"/>
      <c r="NYJ55" s="4"/>
      <c r="NYK55" s="4"/>
      <c r="NYL55" s="4"/>
      <c r="NYM55" s="4"/>
      <c r="NYN55" s="4"/>
      <c r="NYO55" s="4"/>
      <c r="NYP55" s="4"/>
      <c r="NYQ55" s="4"/>
      <c r="NYR55" s="4"/>
      <c r="NYS55" s="4"/>
      <c r="NYT55" s="4"/>
      <c r="NYU55" s="4"/>
      <c r="NYV55" s="4"/>
      <c r="NYW55" s="4"/>
      <c r="NYX55" s="4"/>
      <c r="NYY55" s="4"/>
      <c r="NYZ55" s="4"/>
      <c r="NZA55" s="4"/>
      <c r="NZB55" s="4"/>
      <c r="NZC55" s="4"/>
      <c r="NZD55" s="4"/>
      <c r="NZE55" s="4"/>
      <c r="NZF55" s="4"/>
      <c r="NZG55" s="4"/>
      <c r="NZH55" s="4"/>
      <c r="NZI55" s="4"/>
      <c r="NZJ55" s="4"/>
      <c r="NZK55" s="4"/>
      <c r="NZL55" s="4"/>
      <c r="NZM55" s="4"/>
      <c r="NZN55" s="4"/>
      <c r="NZO55" s="4"/>
      <c r="NZP55" s="4"/>
      <c r="NZQ55" s="4"/>
      <c r="NZR55" s="4"/>
      <c r="NZS55" s="4"/>
      <c r="NZT55" s="4"/>
      <c r="NZU55" s="4"/>
      <c r="NZV55" s="4"/>
      <c r="NZW55" s="4"/>
      <c r="NZX55" s="4"/>
      <c r="NZY55" s="4"/>
      <c r="NZZ55" s="4"/>
      <c r="OAA55" s="4"/>
      <c r="OAB55" s="4"/>
      <c r="OAC55" s="4"/>
      <c r="OAD55" s="4"/>
      <c r="OAE55" s="4"/>
      <c r="OAF55" s="4"/>
      <c r="OAG55" s="4"/>
      <c r="OAH55" s="4"/>
      <c r="OAI55" s="4"/>
      <c r="OAJ55" s="4"/>
      <c r="OAK55" s="4"/>
      <c r="OAL55" s="4"/>
      <c r="OAM55" s="4"/>
      <c r="OAN55" s="4"/>
      <c r="OAO55" s="4"/>
      <c r="OAP55" s="4"/>
      <c r="OAQ55" s="4"/>
      <c r="OAR55" s="4"/>
      <c r="OAS55" s="4"/>
      <c r="OAT55" s="4"/>
      <c r="OAU55" s="4"/>
      <c r="OAV55" s="4"/>
      <c r="OAW55" s="4"/>
      <c r="OAX55" s="4"/>
      <c r="OAY55" s="4"/>
      <c r="OAZ55" s="4"/>
      <c r="OBA55" s="4"/>
      <c r="OBB55" s="4"/>
      <c r="OBC55" s="4"/>
      <c r="OBD55" s="4"/>
      <c r="OBE55" s="4"/>
      <c r="OBF55" s="4"/>
      <c r="OBG55" s="4"/>
      <c r="OBH55" s="4"/>
      <c r="OBI55" s="4"/>
      <c r="OBJ55" s="4"/>
      <c r="OBK55" s="4"/>
      <c r="OBL55" s="4"/>
      <c r="OBM55" s="4"/>
      <c r="OBN55" s="4"/>
      <c r="OBO55" s="4"/>
      <c r="OBP55" s="4"/>
      <c r="OBQ55" s="4"/>
      <c r="OBR55" s="4"/>
      <c r="OBS55" s="4"/>
      <c r="OBT55" s="4"/>
      <c r="OBU55" s="4"/>
      <c r="OBV55" s="4"/>
      <c r="OBW55" s="4"/>
      <c r="OBX55" s="4"/>
      <c r="OBY55" s="4"/>
      <c r="OBZ55" s="4"/>
      <c r="OCA55" s="4"/>
      <c r="OCB55" s="4"/>
      <c r="OCC55" s="4"/>
      <c r="OCD55" s="4"/>
      <c r="OCE55" s="4"/>
      <c r="OCF55" s="4"/>
      <c r="OCG55" s="4"/>
      <c r="OCH55" s="4"/>
      <c r="OCI55" s="4"/>
      <c r="OCJ55" s="4"/>
      <c r="OCK55" s="4"/>
      <c r="OCL55" s="4"/>
      <c r="OCM55" s="4"/>
      <c r="OCN55" s="4"/>
      <c r="OCO55" s="4"/>
      <c r="OCP55" s="4"/>
      <c r="OCQ55" s="4"/>
      <c r="OCR55" s="4"/>
      <c r="OCS55" s="4"/>
      <c r="OCT55" s="4"/>
      <c r="OCU55" s="4"/>
      <c r="OCV55" s="4"/>
      <c r="OCW55" s="4"/>
      <c r="OCX55" s="4"/>
      <c r="OCY55" s="4"/>
      <c r="OCZ55" s="4"/>
      <c r="ODA55" s="4"/>
      <c r="ODB55" s="4"/>
      <c r="ODC55" s="4"/>
      <c r="ODD55" s="4"/>
      <c r="ODE55" s="4"/>
      <c r="ODF55" s="4"/>
      <c r="ODG55" s="4"/>
      <c r="ODH55" s="4"/>
      <c r="ODI55" s="4"/>
      <c r="ODJ55" s="4"/>
      <c r="ODK55" s="4"/>
      <c r="ODL55" s="4"/>
      <c r="ODM55" s="4"/>
      <c r="ODN55" s="4"/>
      <c r="ODO55" s="4"/>
      <c r="ODP55" s="4"/>
      <c r="ODQ55" s="4"/>
      <c r="ODR55" s="4"/>
      <c r="ODS55" s="4"/>
      <c r="ODT55" s="4"/>
      <c r="ODU55" s="4"/>
      <c r="ODV55" s="4"/>
      <c r="ODW55" s="4"/>
      <c r="ODX55" s="4"/>
      <c r="ODY55" s="4"/>
      <c r="ODZ55" s="4"/>
      <c r="OEA55" s="4"/>
      <c r="OEB55" s="4"/>
      <c r="OEC55" s="4"/>
      <c r="OED55" s="4"/>
      <c r="OEE55" s="4"/>
      <c r="OEF55" s="4"/>
      <c r="OEG55" s="4"/>
      <c r="OEH55" s="4"/>
      <c r="OEI55" s="4"/>
      <c r="OEJ55" s="4"/>
      <c r="OEK55" s="4"/>
      <c r="OEL55" s="4"/>
      <c r="OEM55" s="4"/>
      <c r="OEN55" s="4"/>
      <c r="OEO55" s="4"/>
      <c r="OEP55" s="4"/>
      <c r="OEQ55" s="4"/>
      <c r="OER55" s="4"/>
      <c r="OES55" s="4"/>
      <c r="OET55" s="4"/>
      <c r="OEU55" s="4"/>
      <c r="OEV55" s="4"/>
      <c r="OEW55" s="4"/>
      <c r="OEX55" s="4"/>
      <c r="OEY55" s="4"/>
      <c r="OEZ55" s="4"/>
      <c r="OFA55" s="4"/>
      <c r="OFB55" s="4"/>
      <c r="OFC55" s="4"/>
      <c r="OFD55" s="4"/>
      <c r="OFE55" s="4"/>
      <c r="OFF55" s="4"/>
      <c r="OFG55" s="4"/>
      <c r="OFH55" s="4"/>
      <c r="OFI55" s="4"/>
      <c r="OFJ55" s="4"/>
      <c r="OFK55" s="4"/>
      <c r="OFL55" s="4"/>
      <c r="OFM55" s="4"/>
      <c r="OFN55" s="4"/>
      <c r="OFO55" s="4"/>
      <c r="OFP55" s="4"/>
      <c r="OFQ55" s="4"/>
      <c r="OFR55" s="4"/>
      <c r="OFS55" s="4"/>
      <c r="OFT55" s="4"/>
      <c r="OFU55" s="4"/>
      <c r="OFV55" s="4"/>
      <c r="OFW55" s="4"/>
      <c r="OFX55" s="4"/>
      <c r="OFY55" s="4"/>
      <c r="OFZ55" s="4"/>
      <c r="OGA55" s="4"/>
      <c r="OGB55" s="4"/>
      <c r="OGC55" s="4"/>
      <c r="OGD55" s="4"/>
      <c r="OGE55" s="4"/>
      <c r="OGF55" s="4"/>
      <c r="OGG55" s="4"/>
      <c r="OGH55" s="4"/>
      <c r="OGI55" s="4"/>
      <c r="OGJ55" s="4"/>
      <c r="OGK55" s="4"/>
      <c r="OGL55" s="4"/>
      <c r="OGM55" s="4"/>
      <c r="OGN55" s="4"/>
      <c r="OGO55" s="4"/>
      <c r="OGP55" s="4"/>
      <c r="OGQ55" s="4"/>
      <c r="OGR55" s="4"/>
      <c r="OGS55" s="4"/>
      <c r="OGT55" s="4"/>
      <c r="OGU55" s="4"/>
      <c r="OGV55" s="4"/>
      <c r="OGW55" s="4"/>
      <c r="OGX55" s="4"/>
      <c r="OGY55" s="4"/>
      <c r="OGZ55" s="4"/>
      <c r="OHA55" s="4"/>
      <c r="OHB55" s="4"/>
      <c r="OHC55" s="4"/>
      <c r="OHD55" s="4"/>
      <c r="OHE55" s="4"/>
      <c r="OHF55" s="4"/>
      <c r="OHG55" s="4"/>
      <c r="OHH55" s="4"/>
      <c r="OHI55" s="4"/>
      <c r="OHJ55" s="4"/>
      <c r="OHK55" s="4"/>
      <c r="OHL55" s="4"/>
      <c r="OHM55" s="4"/>
      <c r="OHN55" s="4"/>
      <c r="OHO55" s="4"/>
      <c r="OHP55" s="4"/>
      <c r="OHQ55" s="4"/>
      <c r="OHR55" s="4"/>
      <c r="OHS55" s="4"/>
      <c r="OHT55" s="4"/>
      <c r="OHU55" s="4"/>
      <c r="OHV55" s="4"/>
      <c r="OHW55" s="4"/>
      <c r="OHX55" s="4"/>
      <c r="OHY55" s="4"/>
      <c r="OHZ55" s="4"/>
      <c r="OIA55" s="4"/>
      <c r="OIB55" s="4"/>
      <c r="OIC55" s="4"/>
      <c r="OID55" s="4"/>
      <c r="OIE55" s="4"/>
      <c r="OIF55" s="4"/>
      <c r="OIG55" s="4"/>
      <c r="OIH55" s="4"/>
      <c r="OII55" s="4"/>
      <c r="OIJ55" s="4"/>
      <c r="OIK55" s="4"/>
      <c r="OIL55" s="4"/>
      <c r="OIM55" s="4"/>
      <c r="OIN55" s="4"/>
      <c r="OIO55" s="4"/>
      <c r="OIP55" s="4"/>
      <c r="OIQ55" s="4"/>
      <c r="OIR55" s="4"/>
      <c r="OIS55" s="4"/>
      <c r="OIT55" s="4"/>
      <c r="OIU55" s="4"/>
      <c r="OIV55" s="4"/>
      <c r="OIW55" s="4"/>
      <c r="OIX55" s="4"/>
      <c r="OIY55" s="4"/>
      <c r="OIZ55" s="4"/>
      <c r="OJA55" s="4"/>
      <c r="OJB55" s="4"/>
      <c r="OJC55" s="4"/>
      <c r="OJD55" s="4"/>
      <c r="OJE55" s="4"/>
      <c r="OJF55" s="4"/>
      <c r="OJG55" s="4"/>
      <c r="OJH55" s="4"/>
      <c r="OJI55" s="4"/>
      <c r="OJJ55" s="4"/>
      <c r="OJK55" s="4"/>
      <c r="OJL55" s="4"/>
      <c r="OJM55" s="4"/>
      <c r="OJN55" s="4"/>
      <c r="OJO55" s="4"/>
      <c r="OJP55" s="4"/>
      <c r="OJQ55" s="4"/>
      <c r="OJR55" s="4"/>
      <c r="OJS55" s="4"/>
      <c r="OJT55" s="4"/>
      <c r="OJU55" s="4"/>
      <c r="OJV55" s="4"/>
      <c r="OJW55" s="4"/>
      <c r="OJX55" s="4"/>
      <c r="OJY55" s="4"/>
      <c r="OJZ55" s="4"/>
      <c r="OKA55" s="4"/>
      <c r="OKB55" s="4"/>
      <c r="OKC55" s="4"/>
      <c r="OKD55" s="4"/>
      <c r="OKE55" s="4"/>
      <c r="OKF55" s="4"/>
      <c r="OKG55" s="4"/>
      <c r="OKH55" s="4"/>
      <c r="OKI55" s="4"/>
      <c r="OKJ55" s="4"/>
      <c r="OKK55" s="4"/>
      <c r="OKL55" s="4"/>
      <c r="OKM55" s="4"/>
      <c r="OKN55" s="4"/>
      <c r="OKO55" s="4"/>
      <c r="OKP55" s="4"/>
      <c r="OKQ55" s="4"/>
      <c r="OKR55" s="4"/>
      <c r="OKS55" s="4"/>
      <c r="OKT55" s="4"/>
      <c r="OKU55" s="4"/>
      <c r="OKV55" s="4"/>
      <c r="OKW55" s="4"/>
      <c r="OKX55" s="4"/>
      <c r="OKY55" s="4"/>
      <c r="OKZ55" s="4"/>
      <c r="OLA55" s="4"/>
      <c r="OLB55" s="4"/>
      <c r="OLC55" s="4"/>
      <c r="OLD55" s="4"/>
      <c r="OLE55" s="4"/>
      <c r="OLF55" s="4"/>
      <c r="OLG55" s="4"/>
      <c r="OLH55" s="4"/>
      <c r="OLI55" s="4"/>
      <c r="OLJ55" s="4"/>
      <c r="OLK55" s="4"/>
      <c r="OLL55" s="4"/>
      <c r="OLM55" s="4"/>
      <c r="OLN55" s="4"/>
      <c r="OLO55" s="4"/>
      <c r="OLP55" s="4"/>
      <c r="OLQ55" s="4"/>
      <c r="OLR55" s="4"/>
      <c r="OLS55" s="4"/>
      <c r="OLT55" s="4"/>
      <c r="OLU55" s="4"/>
      <c r="OLV55" s="4"/>
      <c r="OLW55" s="4"/>
      <c r="OLX55" s="4"/>
      <c r="OLY55" s="4"/>
      <c r="OLZ55" s="4"/>
      <c r="OMA55" s="4"/>
      <c r="OMB55" s="4"/>
      <c r="OMC55" s="4"/>
      <c r="OMD55" s="4"/>
      <c r="OME55" s="4"/>
      <c r="OMF55" s="4"/>
      <c r="OMG55" s="4"/>
      <c r="OMH55" s="4"/>
      <c r="OMI55" s="4"/>
      <c r="OMJ55" s="4"/>
      <c r="OMK55" s="4"/>
      <c r="OML55" s="4"/>
      <c r="OMM55" s="4"/>
      <c r="OMN55" s="4"/>
      <c r="OMO55" s="4"/>
      <c r="OMP55" s="4"/>
      <c r="OMQ55" s="4"/>
      <c r="OMR55" s="4"/>
      <c r="OMS55" s="4"/>
      <c r="OMT55" s="4"/>
      <c r="OMU55" s="4"/>
      <c r="OMV55" s="4"/>
      <c r="OMW55" s="4"/>
      <c r="OMX55" s="4"/>
      <c r="OMY55" s="4"/>
      <c r="OMZ55" s="4"/>
      <c r="ONA55" s="4"/>
      <c r="ONB55" s="4"/>
      <c r="ONC55" s="4"/>
      <c r="OND55" s="4"/>
      <c r="ONE55" s="4"/>
      <c r="ONF55" s="4"/>
      <c r="ONG55" s="4"/>
      <c r="ONH55" s="4"/>
      <c r="ONI55" s="4"/>
      <c r="ONJ55" s="4"/>
      <c r="ONK55" s="4"/>
      <c r="ONL55" s="4"/>
      <c r="ONM55" s="4"/>
      <c r="ONN55" s="4"/>
      <c r="ONO55" s="4"/>
      <c r="ONP55" s="4"/>
      <c r="ONQ55" s="4"/>
      <c r="ONR55" s="4"/>
      <c r="ONS55" s="4"/>
      <c r="ONT55" s="4"/>
      <c r="ONU55" s="4"/>
      <c r="ONV55" s="4"/>
      <c r="ONW55" s="4"/>
      <c r="ONX55" s="4"/>
      <c r="ONY55" s="4"/>
      <c r="ONZ55" s="4"/>
      <c r="OOA55" s="4"/>
      <c r="OOB55" s="4"/>
      <c r="OOC55" s="4"/>
      <c r="OOD55" s="4"/>
      <c r="OOE55" s="4"/>
      <c r="OOF55" s="4"/>
      <c r="OOG55" s="4"/>
      <c r="OOH55" s="4"/>
      <c r="OOI55" s="4"/>
      <c r="OOJ55" s="4"/>
      <c r="OOK55" s="4"/>
      <c r="OOL55" s="4"/>
      <c r="OOM55" s="4"/>
      <c r="OON55" s="4"/>
      <c r="OOO55" s="4"/>
      <c r="OOP55" s="4"/>
      <c r="OOQ55" s="4"/>
      <c r="OOR55" s="4"/>
      <c r="OOS55" s="4"/>
      <c r="OOT55" s="4"/>
      <c r="OOU55" s="4"/>
      <c r="OOV55" s="4"/>
      <c r="OOW55" s="4"/>
      <c r="OOX55" s="4"/>
      <c r="OOY55" s="4"/>
      <c r="OOZ55" s="4"/>
      <c r="OPA55" s="4"/>
      <c r="OPB55" s="4"/>
      <c r="OPC55" s="4"/>
      <c r="OPD55" s="4"/>
      <c r="OPE55" s="4"/>
      <c r="OPF55" s="4"/>
      <c r="OPG55" s="4"/>
      <c r="OPH55" s="4"/>
      <c r="OPI55" s="4"/>
      <c r="OPJ55" s="4"/>
      <c r="OPK55" s="4"/>
      <c r="OPL55" s="4"/>
      <c r="OPM55" s="4"/>
      <c r="OPN55" s="4"/>
      <c r="OPO55" s="4"/>
      <c r="OPP55" s="4"/>
      <c r="OPQ55" s="4"/>
      <c r="OPR55" s="4"/>
      <c r="OPS55" s="4"/>
      <c r="OPT55" s="4"/>
      <c r="OPU55" s="4"/>
      <c r="OPV55" s="4"/>
      <c r="OPW55" s="4"/>
      <c r="OPX55" s="4"/>
      <c r="OPY55" s="4"/>
      <c r="OPZ55" s="4"/>
      <c r="OQA55" s="4"/>
      <c r="OQB55" s="4"/>
      <c r="OQC55" s="4"/>
      <c r="OQD55" s="4"/>
      <c r="OQE55" s="4"/>
      <c r="OQF55" s="4"/>
      <c r="OQG55" s="4"/>
      <c r="OQH55" s="4"/>
      <c r="OQI55" s="4"/>
      <c r="OQJ55" s="4"/>
      <c r="OQK55" s="4"/>
      <c r="OQL55" s="4"/>
      <c r="OQM55" s="4"/>
      <c r="OQN55" s="4"/>
      <c r="OQO55" s="4"/>
      <c r="OQP55" s="4"/>
      <c r="OQQ55" s="4"/>
      <c r="OQR55" s="4"/>
      <c r="OQS55" s="4"/>
      <c r="OQT55" s="4"/>
      <c r="OQU55" s="4"/>
      <c r="OQV55" s="4"/>
      <c r="OQW55" s="4"/>
      <c r="OQX55" s="4"/>
      <c r="OQY55" s="4"/>
      <c r="OQZ55" s="4"/>
      <c r="ORA55" s="4"/>
      <c r="ORB55" s="4"/>
      <c r="ORC55" s="4"/>
      <c r="ORD55" s="4"/>
      <c r="ORE55" s="4"/>
      <c r="ORF55" s="4"/>
      <c r="ORG55" s="4"/>
      <c r="ORH55" s="4"/>
      <c r="ORI55" s="4"/>
      <c r="ORJ55" s="4"/>
      <c r="ORK55" s="4"/>
      <c r="ORL55" s="4"/>
      <c r="ORM55" s="4"/>
      <c r="ORN55" s="4"/>
      <c r="ORO55" s="4"/>
      <c r="ORP55" s="4"/>
      <c r="ORQ55" s="4"/>
      <c r="ORR55" s="4"/>
      <c r="ORS55" s="4"/>
      <c r="ORT55" s="4"/>
      <c r="ORU55" s="4"/>
      <c r="ORV55" s="4"/>
      <c r="ORW55" s="4"/>
      <c r="ORX55" s="4"/>
      <c r="ORY55" s="4"/>
      <c r="ORZ55" s="4"/>
      <c r="OSA55" s="4"/>
      <c r="OSB55" s="4"/>
      <c r="OSC55" s="4"/>
      <c r="OSD55" s="4"/>
      <c r="OSE55" s="4"/>
      <c r="OSF55" s="4"/>
      <c r="OSG55" s="4"/>
      <c r="OSH55" s="4"/>
      <c r="OSI55" s="4"/>
      <c r="OSJ55" s="4"/>
      <c r="OSK55" s="4"/>
      <c r="OSL55" s="4"/>
      <c r="OSM55" s="4"/>
      <c r="OSN55" s="4"/>
      <c r="OSO55" s="4"/>
      <c r="OSP55" s="4"/>
      <c r="OSQ55" s="4"/>
      <c r="OSR55" s="4"/>
      <c r="OSS55" s="4"/>
      <c r="OST55" s="4"/>
      <c r="OSU55" s="4"/>
      <c r="OSV55" s="4"/>
      <c r="OSW55" s="4"/>
      <c r="OSX55" s="4"/>
      <c r="OSY55" s="4"/>
      <c r="OSZ55" s="4"/>
      <c r="OTA55" s="4"/>
      <c r="OTB55" s="4"/>
      <c r="OTC55" s="4"/>
      <c r="OTD55" s="4"/>
      <c r="OTE55" s="4"/>
      <c r="OTF55" s="4"/>
      <c r="OTG55" s="4"/>
      <c r="OTH55" s="4"/>
      <c r="OTI55" s="4"/>
      <c r="OTJ55" s="4"/>
      <c r="OTK55" s="4"/>
      <c r="OTL55" s="4"/>
      <c r="OTM55" s="4"/>
      <c r="OTN55" s="4"/>
      <c r="OTO55" s="4"/>
      <c r="OTP55" s="4"/>
      <c r="OTQ55" s="4"/>
      <c r="OTR55" s="4"/>
      <c r="OTS55" s="4"/>
      <c r="OTT55" s="4"/>
      <c r="OTU55" s="4"/>
      <c r="OTV55" s="4"/>
      <c r="OTW55" s="4"/>
      <c r="OTX55" s="4"/>
      <c r="OTY55" s="4"/>
      <c r="OTZ55" s="4"/>
      <c r="OUA55" s="4"/>
      <c r="OUB55" s="4"/>
      <c r="OUC55" s="4"/>
      <c r="OUD55" s="4"/>
      <c r="OUE55" s="4"/>
      <c r="OUF55" s="4"/>
      <c r="OUG55" s="4"/>
      <c r="OUH55" s="4"/>
      <c r="OUI55" s="4"/>
      <c r="OUJ55" s="4"/>
      <c r="OUK55" s="4"/>
      <c r="OUL55" s="4"/>
      <c r="OUM55" s="4"/>
      <c r="OUN55" s="4"/>
      <c r="OUO55" s="4"/>
      <c r="OUP55" s="4"/>
      <c r="OUQ55" s="4"/>
      <c r="OUR55" s="4"/>
      <c r="OUS55" s="4"/>
      <c r="OUT55" s="4"/>
      <c r="OUU55" s="4"/>
      <c r="OUV55" s="4"/>
      <c r="OUW55" s="4"/>
      <c r="OUX55" s="4"/>
      <c r="OUY55" s="4"/>
      <c r="OUZ55" s="4"/>
      <c r="OVA55" s="4"/>
      <c r="OVB55" s="4"/>
      <c r="OVC55" s="4"/>
      <c r="OVD55" s="4"/>
      <c r="OVE55" s="4"/>
      <c r="OVF55" s="4"/>
      <c r="OVG55" s="4"/>
      <c r="OVH55" s="4"/>
      <c r="OVI55" s="4"/>
      <c r="OVJ55" s="4"/>
      <c r="OVK55" s="4"/>
      <c r="OVL55" s="4"/>
      <c r="OVM55" s="4"/>
      <c r="OVN55" s="4"/>
      <c r="OVO55" s="4"/>
      <c r="OVP55" s="4"/>
      <c r="OVQ55" s="4"/>
      <c r="OVR55" s="4"/>
      <c r="OVS55" s="4"/>
      <c r="OVT55" s="4"/>
      <c r="OVU55" s="4"/>
      <c r="OVV55" s="4"/>
      <c r="OVW55" s="4"/>
      <c r="OVX55" s="4"/>
      <c r="OVY55" s="4"/>
      <c r="OVZ55" s="4"/>
      <c r="OWA55" s="4"/>
      <c r="OWB55" s="4"/>
      <c r="OWC55" s="4"/>
      <c r="OWD55" s="4"/>
      <c r="OWE55" s="4"/>
      <c r="OWF55" s="4"/>
      <c r="OWG55" s="4"/>
      <c r="OWH55" s="4"/>
      <c r="OWI55" s="4"/>
      <c r="OWJ55" s="4"/>
      <c r="OWK55" s="4"/>
      <c r="OWL55" s="4"/>
      <c r="OWM55" s="4"/>
      <c r="OWN55" s="4"/>
      <c r="OWO55" s="4"/>
      <c r="OWP55" s="4"/>
      <c r="OWQ55" s="4"/>
      <c r="OWR55" s="4"/>
      <c r="OWS55" s="4"/>
      <c r="OWT55" s="4"/>
      <c r="OWU55" s="4"/>
      <c r="OWV55" s="4"/>
      <c r="OWW55" s="4"/>
      <c r="OWX55" s="4"/>
      <c r="OWY55" s="4"/>
      <c r="OWZ55" s="4"/>
      <c r="OXA55" s="4"/>
      <c r="OXB55" s="4"/>
      <c r="OXC55" s="4"/>
      <c r="OXD55" s="4"/>
      <c r="OXE55" s="4"/>
      <c r="OXF55" s="4"/>
      <c r="OXG55" s="4"/>
      <c r="OXH55" s="4"/>
      <c r="OXI55" s="4"/>
      <c r="OXJ55" s="4"/>
      <c r="OXK55" s="4"/>
      <c r="OXL55" s="4"/>
      <c r="OXM55" s="4"/>
      <c r="OXN55" s="4"/>
      <c r="OXO55" s="4"/>
      <c r="OXP55" s="4"/>
      <c r="OXQ55" s="4"/>
      <c r="OXR55" s="4"/>
      <c r="OXS55" s="4"/>
      <c r="OXT55" s="4"/>
      <c r="OXU55" s="4"/>
      <c r="OXV55" s="4"/>
      <c r="OXW55" s="4"/>
      <c r="OXX55" s="4"/>
      <c r="OXY55" s="4"/>
      <c r="OXZ55" s="4"/>
      <c r="OYA55" s="4"/>
      <c r="OYB55" s="4"/>
      <c r="OYC55" s="4"/>
      <c r="OYD55" s="4"/>
      <c r="OYE55" s="4"/>
      <c r="OYF55" s="4"/>
      <c r="OYG55" s="4"/>
      <c r="OYH55" s="4"/>
      <c r="OYI55" s="4"/>
      <c r="OYJ55" s="4"/>
      <c r="OYK55" s="4"/>
      <c r="OYL55" s="4"/>
      <c r="OYM55" s="4"/>
      <c r="OYN55" s="4"/>
      <c r="OYO55" s="4"/>
      <c r="OYP55" s="4"/>
      <c r="OYQ55" s="4"/>
      <c r="OYR55" s="4"/>
      <c r="OYS55" s="4"/>
      <c r="OYT55" s="4"/>
      <c r="OYU55" s="4"/>
      <c r="OYV55" s="4"/>
      <c r="OYW55" s="4"/>
      <c r="OYX55" s="4"/>
      <c r="OYY55" s="4"/>
      <c r="OYZ55" s="4"/>
      <c r="OZA55" s="4"/>
      <c r="OZB55" s="4"/>
      <c r="OZC55" s="4"/>
      <c r="OZD55" s="4"/>
      <c r="OZE55" s="4"/>
      <c r="OZF55" s="4"/>
      <c r="OZG55" s="4"/>
      <c r="OZH55" s="4"/>
      <c r="OZI55" s="4"/>
      <c r="OZJ55" s="4"/>
      <c r="OZK55" s="4"/>
      <c r="OZL55" s="4"/>
      <c r="OZM55" s="4"/>
      <c r="OZN55" s="4"/>
      <c r="OZO55" s="4"/>
      <c r="OZP55" s="4"/>
      <c r="OZQ55" s="4"/>
      <c r="OZR55" s="4"/>
      <c r="OZS55" s="4"/>
      <c r="OZT55" s="4"/>
      <c r="OZU55" s="4"/>
      <c r="OZV55" s="4"/>
      <c r="OZW55" s="4"/>
      <c r="OZX55" s="4"/>
      <c r="OZY55" s="4"/>
      <c r="OZZ55" s="4"/>
      <c r="PAA55" s="4"/>
      <c r="PAB55" s="4"/>
      <c r="PAC55" s="4"/>
      <c r="PAD55" s="4"/>
      <c r="PAE55" s="4"/>
      <c r="PAF55" s="4"/>
      <c r="PAG55" s="4"/>
      <c r="PAH55" s="4"/>
      <c r="PAI55" s="4"/>
      <c r="PAJ55" s="4"/>
      <c r="PAK55" s="4"/>
      <c r="PAL55" s="4"/>
      <c r="PAM55" s="4"/>
      <c r="PAN55" s="4"/>
      <c r="PAO55" s="4"/>
      <c r="PAP55" s="4"/>
      <c r="PAQ55" s="4"/>
      <c r="PAR55" s="4"/>
      <c r="PAS55" s="4"/>
      <c r="PAT55" s="4"/>
      <c r="PAU55" s="4"/>
      <c r="PAV55" s="4"/>
      <c r="PAW55" s="4"/>
      <c r="PAX55" s="4"/>
      <c r="PAY55" s="4"/>
      <c r="PAZ55" s="4"/>
      <c r="PBA55" s="4"/>
      <c r="PBB55" s="4"/>
      <c r="PBC55" s="4"/>
      <c r="PBD55" s="4"/>
      <c r="PBE55" s="4"/>
      <c r="PBF55" s="4"/>
      <c r="PBG55" s="4"/>
      <c r="PBH55" s="4"/>
      <c r="PBI55" s="4"/>
      <c r="PBJ55" s="4"/>
      <c r="PBK55" s="4"/>
      <c r="PBL55" s="4"/>
      <c r="PBM55" s="4"/>
      <c r="PBN55" s="4"/>
      <c r="PBO55" s="4"/>
      <c r="PBP55" s="4"/>
      <c r="PBQ55" s="4"/>
      <c r="PBR55" s="4"/>
      <c r="PBS55" s="4"/>
      <c r="PBT55" s="4"/>
      <c r="PBU55" s="4"/>
      <c r="PBV55" s="4"/>
      <c r="PBW55" s="4"/>
      <c r="PBX55" s="4"/>
      <c r="PBY55" s="4"/>
      <c r="PBZ55" s="4"/>
      <c r="PCA55" s="4"/>
      <c r="PCB55" s="4"/>
      <c r="PCC55" s="4"/>
      <c r="PCD55" s="4"/>
      <c r="PCE55" s="4"/>
      <c r="PCF55" s="4"/>
      <c r="PCG55" s="4"/>
      <c r="PCH55" s="4"/>
      <c r="PCI55" s="4"/>
      <c r="PCJ55" s="4"/>
      <c r="PCK55" s="4"/>
      <c r="PCL55" s="4"/>
      <c r="PCM55" s="4"/>
      <c r="PCN55" s="4"/>
      <c r="PCO55" s="4"/>
      <c r="PCP55" s="4"/>
      <c r="PCQ55" s="4"/>
      <c r="PCR55" s="4"/>
      <c r="PCS55" s="4"/>
      <c r="PCT55" s="4"/>
      <c r="PCU55" s="4"/>
      <c r="PCV55" s="4"/>
      <c r="PCW55" s="4"/>
      <c r="PCX55" s="4"/>
      <c r="PCY55" s="4"/>
      <c r="PCZ55" s="4"/>
      <c r="PDA55" s="4"/>
      <c r="PDB55" s="4"/>
      <c r="PDC55" s="4"/>
      <c r="PDD55" s="4"/>
      <c r="PDE55" s="4"/>
      <c r="PDF55" s="4"/>
      <c r="PDG55" s="4"/>
      <c r="PDH55" s="4"/>
      <c r="PDI55" s="4"/>
      <c r="PDJ55" s="4"/>
      <c r="PDK55" s="4"/>
      <c r="PDL55" s="4"/>
      <c r="PDM55" s="4"/>
      <c r="PDN55" s="4"/>
      <c r="PDO55" s="4"/>
      <c r="PDP55" s="4"/>
      <c r="PDQ55" s="4"/>
      <c r="PDR55" s="4"/>
      <c r="PDS55" s="4"/>
      <c r="PDT55" s="4"/>
      <c r="PDU55" s="4"/>
      <c r="PDV55" s="4"/>
      <c r="PDW55" s="4"/>
      <c r="PDX55" s="4"/>
      <c r="PDY55" s="4"/>
      <c r="PDZ55" s="4"/>
      <c r="PEA55" s="4"/>
      <c r="PEB55" s="4"/>
      <c r="PEC55" s="4"/>
      <c r="PED55" s="4"/>
      <c r="PEE55" s="4"/>
      <c r="PEF55" s="4"/>
      <c r="PEG55" s="4"/>
      <c r="PEH55" s="4"/>
      <c r="PEI55" s="4"/>
      <c r="PEJ55" s="4"/>
      <c r="PEK55" s="4"/>
      <c r="PEL55" s="4"/>
      <c r="PEM55" s="4"/>
      <c r="PEN55" s="4"/>
      <c r="PEO55" s="4"/>
      <c r="PEP55" s="4"/>
      <c r="PEQ55" s="4"/>
      <c r="PER55" s="4"/>
      <c r="PES55" s="4"/>
      <c r="PET55" s="4"/>
      <c r="PEU55" s="4"/>
      <c r="PEV55" s="4"/>
      <c r="PEW55" s="4"/>
      <c r="PEX55" s="4"/>
      <c r="PEY55" s="4"/>
      <c r="PEZ55" s="4"/>
      <c r="PFA55" s="4"/>
      <c r="PFB55" s="4"/>
      <c r="PFC55" s="4"/>
      <c r="PFD55" s="4"/>
      <c r="PFE55" s="4"/>
      <c r="PFF55" s="4"/>
      <c r="PFG55" s="4"/>
      <c r="PFH55" s="4"/>
      <c r="PFI55" s="4"/>
      <c r="PFJ55" s="4"/>
      <c r="PFK55" s="4"/>
      <c r="PFL55" s="4"/>
      <c r="PFM55" s="4"/>
      <c r="PFN55" s="4"/>
      <c r="PFO55" s="4"/>
      <c r="PFP55" s="4"/>
      <c r="PFQ55" s="4"/>
      <c r="PFR55" s="4"/>
      <c r="PFS55" s="4"/>
      <c r="PFT55" s="4"/>
      <c r="PFU55" s="4"/>
      <c r="PFV55" s="4"/>
      <c r="PFW55" s="4"/>
      <c r="PFX55" s="4"/>
      <c r="PFY55" s="4"/>
      <c r="PFZ55" s="4"/>
      <c r="PGA55" s="4"/>
      <c r="PGB55" s="4"/>
      <c r="PGC55" s="4"/>
      <c r="PGD55" s="4"/>
      <c r="PGE55" s="4"/>
      <c r="PGF55" s="4"/>
      <c r="PGG55" s="4"/>
      <c r="PGH55" s="4"/>
      <c r="PGI55" s="4"/>
      <c r="PGJ55" s="4"/>
      <c r="PGK55" s="4"/>
      <c r="PGL55" s="4"/>
      <c r="PGM55" s="4"/>
      <c r="PGN55" s="4"/>
      <c r="PGO55" s="4"/>
      <c r="PGP55" s="4"/>
      <c r="PGQ55" s="4"/>
      <c r="PGR55" s="4"/>
      <c r="PGS55" s="4"/>
      <c r="PGT55" s="4"/>
      <c r="PGU55" s="4"/>
      <c r="PGV55" s="4"/>
      <c r="PGW55" s="4"/>
      <c r="PGX55" s="4"/>
      <c r="PGY55" s="4"/>
      <c r="PGZ55" s="4"/>
      <c r="PHA55" s="4"/>
      <c r="PHB55" s="4"/>
      <c r="PHC55" s="4"/>
      <c r="PHD55" s="4"/>
      <c r="PHE55" s="4"/>
      <c r="PHF55" s="4"/>
      <c r="PHG55" s="4"/>
      <c r="PHH55" s="4"/>
      <c r="PHI55" s="4"/>
      <c r="PHJ55" s="4"/>
      <c r="PHK55" s="4"/>
      <c r="PHL55" s="4"/>
      <c r="PHM55" s="4"/>
      <c r="PHN55" s="4"/>
      <c r="PHO55" s="4"/>
      <c r="PHP55" s="4"/>
      <c r="PHQ55" s="4"/>
      <c r="PHR55" s="4"/>
      <c r="PHS55" s="4"/>
      <c r="PHT55" s="4"/>
      <c r="PHU55" s="4"/>
      <c r="PHV55" s="4"/>
      <c r="PHW55" s="4"/>
      <c r="PHX55" s="4"/>
      <c r="PHY55" s="4"/>
      <c r="PHZ55" s="4"/>
      <c r="PIA55" s="4"/>
      <c r="PIB55" s="4"/>
      <c r="PIC55" s="4"/>
      <c r="PID55" s="4"/>
      <c r="PIE55" s="4"/>
      <c r="PIF55" s="4"/>
      <c r="PIG55" s="4"/>
      <c r="PIH55" s="4"/>
      <c r="PII55" s="4"/>
      <c r="PIJ55" s="4"/>
      <c r="PIK55" s="4"/>
      <c r="PIL55" s="4"/>
      <c r="PIM55" s="4"/>
      <c r="PIN55" s="4"/>
      <c r="PIO55" s="4"/>
      <c r="PIP55" s="4"/>
      <c r="PIQ55" s="4"/>
      <c r="PIR55" s="4"/>
      <c r="PIS55" s="4"/>
      <c r="PIT55" s="4"/>
      <c r="PIU55" s="4"/>
      <c r="PIV55" s="4"/>
      <c r="PIW55" s="4"/>
      <c r="PIX55" s="4"/>
      <c r="PIY55" s="4"/>
      <c r="PIZ55" s="4"/>
      <c r="PJA55" s="4"/>
      <c r="PJB55" s="4"/>
      <c r="PJC55" s="4"/>
      <c r="PJD55" s="4"/>
      <c r="PJE55" s="4"/>
      <c r="PJF55" s="4"/>
      <c r="PJG55" s="4"/>
      <c r="PJH55" s="4"/>
      <c r="PJI55" s="4"/>
      <c r="PJJ55" s="4"/>
      <c r="PJK55" s="4"/>
      <c r="PJL55" s="4"/>
      <c r="PJM55" s="4"/>
      <c r="PJN55" s="4"/>
      <c r="PJO55" s="4"/>
      <c r="PJP55" s="4"/>
      <c r="PJQ55" s="4"/>
      <c r="PJR55" s="4"/>
      <c r="PJS55" s="4"/>
      <c r="PJT55" s="4"/>
      <c r="PJU55" s="4"/>
      <c r="PJV55" s="4"/>
      <c r="PJW55" s="4"/>
      <c r="PJX55" s="4"/>
      <c r="PJY55" s="4"/>
      <c r="PJZ55" s="4"/>
      <c r="PKA55" s="4"/>
      <c r="PKB55" s="4"/>
      <c r="PKC55" s="4"/>
      <c r="PKD55" s="4"/>
      <c r="PKE55" s="4"/>
      <c r="PKF55" s="4"/>
      <c r="PKG55" s="4"/>
      <c r="PKH55" s="4"/>
      <c r="PKI55" s="4"/>
      <c r="PKJ55" s="4"/>
      <c r="PKK55" s="4"/>
      <c r="PKL55" s="4"/>
      <c r="PKM55" s="4"/>
      <c r="PKN55" s="4"/>
      <c r="PKO55" s="4"/>
      <c r="PKP55" s="4"/>
      <c r="PKQ55" s="4"/>
      <c r="PKR55" s="4"/>
      <c r="PKS55" s="4"/>
      <c r="PKT55" s="4"/>
      <c r="PKU55" s="4"/>
      <c r="PKV55" s="4"/>
      <c r="PKW55" s="4"/>
      <c r="PKX55" s="4"/>
      <c r="PKY55" s="4"/>
      <c r="PKZ55" s="4"/>
      <c r="PLA55" s="4"/>
      <c r="PLB55" s="4"/>
      <c r="PLC55" s="4"/>
      <c r="PLD55" s="4"/>
      <c r="PLE55" s="4"/>
      <c r="PLF55" s="4"/>
      <c r="PLG55" s="4"/>
      <c r="PLH55" s="4"/>
      <c r="PLI55" s="4"/>
      <c r="PLJ55" s="4"/>
      <c r="PLK55" s="4"/>
      <c r="PLL55" s="4"/>
      <c r="PLM55" s="4"/>
      <c r="PLN55" s="4"/>
      <c r="PLO55" s="4"/>
      <c r="PLP55" s="4"/>
      <c r="PLQ55" s="4"/>
      <c r="PLR55" s="4"/>
      <c r="PLS55" s="4"/>
      <c r="PLT55" s="4"/>
      <c r="PLU55" s="4"/>
      <c r="PLV55" s="4"/>
      <c r="PLW55" s="4"/>
      <c r="PLX55" s="4"/>
      <c r="PLY55" s="4"/>
      <c r="PLZ55" s="4"/>
      <c r="PMA55" s="4"/>
      <c r="PMB55" s="4"/>
      <c r="PMC55" s="4"/>
      <c r="PMD55" s="4"/>
      <c r="PME55" s="4"/>
      <c r="PMF55" s="4"/>
      <c r="PMG55" s="4"/>
      <c r="PMH55" s="4"/>
      <c r="PMI55" s="4"/>
      <c r="PMJ55" s="4"/>
      <c r="PMK55" s="4"/>
      <c r="PML55" s="4"/>
      <c r="PMM55" s="4"/>
      <c r="PMN55" s="4"/>
      <c r="PMO55" s="4"/>
      <c r="PMP55" s="4"/>
      <c r="PMQ55" s="4"/>
      <c r="PMR55" s="4"/>
      <c r="PMS55" s="4"/>
      <c r="PMT55" s="4"/>
      <c r="PMU55" s="4"/>
      <c r="PMV55" s="4"/>
      <c r="PMW55" s="4"/>
      <c r="PMX55" s="4"/>
      <c r="PMY55" s="4"/>
      <c r="PMZ55" s="4"/>
      <c r="PNA55" s="4"/>
      <c r="PNB55" s="4"/>
      <c r="PNC55" s="4"/>
      <c r="PND55" s="4"/>
      <c r="PNE55" s="4"/>
      <c r="PNF55" s="4"/>
      <c r="PNG55" s="4"/>
      <c r="PNH55" s="4"/>
      <c r="PNI55" s="4"/>
      <c r="PNJ55" s="4"/>
      <c r="PNK55" s="4"/>
      <c r="PNL55" s="4"/>
      <c r="PNM55" s="4"/>
      <c r="PNN55" s="4"/>
      <c r="PNO55" s="4"/>
      <c r="PNP55" s="4"/>
      <c r="PNQ55" s="4"/>
      <c r="PNR55" s="4"/>
      <c r="PNS55" s="4"/>
      <c r="PNT55" s="4"/>
      <c r="PNU55" s="4"/>
      <c r="PNV55" s="4"/>
      <c r="PNW55" s="4"/>
      <c r="PNX55" s="4"/>
      <c r="PNY55" s="4"/>
      <c r="PNZ55" s="4"/>
      <c r="POA55" s="4"/>
      <c r="POB55" s="4"/>
      <c r="POC55" s="4"/>
      <c r="POD55" s="4"/>
      <c r="POE55" s="4"/>
      <c r="POF55" s="4"/>
      <c r="POG55" s="4"/>
      <c r="POH55" s="4"/>
      <c r="POI55" s="4"/>
      <c r="POJ55" s="4"/>
      <c r="POK55" s="4"/>
      <c r="POL55" s="4"/>
      <c r="POM55" s="4"/>
      <c r="PON55" s="4"/>
      <c r="POO55" s="4"/>
      <c r="POP55" s="4"/>
      <c r="POQ55" s="4"/>
      <c r="POR55" s="4"/>
      <c r="POS55" s="4"/>
      <c r="POT55" s="4"/>
      <c r="POU55" s="4"/>
      <c r="POV55" s="4"/>
      <c r="POW55" s="4"/>
      <c r="POX55" s="4"/>
      <c r="POY55" s="4"/>
      <c r="POZ55" s="4"/>
      <c r="PPA55" s="4"/>
      <c r="PPB55" s="4"/>
      <c r="PPC55" s="4"/>
      <c r="PPD55" s="4"/>
      <c r="PPE55" s="4"/>
      <c r="PPF55" s="4"/>
      <c r="PPG55" s="4"/>
      <c r="PPH55" s="4"/>
      <c r="PPI55" s="4"/>
      <c r="PPJ55" s="4"/>
      <c r="PPK55" s="4"/>
      <c r="PPL55" s="4"/>
      <c r="PPM55" s="4"/>
      <c r="PPN55" s="4"/>
      <c r="PPO55" s="4"/>
      <c r="PPP55" s="4"/>
      <c r="PPQ55" s="4"/>
      <c r="PPR55" s="4"/>
      <c r="PPS55" s="4"/>
      <c r="PPT55" s="4"/>
      <c r="PPU55" s="4"/>
      <c r="PPV55" s="4"/>
      <c r="PPW55" s="4"/>
      <c r="PPX55" s="4"/>
      <c r="PPY55" s="4"/>
      <c r="PPZ55" s="4"/>
      <c r="PQA55" s="4"/>
      <c r="PQB55" s="4"/>
      <c r="PQC55" s="4"/>
      <c r="PQD55" s="4"/>
      <c r="PQE55" s="4"/>
      <c r="PQF55" s="4"/>
      <c r="PQG55" s="4"/>
      <c r="PQH55" s="4"/>
      <c r="PQI55" s="4"/>
      <c r="PQJ55" s="4"/>
      <c r="PQK55" s="4"/>
      <c r="PQL55" s="4"/>
      <c r="PQM55" s="4"/>
      <c r="PQN55" s="4"/>
      <c r="PQO55" s="4"/>
      <c r="PQP55" s="4"/>
      <c r="PQQ55" s="4"/>
      <c r="PQR55" s="4"/>
      <c r="PQS55" s="4"/>
      <c r="PQT55" s="4"/>
      <c r="PQU55" s="4"/>
      <c r="PQV55" s="4"/>
      <c r="PQW55" s="4"/>
      <c r="PQX55" s="4"/>
      <c r="PQY55" s="4"/>
      <c r="PQZ55" s="4"/>
      <c r="PRA55" s="4"/>
      <c r="PRB55" s="4"/>
      <c r="PRC55" s="4"/>
      <c r="PRD55" s="4"/>
      <c r="PRE55" s="4"/>
      <c r="PRF55" s="4"/>
      <c r="PRG55" s="4"/>
      <c r="PRH55" s="4"/>
      <c r="PRI55" s="4"/>
      <c r="PRJ55" s="4"/>
      <c r="PRK55" s="4"/>
      <c r="PRL55" s="4"/>
      <c r="PRM55" s="4"/>
      <c r="PRN55" s="4"/>
      <c r="PRO55" s="4"/>
      <c r="PRP55" s="4"/>
      <c r="PRQ55" s="4"/>
      <c r="PRR55" s="4"/>
      <c r="PRS55" s="4"/>
      <c r="PRT55" s="4"/>
      <c r="PRU55" s="4"/>
      <c r="PRV55" s="4"/>
      <c r="PRW55" s="4"/>
      <c r="PRX55" s="4"/>
      <c r="PRY55" s="4"/>
      <c r="PRZ55" s="4"/>
      <c r="PSA55" s="4"/>
      <c r="PSB55" s="4"/>
      <c r="PSC55" s="4"/>
      <c r="PSD55" s="4"/>
      <c r="PSE55" s="4"/>
      <c r="PSF55" s="4"/>
      <c r="PSG55" s="4"/>
      <c r="PSH55" s="4"/>
      <c r="PSI55" s="4"/>
      <c r="PSJ55" s="4"/>
      <c r="PSK55" s="4"/>
      <c r="PSL55" s="4"/>
      <c r="PSM55" s="4"/>
      <c r="PSN55" s="4"/>
      <c r="PSO55" s="4"/>
      <c r="PSP55" s="4"/>
      <c r="PSQ55" s="4"/>
      <c r="PSR55" s="4"/>
      <c r="PSS55" s="4"/>
      <c r="PST55" s="4"/>
      <c r="PSU55" s="4"/>
      <c r="PSV55" s="4"/>
      <c r="PSW55" s="4"/>
      <c r="PSX55" s="4"/>
      <c r="PSY55" s="4"/>
      <c r="PSZ55" s="4"/>
      <c r="PTA55" s="4"/>
      <c r="PTB55" s="4"/>
      <c r="PTC55" s="4"/>
      <c r="PTD55" s="4"/>
      <c r="PTE55" s="4"/>
      <c r="PTF55" s="4"/>
      <c r="PTG55" s="4"/>
      <c r="PTH55" s="4"/>
      <c r="PTI55" s="4"/>
      <c r="PTJ55" s="4"/>
      <c r="PTK55" s="4"/>
      <c r="PTL55" s="4"/>
      <c r="PTM55" s="4"/>
      <c r="PTN55" s="4"/>
      <c r="PTO55" s="4"/>
      <c r="PTP55" s="4"/>
      <c r="PTQ55" s="4"/>
      <c r="PTR55" s="4"/>
      <c r="PTS55" s="4"/>
      <c r="PTT55" s="4"/>
      <c r="PTU55" s="4"/>
      <c r="PTV55" s="4"/>
      <c r="PTW55" s="4"/>
      <c r="PTX55" s="4"/>
      <c r="PTY55" s="4"/>
      <c r="PTZ55" s="4"/>
      <c r="PUA55" s="4"/>
      <c r="PUB55" s="4"/>
      <c r="PUC55" s="4"/>
      <c r="PUD55" s="4"/>
      <c r="PUE55" s="4"/>
      <c r="PUF55" s="4"/>
      <c r="PUG55" s="4"/>
      <c r="PUH55" s="4"/>
      <c r="PUI55" s="4"/>
      <c r="PUJ55" s="4"/>
      <c r="PUK55" s="4"/>
      <c r="PUL55" s="4"/>
      <c r="PUM55" s="4"/>
      <c r="PUN55" s="4"/>
      <c r="PUO55" s="4"/>
      <c r="PUP55" s="4"/>
      <c r="PUQ55" s="4"/>
      <c r="PUR55" s="4"/>
      <c r="PUS55" s="4"/>
      <c r="PUT55" s="4"/>
      <c r="PUU55" s="4"/>
      <c r="PUV55" s="4"/>
      <c r="PUW55" s="4"/>
      <c r="PUX55" s="4"/>
      <c r="PUY55" s="4"/>
      <c r="PUZ55" s="4"/>
      <c r="PVA55" s="4"/>
      <c r="PVB55" s="4"/>
      <c r="PVC55" s="4"/>
      <c r="PVD55" s="4"/>
      <c r="PVE55" s="4"/>
      <c r="PVF55" s="4"/>
      <c r="PVG55" s="4"/>
      <c r="PVH55" s="4"/>
      <c r="PVI55" s="4"/>
      <c r="PVJ55" s="4"/>
      <c r="PVK55" s="4"/>
      <c r="PVL55" s="4"/>
      <c r="PVM55" s="4"/>
      <c r="PVN55" s="4"/>
      <c r="PVO55" s="4"/>
      <c r="PVP55" s="4"/>
      <c r="PVQ55" s="4"/>
      <c r="PVR55" s="4"/>
      <c r="PVS55" s="4"/>
      <c r="PVT55" s="4"/>
      <c r="PVU55" s="4"/>
      <c r="PVV55" s="4"/>
      <c r="PVW55" s="4"/>
      <c r="PVX55" s="4"/>
      <c r="PVY55" s="4"/>
      <c r="PVZ55" s="4"/>
      <c r="PWA55" s="4"/>
      <c r="PWB55" s="4"/>
      <c r="PWC55" s="4"/>
      <c r="PWD55" s="4"/>
      <c r="PWE55" s="4"/>
      <c r="PWF55" s="4"/>
      <c r="PWG55" s="4"/>
      <c r="PWH55" s="4"/>
      <c r="PWI55" s="4"/>
      <c r="PWJ55" s="4"/>
      <c r="PWK55" s="4"/>
      <c r="PWL55" s="4"/>
      <c r="PWM55" s="4"/>
      <c r="PWN55" s="4"/>
      <c r="PWO55" s="4"/>
      <c r="PWP55" s="4"/>
      <c r="PWQ55" s="4"/>
      <c r="PWR55" s="4"/>
      <c r="PWS55" s="4"/>
      <c r="PWT55" s="4"/>
      <c r="PWU55" s="4"/>
      <c r="PWV55" s="4"/>
      <c r="PWW55" s="4"/>
      <c r="PWX55" s="4"/>
      <c r="PWY55" s="4"/>
      <c r="PWZ55" s="4"/>
      <c r="PXA55" s="4"/>
      <c r="PXB55" s="4"/>
      <c r="PXC55" s="4"/>
      <c r="PXD55" s="4"/>
      <c r="PXE55" s="4"/>
      <c r="PXF55" s="4"/>
      <c r="PXG55" s="4"/>
      <c r="PXH55" s="4"/>
      <c r="PXI55" s="4"/>
      <c r="PXJ55" s="4"/>
      <c r="PXK55" s="4"/>
      <c r="PXL55" s="4"/>
      <c r="PXM55" s="4"/>
      <c r="PXN55" s="4"/>
      <c r="PXO55" s="4"/>
      <c r="PXP55" s="4"/>
      <c r="PXQ55" s="4"/>
      <c r="PXR55" s="4"/>
      <c r="PXS55" s="4"/>
      <c r="PXT55" s="4"/>
      <c r="PXU55" s="4"/>
      <c r="PXV55" s="4"/>
      <c r="PXW55" s="4"/>
      <c r="PXX55" s="4"/>
      <c r="PXY55" s="4"/>
      <c r="PXZ55" s="4"/>
      <c r="PYA55" s="4"/>
      <c r="PYB55" s="4"/>
      <c r="PYC55" s="4"/>
      <c r="PYD55" s="4"/>
      <c r="PYE55" s="4"/>
      <c r="PYF55" s="4"/>
      <c r="PYG55" s="4"/>
      <c r="PYH55" s="4"/>
      <c r="PYI55" s="4"/>
      <c r="PYJ55" s="4"/>
      <c r="PYK55" s="4"/>
      <c r="PYL55" s="4"/>
      <c r="PYM55" s="4"/>
      <c r="PYN55" s="4"/>
      <c r="PYO55" s="4"/>
      <c r="PYP55" s="4"/>
      <c r="PYQ55" s="4"/>
      <c r="PYR55" s="4"/>
      <c r="PYS55" s="4"/>
      <c r="PYT55" s="4"/>
      <c r="PYU55" s="4"/>
      <c r="PYV55" s="4"/>
      <c r="PYW55" s="4"/>
      <c r="PYX55" s="4"/>
      <c r="PYY55" s="4"/>
      <c r="PYZ55" s="4"/>
      <c r="PZA55" s="4"/>
      <c r="PZB55" s="4"/>
      <c r="PZC55" s="4"/>
      <c r="PZD55" s="4"/>
      <c r="PZE55" s="4"/>
      <c r="PZF55" s="4"/>
      <c r="PZG55" s="4"/>
      <c r="PZH55" s="4"/>
      <c r="PZI55" s="4"/>
      <c r="PZJ55" s="4"/>
      <c r="PZK55" s="4"/>
      <c r="PZL55" s="4"/>
      <c r="PZM55" s="4"/>
      <c r="PZN55" s="4"/>
      <c r="PZO55" s="4"/>
      <c r="PZP55" s="4"/>
      <c r="PZQ55" s="4"/>
      <c r="PZR55" s="4"/>
      <c r="PZS55" s="4"/>
      <c r="PZT55" s="4"/>
      <c r="PZU55" s="4"/>
      <c r="PZV55" s="4"/>
      <c r="PZW55" s="4"/>
      <c r="PZX55" s="4"/>
      <c r="PZY55" s="4"/>
      <c r="PZZ55" s="4"/>
      <c r="QAA55" s="4"/>
      <c r="QAB55" s="4"/>
      <c r="QAC55" s="4"/>
      <c r="QAD55" s="4"/>
      <c r="QAE55" s="4"/>
      <c r="QAF55" s="4"/>
      <c r="QAG55" s="4"/>
      <c r="QAH55" s="4"/>
      <c r="QAI55" s="4"/>
      <c r="QAJ55" s="4"/>
      <c r="QAK55" s="4"/>
      <c r="QAL55" s="4"/>
      <c r="QAM55" s="4"/>
      <c r="QAN55" s="4"/>
      <c r="QAO55" s="4"/>
      <c r="QAP55" s="4"/>
      <c r="QAQ55" s="4"/>
      <c r="QAR55" s="4"/>
      <c r="QAS55" s="4"/>
      <c r="QAT55" s="4"/>
      <c r="QAU55" s="4"/>
      <c r="QAV55" s="4"/>
      <c r="QAW55" s="4"/>
      <c r="QAX55" s="4"/>
      <c r="QAY55" s="4"/>
      <c r="QAZ55" s="4"/>
      <c r="QBA55" s="4"/>
      <c r="QBB55" s="4"/>
      <c r="QBC55" s="4"/>
      <c r="QBD55" s="4"/>
      <c r="QBE55" s="4"/>
      <c r="QBF55" s="4"/>
      <c r="QBG55" s="4"/>
      <c r="QBH55" s="4"/>
      <c r="QBI55" s="4"/>
      <c r="QBJ55" s="4"/>
      <c r="QBK55" s="4"/>
      <c r="QBL55" s="4"/>
      <c r="QBM55" s="4"/>
      <c r="QBN55" s="4"/>
      <c r="QBO55" s="4"/>
      <c r="QBP55" s="4"/>
      <c r="QBQ55" s="4"/>
      <c r="QBR55" s="4"/>
      <c r="QBS55" s="4"/>
      <c r="QBT55" s="4"/>
      <c r="QBU55" s="4"/>
      <c r="QBV55" s="4"/>
      <c r="QBW55" s="4"/>
      <c r="QBX55" s="4"/>
      <c r="QBY55" s="4"/>
      <c r="QBZ55" s="4"/>
      <c r="QCA55" s="4"/>
      <c r="QCB55" s="4"/>
      <c r="QCC55" s="4"/>
      <c r="QCD55" s="4"/>
      <c r="QCE55" s="4"/>
      <c r="QCF55" s="4"/>
      <c r="QCG55" s="4"/>
      <c r="QCH55" s="4"/>
      <c r="QCI55" s="4"/>
      <c r="QCJ55" s="4"/>
      <c r="QCK55" s="4"/>
      <c r="QCL55" s="4"/>
      <c r="QCM55" s="4"/>
      <c r="QCN55" s="4"/>
      <c r="QCO55" s="4"/>
      <c r="QCP55" s="4"/>
      <c r="QCQ55" s="4"/>
      <c r="QCR55" s="4"/>
      <c r="QCS55" s="4"/>
      <c r="QCT55" s="4"/>
      <c r="QCU55" s="4"/>
      <c r="QCV55" s="4"/>
      <c r="QCW55" s="4"/>
      <c r="QCX55" s="4"/>
      <c r="QCY55" s="4"/>
      <c r="QCZ55" s="4"/>
      <c r="QDA55" s="4"/>
      <c r="QDB55" s="4"/>
      <c r="QDC55" s="4"/>
      <c r="QDD55" s="4"/>
      <c r="QDE55" s="4"/>
      <c r="QDF55" s="4"/>
      <c r="QDG55" s="4"/>
      <c r="QDH55" s="4"/>
      <c r="QDI55" s="4"/>
      <c r="QDJ55" s="4"/>
      <c r="QDK55" s="4"/>
      <c r="QDL55" s="4"/>
      <c r="QDM55" s="4"/>
      <c r="QDN55" s="4"/>
      <c r="QDO55" s="4"/>
      <c r="QDP55" s="4"/>
      <c r="QDQ55" s="4"/>
      <c r="QDR55" s="4"/>
      <c r="QDS55" s="4"/>
      <c r="QDT55" s="4"/>
      <c r="QDU55" s="4"/>
      <c r="QDV55" s="4"/>
      <c r="QDW55" s="4"/>
      <c r="QDX55" s="4"/>
      <c r="QDY55" s="4"/>
      <c r="QDZ55" s="4"/>
      <c r="QEA55" s="4"/>
      <c r="QEB55" s="4"/>
      <c r="QEC55" s="4"/>
      <c r="QED55" s="4"/>
      <c r="QEE55" s="4"/>
      <c r="QEF55" s="4"/>
      <c r="QEG55" s="4"/>
      <c r="QEH55" s="4"/>
      <c r="QEI55" s="4"/>
      <c r="QEJ55" s="4"/>
      <c r="QEK55" s="4"/>
      <c r="QEL55" s="4"/>
      <c r="QEM55" s="4"/>
      <c r="QEN55" s="4"/>
      <c r="QEO55" s="4"/>
      <c r="QEP55" s="4"/>
      <c r="QEQ55" s="4"/>
      <c r="QER55" s="4"/>
      <c r="QES55" s="4"/>
      <c r="QET55" s="4"/>
      <c r="QEU55" s="4"/>
      <c r="QEV55" s="4"/>
      <c r="QEW55" s="4"/>
      <c r="QEX55" s="4"/>
      <c r="QEY55" s="4"/>
      <c r="QEZ55" s="4"/>
      <c r="QFA55" s="4"/>
      <c r="QFB55" s="4"/>
      <c r="QFC55" s="4"/>
      <c r="QFD55" s="4"/>
      <c r="QFE55" s="4"/>
      <c r="QFF55" s="4"/>
      <c r="QFG55" s="4"/>
      <c r="QFH55" s="4"/>
      <c r="QFI55" s="4"/>
      <c r="QFJ55" s="4"/>
      <c r="QFK55" s="4"/>
      <c r="QFL55" s="4"/>
      <c r="QFM55" s="4"/>
      <c r="QFN55" s="4"/>
      <c r="QFO55" s="4"/>
      <c r="QFP55" s="4"/>
      <c r="QFQ55" s="4"/>
      <c r="QFR55" s="4"/>
      <c r="QFS55" s="4"/>
      <c r="QFT55" s="4"/>
      <c r="QFU55" s="4"/>
      <c r="QFV55" s="4"/>
      <c r="QFW55" s="4"/>
      <c r="QFX55" s="4"/>
      <c r="QFY55" s="4"/>
      <c r="QFZ55" s="4"/>
      <c r="QGA55" s="4"/>
      <c r="QGB55" s="4"/>
      <c r="QGC55" s="4"/>
      <c r="QGD55" s="4"/>
      <c r="QGE55" s="4"/>
      <c r="QGF55" s="4"/>
      <c r="QGG55" s="4"/>
      <c r="QGH55" s="4"/>
      <c r="QGI55" s="4"/>
      <c r="QGJ55" s="4"/>
      <c r="QGK55" s="4"/>
      <c r="QGL55" s="4"/>
      <c r="QGM55" s="4"/>
      <c r="QGN55" s="4"/>
      <c r="QGO55" s="4"/>
      <c r="QGP55" s="4"/>
      <c r="QGQ55" s="4"/>
      <c r="QGR55" s="4"/>
      <c r="QGS55" s="4"/>
      <c r="QGT55" s="4"/>
      <c r="QGU55" s="4"/>
      <c r="QGV55" s="4"/>
      <c r="QGW55" s="4"/>
      <c r="QGX55" s="4"/>
      <c r="QGY55" s="4"/>
      <c r="QGZ55" s="4"/>
      <c r="QHA55" s="4"/>
      <c r="QHB55" s="4"/>
      <c r="QHC55" s="4"/>
      <c r="QHD55" s="4"/>
      <c r="QHE55" s="4"/>
      <c r="QHF55" s="4"/>
      <c r="QHG55" s="4"/>
      <c r="QHH55" s="4"/>
      <c r="QHI55" s="4"/>
      <c r="QHJ55" s="4"/>
      <c r="QHK55" s="4"/>
      <c r="QHL55" s="4"/>
      <c r="QHM55" s="4"/>
      <c r="QHN55" s="4"/>
      <c r="QHO55" s="4"/>
      <c r="QHP55" s="4"/>
      <c r="QHQ55" s="4"/>
      <c r="QHR55" s="4"/>
      <c r="QHS55" s="4"/>
      <c r="QHT55" s="4"/>
      <c r="QHU55" s="4"/>
      <c r="QHV55" s="4"/>
      <c r="QHW55" s="4"/>
      <c r="QHX55" s="4"/>
      <c r="QHY55" s="4"/>
      <c r="QHZ55" s="4"/>
      <c r="QIA55" s="4"/>
      <c r="QIB55" s="4"/>
      <c r="QIC55" s="4"/>
      <c r="QID55" s="4"/>
      <c r="QIE55" s="4"/>
      <c r="QIF55" s="4"/>
      <c r="QIG55" s="4"/>
      <c r="QIH55" s="4"/>
      <c r="QII55" s="4"/>
      <c r="QIJ55" s="4"/>
      <c r="QIK55" s="4"/>
      <c r="QIL55" s="4"/>
      <c r="QIM55" s="4"/>
      <c r="QIN55" s="4"/>
      <c r="QIO55" s="4"/>
      <c r="QIP55" s="4"/>
      <c r="QIQ55" s="4"/>
      <c r="QIR55" s="4"/>
      <c r="QIS55" s="4"/>
      <c r="QIT55" s="4"/>
      <c r="QIU55" s="4"/>
      <c r="QIV55" s="4"/>
      <c r="QIW55" s="4"/>
      <c r="QIX55" s="4"/>
      <c r="QIY55" s="4"/>
      <c r="QIZ55" s="4"/>
      <c r="QJA55" s="4"/>
      <c r="QJB55" s="4"/>
      <c r="QJC55" s="4"/>
      <c r="QJD55" s="4"/>
      <c r="QJE55" s="4"/>
      <c r="QJF55" s="4"/>
      <c r="QJG55" s="4"/>
      <c r="QJH55" s="4"/>
      <c r="QJI55" s="4"/>
      <c r="QJJ55" s="4"/>
      <c r="QJK55" s="4"/>
      <c r="QJL55" s="4"/>
      <c r="QJM55" s="4"/>
      <c r="QJN55" s="4"/>
      <c r="QJO55" s="4"/>
      <c r="QJP55" s="4"/>
      <c r="QJQ55" s="4"/>
      <c r="QJR55" s="4"/>
      <c r="QJS55" s="4"/>
      <c r="QJT55" s="4"/>
      <c r="QJU55" s="4"/>
      <c r="QJV55" s="4"/>
      <c r="QJW55" s="4"/>
      <c r="QJX55" s="4"/>
      <c r="QJY55" s="4"/>
      <c r="QJZ55" s="4"/>
      <c r="QKA55" s="4"/>
      <c r="QKB55" s="4"/>
      <c r="QKC55" s="4"/>
      <c r="QKD55" s="4"/>
      <c r="QKE55" s="4"/>
      <c r="QKF55" s="4"/>
      <c r="QKG55" s="4"/>
      <c r="QKH55" s="4"/>
      <c r="QKI55" s="4"/>
      <c r="QKJ55" s="4"/>
      <c r="QKK55" s="4"/>
      <c r="QKL55" s="4"/>
      <c r="QKM55" s="4"/>
      <c r="QKN55" s="4"/>
      <c r="QKO55" s="4"/>
      <c r="QKP55" s="4"/>
      <c r="QKQ55" s="4"/>
      <c r="QKR55" s="4"/>
      <c r="QKS55" s="4"/>
      <c r="QKT55" s="4"/>
      <c r="QKU55" s="4"/>
      <c r="QKV55" s="4"/>
      <c r="QKW55" s="4"/>
      <c r="QKX55" s="4"/>
      <c r="QKY55" s="4"/>
      <c r="QKZ55" s="4"/>
      <c r="QLA55" s="4"/>
      <c r="QLB55" s="4"/>
      <c r="QLC55" s="4"/>
      <c r="QLD55" s="4"/>
      <c r="QLE55" s="4"/>
      <c r="QLF55" s="4"/>
      <c r="QLG55" s="4"/>
      <c r="QLH55" s="4"/>
      <c r="QLI55" s="4"/>
      <c r="QLJ55" s="4"/>
      <c r="QLK55" s="4"/>
      <c r="QLL55" s="4"/>
      <c r="QLM55" s="4"/>
      <c r="QLN55" s="4"/>
      <c r="QLO55" s="4"/>
      <c r="QLP55" s="4"/>
      <c r="QLQ55" s="4"/>
      <c r="QLR55" s="4"/>
      <c r="QLS55" s="4"/>
      <c r="QLT55" s="4"/>
      <c r="QLU55" s="4"/>
      <c r="QLV55" s="4"/>
      <c r="QLW55" s="4"/>
      <c r="QLX55" s="4"/>
      <c r="QLY55" s="4"/>
      <c r="QLZ55" s="4"/>
      <c r="QMA55" s="4"/>
      <c r="QMB55" s="4"/>
      <c r="QMC55" s="4"/>
      <c r="QMD55" s="4"/>
      <c r="QME55" s="4"/>
      <c r="QMF55" s="4"/>
      <c r="QMG55" s="4"/>
      <c r="QMH55" s="4"/>
      <c r="QMI55" s="4"/>
      <c r="QMJ55" s="4"/>
      <c r="QMK55" s="4"/>
      <c r="QML55" s="4"/>
      <c r="QMM55" s="4"/>
      <c r="QMN55" s="4"/>
      <c r="QMO55" s="4"/>
      <c r="QMP55" s="4"/>
      <c r="QMQ55" s="4"/>
      <c r="QMR55" s="4"/>
      <c r="QMS55" s="4"/>
      <c r="QMT55" s="4"/>
      <c r="QMU55" s="4"/>
      <c r="QMV55" s="4"/>
      <c r="QMW55" s="4"/>
      <c r="QMX55" s="4"/>
      <c r="QMY55" s="4"/>
      <c r="QMZ55" s="4"/>
      <c r="QNA55" s="4"/>
      <c r="QNB55" s="4"/>
      <c r="QNC55" s="4"/>
      <c r="QND55" s="4"/>
      <c r="QNE55" s="4"/>
      <c r="QNF55" s="4"/>
      <c r="QNG55" s="4"/>
      <c r="QNH55" s="4"/>
      <c r="QNI55" s="4"/>
      <c r="QNJ55" s="4"/>
      <c r="QNK55" s="4"/>
      <c r="QNL55" s="4"/>
      <c r="QNM55" s="4"/>
      <c r="QNN55" s="4"/>
      <c r="QNO55" s="4"/>
      <c r="QNP55" s="4"/>
      <c r="QNQ55" s="4"/>
      <c r="QNR55" s="4"/>
      <c r="QNS55" s="4"/>
      <c r="QNT55" s="4"/>
      <c r="QNU55" s="4"/>
      <c r="QNV55" s="4"/>
      <c r="QNW55" s="4"/>
      <c r="QNX55" s="4"/>
      <c r="QNY55" s="4"/>
      <c r="QNZ55" s="4"/>
      <c r="QOA55" s="4"/>
      <c r="QOB55" s="4"/>
      <c r="QOC55" s="4"/>
      <c r="QOD55" s="4"/>
      <c r="QOE55" s="4"/>
      <c r="QOF55" s="4"/>
      <c r="QOG55" s="4"/>
      <c r="QOH55" s="4"/>
      <c r="QOI55" s="4"/>
      <c r="QOJ55" s="4"/>
      <c r="QOK55" s="4"/>
      <c r="QOL55" s="4"/>
      <c r="QOM55" s="4"/>
      <c r="QON55" s="4"/>
      <c r="QOO55" s="4"/>
      <c r="QOP55" s="4"/>
      <c r="QOQ55" s="4"/>
      <c r="QOR55" s="4"/>
      <c r="QOS55" s="4"/>
      <c r="QOT55" s="4"/>
      <c r="QOU55" s="4"/>
      <c r="QOV55" s="4"/>
      <c r="QOW55" s="4"/>
      <c r="QOX55" s="4"/>
      <c r="QOY55" s="4"/>
      <c r="QOZ55" s="4"/>
      <c r="QPA55" s="4"/>
      <c r="QPB55" s="4"/>
      <c r="QPC55" s="4"/>
      <c r="QPD55" s="4"/>
      <c r="QPE55" s="4"/>
      <c r="QPF55" s="4"/>
      <c r="QPG55" s="4"/>
      <c r="QPH55" s="4"/>
      <c r="QPI55" s="4"/>
      <c r="QPJ55" s="4"/>
      <c r="QPK55" s="4"/>
      <c r="QPL55" s="4"/>
      <c r="QPM55" s="4"/>
      <c r="QPN55" s="4"/>
      <c r="QPO55" s="4"/>
      <c r="QPP55" s="4"/>
      <c r="QPQ55" s="4"/>
      <c r="QPR55" s="4"/>
      <c r="QPS55" s="4"/>
      <c r="QPT55" s="4"/>
      <c r="QPU55" s="4"/>
      <c r="QPV55" s="4"/>
      <c r="QPW55" s="4"/>
      <c r="QPX55" s="4"/>
      <c r="QPY55" s="4"/>
      <c r="QPZ55" s="4"/>
      <c r="QQA55" s="4"/>
      <c r="QQB55" s="4"/>
      <c r="QQC55" s="4"/>
      <c r="QQD55" s="4"/>
      <c r="QQE55" s="4"/>
      <c r="QQF55" s="4"/>
      <c r="QQG55" s="4"/>
      <c r="QQH55" s="4"/>
      <c r="QQI55" s="4"/>
      <c r="QQJ55" s="4"/>
      <c r="QQK55" s="4"/>
      <c r="QQL55" s="4"/>
      <c r="QQM55" s="4"/>
      <c r="QQN55" s="4"/>
      <c r="QQO55" s="4"/>
      <c r="QQP55" s="4"/>
      <c r="QQQ55" s="4"/>
      <c r="QQR55" s="4"/>
      <c r="QQS55" s="4"/>
      <c r="QQT55" s="4"/>
      <c r="QQU55" s="4"/>
      <c r="QQV55" s="4"/>
      <c r="QQW55" s="4"/>
      <c r="QQX55" s="4"/>
      <c r="QQY55" s="4"/>
      <c r="QQZ55" s="4"/>
      <c r="QRA55" s="4"/>
      <c r="QRB55" s="4"/>
      <c r="QRC55" s="4"/>
      <c r="QRD55" s="4"/>
      <c r="QRE55" s="4"/>
      <c r="QRF55" s="4"/>
      <c r="QRG55" s="4"/>
      <c r="QRH55" s="4"/>
      <c r="QRI55" s="4"/>
      <c r="QRJ55" s="4"/>
      <c r="QRK55" s="4"/>
      <c r="QRL55" s="4"/>
      <c r="QRM55" s="4"/>
      <c r="QRN55" s="4"/>
      <c r="QRO55" s="4"/>
      <c r="QRP55" s="4"/>
      <c r="QRQ55" s="4"/>
      <c r="QRR55" s="4"/>
      <c r="QRS55" s="4"/>
      <c r="QRT55" s="4"/>
      <c r="QRU55" s="4"/>
      <c r="QRV55" s="4"/>
      <c r="QRW55" s="4"/>
      <c r="QRX55" s="4"/>
      <c r="QRY55" s="4"/>
      <c r="QRZ55" s="4"/>
      <c r="QSA55" s="4"/>
      <c r="QSB55" s="4"/>
      <c r="QSC55" s="4"/>
      <c r="QSD55" s="4"/>
      <c r="QSE55" s="4"/>
      <c r="QSF55" s="4"/>
      <c r="QSG55" s="4"/>
      <c r="QSH55" s="4"/>
      <c r="QSI55" s="4"/>
      <c r="QSJ55" s="4"/>
      <c r="QSK55" s="4"/>
      <c r="QSL55" s="4"/>
      <c r="QSM55" s="4"/>
      <c r="QSN55" s="4"/>
      <c r="QSO55" s="4"/>
      <c r="QSP55" s="4"/>
      <c r="QSQ55" s="4"/>
      <c r="QSR55" s="4"/>
      <c r="QSS55" s="4"/>
      <c r="QST55" s="4"/>
      <c r="QSU55" s="4"/>
      <c r="QSV55" s="4"/>
      <c r="QSW55" s="4"/>
      <c r="QSX55" s="4"/>
      <c r="QSY55" s="4"/>
      <c r="QSZ55" s="4"/>
      <c r="QTA55" s="4"/>
      <c r="QTB55" s="4"/>
      <c r="QTC55" s="4"/>
      <c r="QTD55" s="4"/>
      <c r="QTE55" s="4"/>
      <c r="QTF55" s="4"/>
      <c r="QTG55" s="4"/>
      <c r="QTH55" s="4"/>
      <c r="QTI55" s="4"/>
      <c r="QTJ55" s="4"/>
      <c r="QTK55" s="4"/>
      <c r="QTL55" s="4"/>
      <c r="QTM55" s="4"/>
      <c r="QTN55" s="4"/>
      <c r="QTO55" s="4"/>
      <c r="QTP55" s="4"/>
      <c r="QTQ55" s="4"/>
      <c r="QTR55" s="4"/>
      <c r="QTS55" s="4"/>
      <c r="QTT55" s="4"/>
      <c r="QTU55" s="4"/>
      <c r="QTV55" s="4"/>
      <c r="QTW55" s="4"/>
      <c r="QTX55" s="4"/>
      <c r="QTY55" s="4"/>
      <c r="QTZ55" s="4"/>
      <c r="QUA55" s="4"/>
      <c r="QUB55" s="4"/>
      <c r="QUC55" s="4"/>
      <c r="QUD55" s="4"/>
      <c r="QUE55" s="4"/>
      <c r="QUF55" s="4"/>
      <c r="QUG55" s="4"/>
      <c r="QUH55" s="4"/>
      <c r="QUI55" s="4"/>
      <c r="QUJ55" s="4"/>
      <c r="QUK55" s="4"/>
      <c r="QUL55" s="4"/>
      <c r="QUM55" s="4"/>
      <c r="QUN55" s="4"/>
      <c r="QUO55" s="4"/>
      <c r="QUP55" s="4"/>
      <c r="QUQ55" s="4"/>
      <c r="QUR55" s="4"/>
      <c r="QUS55" s="4"/>
      <c r="QUT55" s="4"/>
      <c r="QUU55" s="4"/>
      <c r="QUV55" s="4"/>
      <c r="QUW55" s="4"/>
      <c r="QUX55" s="4"/>
      <c r="QUY55" s="4"/>
      <c r="QUZ55" s="4"/>
      <c r="QVA55" s="4"/>
      <c r="QVB55" s="4"/>
      <c r="QVC55" s="4"/>
      <c r="QVD55" s="4"/>
      <c r="QVE55" s="4"/>
      <c r="QVF55" s="4"/>
      <c r="QVG55" s="4"/>
      <c r="QVH55" s="4"/>
      <c r="QVI55" s="4"/>
      <c r="QVJ55" s="4"/>
      <c r="QVK55" s="4"/>
      <c r="QVL55" s="4"/>
      <c r="QVM55" s="4"/>
      <c r="QVN55" s="4"/>
      <c r="QVO55" s="4"/>
      <c r="QVP55" s="4"/>
      <c r="QVQ55" s="4"/>
      <c r="QVR55" s="4"/>
      <c r="QVS55" s="4"/>
      <c r="QVT55" s="4"/>
      <c r="QVU55" s="4"/>
      <c r="QVV55" s="4"/>
      <c r="QVW55" s="4"/>
      <c r="QVX55" s="4"/>
      <c r="QVY55" s="4"/>
      <c r="QVZ55" s="4"/>
      <c r="QWA55" s="4"/>
      <c r="QWB55" s="4"/>
      <c r="QWC55" s="4"/>
      <c r="QWD55" s="4"/>
      <c r="QWE55" s="4"/>
      <c r="QWF55" s="4"/>
      <c r="QWG55" s="4"/>
      <c r="QWH55" s="4"/>
      <c r="QWI55" s="4"/>
      <c r="QWJ55" s="4"/>
      <c r="QWK55" s="4"/>
      <c r="QWL55" s="4"/>
      <c r="QWM55" s="4"/>
      <c r="QWN55" s="4"/>
      <c r="QWO55" s="4"/>
      <c r="QWP55" s="4"/>
      <c r="QWQ55" s="4"/>
      <c r="QWR55" s="4"/>
      <c r="QWS55" s="4"/>
      <c r="QWT55" s="4"/>
      <c r="QWU55" s="4"/>
      <c r="QWV55" s="4"/>
      <c r="QWW55" s="4"/>
      <c r="QWX55" s="4"/>
      <c r="QWY55" s="4"/>
      <c r="QWZ55" s="4"/>
      <c r="QXA55" s="4"/>
      <c r="QXB55" s="4"/>
      <c r="QXC55" s="4"/>
      <c r="QXD55" s="4"/>
      <c r="QXE55" s="4"/>
      <c r="QXF55" s="4"/>
      <c r="QXG55" s="4"/>
      <c r="QXH55" s="4"/>
      <c r="QXI55" s="4"/>
      <c r="QXJ55" s="4"/>
      <c r="QXK55" s="4"/>
      <c r="QXL55" s="4"/>
      <c r="QXM55" s="4"/>
      <c r="QXN55" s="4"/>
      <c r="QXO55" s="4"/>
      <c r="QXP55" s="4"/>
      <c r="QXQ55" s="4"/>
      <c r="QXR55" s="4"/>
      <c r="QXS55" s="4"/>
      <c r="QXT55" s="4"/>
      <c r="QXU55" s="4"/>
      <c r="QXV55" s="4"/>
      <c r="QXW55" s="4"/>
      <c r="QXX55" s="4"/>
      <c r="QXY55" s="4"/>
      <c r="QXZ55" s="4"/>
      <c r="QYA55" s="4"/>
      <c r="QYB55" s="4"/>
      <c r="QYC55" s="4"/>
      <c r="QYD55" s="4"/>
      <c r="QYE55" s="4"/>
      <c r="QYF55" s="4"/>
      <c r="QYG55" s="4"/>
      <c r="QYH55" s="4"/>
      <c r="QYI55" s="4"/>
      <c r="QYJ55" s="4"/>
      <c r="QYK55" s="4"/>
      <c r="QYL55" s="4"/>
      <c r="QYM55" s="4"/>
      <c r="QYN55" s="4"/>
      <c r="QYO55" s="4"/>
      <c r="QYP55" s="4"/>
      <c r="QYQ55" s="4"/>
      <c r="QYR55" s="4"/>
      <c r="QYS55" s="4"/>
      <c r="QYT55" s="4"/>
      <c r="QYU55" s="4"/>
      <c r="QYV55" s="4"/>
      <c r="QYW55" s="4"/>
      <c r="QYX55" s="4"/>
      <c r="QYY55" s="4"/>
      <c r="QYZ55" s="4"/>
      <c r="QZA55" s="4"/>
      <c r="QZB55" s="4"/>
      <c r="QZC55" s="4"/>
      <c r="QZD55" s="4"/>
      <c r="QZE55" s="4"/>
      <c r="QZF55" s="4"/>
      <c r="QZG55" s="4"/>
      <c r="QZH55" s="4"/>
      <c r="QZI55" s="4"/>
      <c r="QZJ55" s="4"/>
      <c r="QZK55" s="4"/>
      <c r="QZL55" s="4"/>
      <c r="QZM55" s="4"/>
      <c r="QZN55" s="4"/>
      <c r="QZO55" s="4"/>
      <c r="QZP55" s="4"/>
      <c r="QZQ55" s="4"/>
      <c r="QZR55" s="4"/>
      <c r="QZS55" s="4"/>
      <c r="QZT55" s="4"/>
      <c r="QZU55" s="4"/>
      <c r="QZV55" s="4"/>
      <c r="QZW55" s="4"/>
      <c r="QZX55" s="4"/>
      <c r="QZY55" s="4"/>
      <c r="QZZ55" s="4"/>
      <c r="RAA55" s="4"/>
      <c r="RAB55" s="4"/>
      <c r="RAC55" s="4"/>
      <c r="RAD55" s="4"/>
      <c r="RAE55" s="4"/>
      <c r="RAF55" s="4"/>
      <c r="RAG55" s="4"/>
      <c r="RAH55" s="4"/>
      <c r="RAI55" s="4"/>
      <c r="RAJ55" s="4"/>
      <c r="RAK55" s="4"/>
      <c r="RAL55" s="4"/>
      <c r="RAM55" s="4"/>
      <c r="RAN55" s="4"/>
      <c r="RAO55" s="4"/>
      <c r="RAP55" s="4"/>
      <c r="RAQ55" s="4"/>
      <c r="RAR55" s="4"/>
      <c r="RAS55" s="4"/>
      <c r="RAT55" s="4"/>
      <c r="RAU55" s="4"/>
      <c r="RAV55" s="4"/>
      <c r="RAW55" s="4"/>
      <c r="RAX55" s="4"/>
      <c r="RAY55" s="4"/>
      <c r="RAZ55" s="4"/>
      <c r="RBA55" s="4"/>
      <c r="RBB55" s="4"/>
      <c r="RBC55" s="4"/>
      <c r="RBD55" s="4"/>
      <c r="RBE55" s="4"/>
      <c r="RBF55" s="4"/>
      <c r="RBG55" s="4"/>
      <c r="RBH55" s="4"/>
      <c r="RBI55" s="4"/>
      <c r="RBJ55" s="4"/>
      <c r="RBK55" s="4"/>
      <c r="RBL55" s="4"/>
      <c r="RBM55" s="4"/>
      <c r="RBN55" s="4"/>
      <c r="RBO55" s="4"/>
      <c r="RBP55" s="4"/>
      <c r="RBQ55" s="4"/>
      <c r="RBR55" s="4"/>
      <c r="RBS55" s="4"/>
      <c r="RBT55" s="4"/>
      <c r="RBU55" s="4"/>
      <c r="RBV55" s="4"/>
      <c r="RBW55" s="4"/>
      <c r="RBX55" s="4"/>
      <c r="RBY55" s="4"/>
      <c r="RBZ55" s="4"/>
      <c r="RCA55" s="4"/>
      <c r="RCB55" s="4"/>
      <c r="RCC55" s="4"/>
      <c r="RCD55" s="4"/>
      <c r="RCE55" s="4"/>
      <c r="RCF55" s="4"/>
      <c r="RCG55" s="4"/>
      <c r="RCH55" s="4"/>
      <c r="RCI55" s="4"/>
      <c r="RCJ55" s="4"/>
      <c r="RCK55" s="4"/>
      <c r="RCL55" s="4"/>
      <c r="RCM55" s="4"/>
      <c r="RCN55" s="4"/>
      <c r="RCO55" s="4"/>
      <c r="RCP55" s="4"/>
      <c r="RCQ55" s="4"/>
      <c r="RCR55" s="4"/>
      <c r="RCS55" s="4"/>
      <c r="RCT55" s="4"/>
      <c r="RCU55" s="4"/>
      <c r="RCV55" s="4"/>
      <c r="RCW55" s="4"/>
      <c r="RCX55" s="4"/>
      <c r="RCY55" s="4"/>
      <c r="RCZ55" s="4"/>
      <c r="RDA55" s="4"/>
      <c r="RDB55" s="4"/>
      <c r="RDC55" s="4"/>
      <c r="RDD55" s="4"/>
      <c r="RDE55" s="4"/>
      <c r="RDF55" s="4"/>
      <c r="RDG55" s="4"/>
      <c r="RDH55" s="4"/>
      <c r="RDI55" s="4"/>
      <c r="RDJ55" s="4"/>
      <c r="RDK55" s="4"/>
      <c r="RDL55" s="4"/>
      <c r="RDM55" s="4"/>
      <c r="RDN55" s="4"/>
      <c r="RDO55" s="4"/>
      <c r="RDP55" s="4"/>
      <c r="RDQ55" s="4"/>
      <c r="RDR55" s="4"/>
      <c r="RDS55" s="4"/>
      <c r="RDT55" s="4"/>
      <c r="RDU55" s="4"/>
      <c r="RDV55" s="4"/>
      <c r="RDW55" s="4"/>
      <c r="RDX55" s="4"/>
      <c r="RDY55" s="4"/>
      <c r="RDZ55" s="4"/>
      <c r="REA55" s="4"/>
      <c r="REB55" s="4"/>
      <c r="REC55" s="4"/>
      <c r="RED55" s="4"/>
      <c r="REE55" s="4"/>
      <c r="REF55" s="4"/>
      <c r="REG55" s="4"/>
      <c r="REH55" s="4"/>
      <c r="REI55" s="4"/>
      <c r="REJ55" s="4"/>
      <c r="REK55" s="4"/>
      <c r="REL55" s="4"/>
      <c r="REM55" s="4"/>
      <c r="REN55" s="4"/>
      <c r="REO55" s="4"/>
      <c r="REP55" s="4"/>
      <c r="REQ55" s="4"/>
      <c r="RER55" s="4"/>
      <c r="RES55" s="4"/>
      <c r="RET55" s="4"/>
      <c r="REU55" s="4"/>
      <c r="REV55" s="4"/>
      <c r="REW55" s="4"/>
      <c r="REX55" s="4"/>
      <c r="REY55" s="4"/>
      <c r="REZ55" s="4"/>
      <c r="RFA55" s="4"/>
      <c r="RFB55" s="4"/>
      <c r="RFC55" s="4"/>
      <c r="RFD55" s="4"/>
      <c r="RFE55" s="4"/>
      <c r="RFF55" s="4"/>
      <c r="RFG55" s="4"/>
      <c r="RFH55" s="4"/>
      <c r="RFI55" s="4"/>
      <c r="RFJ55" s="4"/>
      <c r="RFK55" s="4"/>
      <c r="RFL55" s="4"/>
      <c r="RFM55" s="4"/>
      <c r="RFN55" s="4"/>
      <c r="RFO55" s="4"/>
      <c r="RFP55" s="4"/>
      <c r="RFQ55" s="4"/>
      <c r="RFR55" s="4"/>
      <c r="RFS55" s="4"/>
      <c r="RFT55" s="4"/>
      <c r="RFU55" s="4"/>
      <c r="RFV55" s="4"/>
      <c r="RFW55" s="4"/>
      <c r="RFX55" s="4"/>
      <c r="RFY55" s="4"/>
      <c r="RFZ55" s="4"/>
      <c r="RGA55" s="4"/>
      <c r="RGB55" s="4"/>
      <c r="RGC55" s="4"/>
      <c r="RGD55" s="4"/>
      <c r="RGE55" s="4"/>
      <c r="RGF55" s="4"/>
      <c r="RGG55" s="4"/>
      <c r="RGH55" s="4"/>
      <c r="RGI55" s="4"/>
      <c r="RGJ55" s="4"/>
      <c r="RGK55" s="4"/>
      <c r="RGL55" s="4"/>
      <c r="RGM55" s="4"/>
      <c r="RGN55" s="4"/>
      <c r="RGO55" s="4"/>
      <c r="RGP55" s="4"/>
      <c r="RGQ55" s="4"/>
      <c r="RGR55" s="4"/>
      <c r="RGS55" s="4"/>
      <c r="RGT55" s="4"/>
      <c r="RGU55" s="4"/>
      <c r="RGV55" s="4"/>
      <c r="RGW55" s="4"/>
      <c r="RGX55" s="4"/>
      <c r="RGY55" s="4"/>
      <c r="RGZ55" s="4"/>
      <c r="RHA55" s="4"/>
      <c r="RHB55" s="4"/>
      <c r="RHC55" s="4"/>
      <c r="RHD55" s="4"/>
      <c r="RHE55" s="4"/>
      <c r="RHF55" s="4"/>
      <c r="RHG55" s="4"/>
      <c r="RHH55" s="4"/>
      <c r="RHI55" s="4"/>
      <c r="RHJ55" s="4"/>
      <c r="RHK55" s="4"/>
      <c r="RHL55" s="4"/>
      <c r="RHM55" s="4"/>
      <c r="RHN55" s="4"/>
      <c r="RHO55" s="4"/>
      <c r="RHP55" s="4"/>
      <c r="RHQ55" s="4"/>
      <c r="RHR55" s="4"/>
      <c r="RHS55" s="4"/>
      <c r="RHT55" s="4"/>
      <c r="RHU55" s="4"/>
      <c r="RHV55" s="4"/>
      <c r="RHW55" s="4"/>
      <c r="RHX55" s="4"/>
      <c r="RHY55" s="4"/>
      <c r="RHZ55" s="4"/>
      <c r="RIA55" s="4"/>
      <c r="RIB55" s="4"/>
      <c r="RIC55" s="4"/>
      <c r="RID55" s="4"/>
      <c r="RIE55" s="4"/>
      <c r="RIF55" s="4"/>
      <c r="RIG55" s="4"/>
      <c r="RIH55" s="4"/>
      <c r="RII55" s="4"/>
      <c r="RIJ55" s="4"/>
      <c r="RIK55" s="4"/>
      <c r="RIL55" s="4"/>
      <c r="RIM55" s="4"/>
      <c r="RIN55" s="4"/>
      <c r="RIO55" s="4"/>
      <c r="RIP55" s="4"/>
      <c r="RIQ55" s="4"/>
      <c r="RIR55" s="4"/>
      <c r="RIS55" s="4"/>
      <c r="RIT55" s="4"/>
      <c r="RIU55" s="4"/>
      <c r="RIV55" s="4"/>
      <c r="RIW55" s="4"/>
      <c r="RIX55" s="4"/>
      <c r="RIY55" s="4"/>
      <c r="RIZ55" s="4"/>
      <c r="RJA55" s="4"/>
      <c r="RJB55" s="4"/>
      <c r="RJC55" s="4"/>
      <c r="RJD55" s="4"/>
      <c r="RJE55" s="4"/>
      <c r="RJF55" s="4"/>
      <c r="RJG55" s="4"/>
      <c r="RJH55" s="4"/>
      <c r="RJI55" s="4"/>
      <c r="RJJ55" s="4"/>
      <c r="RJK55" s="4"/>
      <c r="RJL55" s="4"/>
      <c r="RJM55" s="4"/>
      <c r="RJN55" s="4"/>
      <c r="RJO55" s="4"/>
      <c r="RJP55" s="4"/>
      <c r="RJQ55" s="4"/>
      <c r="RJR55" s="4"/>
      <c r="RJS55" s="4"/>
      <c r="RJT55" s="4"/>
      <c r="RJU55" s="4"/>
      <c r="RJV55" s="4"/>
      <c r="RJW55" s="4"/>
      <c r="RJX55" s="4"/>
      <c r="RJY55" s="4"/>
      <c r="RJZ55" s="4"/>
      <c r="RKA55" s="4"/>
      <c r="RKB55" s="4"/>
      <c r="RKC55" s="4"/>
      <c r="RKD55" s="4"/>
      <c r="RKE55" s="4"/>
      <c r="RKF55" s="4"/>
      <c r="RKG55" s="4"/>
      <c r="RKH55" s="4"/>
      <c r="RKI55" s="4"/>
      <c r="RKJ55" s="4"/>
      <c r="RKK55" s="4"/>
      <c r="RKL55" s="4"/>
      <c r="RKM55" s="4"/>
      <c r="RKN55" s="4"/>
      <c r="RKO55" s="4"/>
      <c r="RKP55" s="4"/>
      <c r="RKQ55" s="4"/>
      <c r="RKR55" s="4"/>
      <c r="RKS55" s="4"/>
      <c r="RKT55" s="4"/>
      <c r="RKU55" s="4"/>
      <c r="RKV55" s="4"/>
      <c r="RKW55" s="4"/>
      <c r="RKX55" s="4"/>
      <c r="RKY55" s="4"/>
      <c r="RKZ55" s="4"/>
      <c r="RLA55" s="4"/>
      <c r="RLB55" s="4"/>
      <c r="RLC55" s="4"/>
      <c r="RLD55" s="4"/>
      <c r="RLE55" s="4"/>
      <c r="RLF55" s="4"/>
      <c r="RLG55" s="4"/>
      <c r="RLH55" s="4"/>
      <c r="RLI55" s="4"/>
      <c r="RLJ55" s="4"/>
      <c r="RLK55" s="4"/>
      <c r="RLL55" s="4"/>
      <c r="RLM55" s="4"/>
      <c r="RLN55" s="4"/>
      <c r="RLO55" s="4"/>
      <c r="RLP55" s="4"/>
      <c r="RLQ55" s="4"/>
      <c r="RLR55" s="4"/>
      <c r="RLS55" s="4"/>
      <c r="RLT55" s="4"/>
      <c r="RLU55" s="4"/>
      <c r="RLV55" s="4"/>
      <c r="RLW55" s="4"/>
      <c r="RLX55" s="4"/>
      <c r="RLY55" s="4"/>
      <c r="RLZ55" s="4"/>
      <c r="RMA55" s="4"/>
      <c r="RMB55" s="4"/>
      <c r="RMC55" s="4"/>
      <c r="RMD55" s="4"/>
      <c r="RME55" s="4"/>
      <c r="RMF55" s="4"/>
      <c r="RMG55" s="4"/>
      <c r="RMH55" s="4"/>
      <c r="RMI55" s="4"/>
      <c r="RMJ55" s="4"/>
      <c r="RMK55" s="4"/>
      <c r="RML55" s="4"/>
      <c r="RMM55" s="4"/>
      <c r="RMN55" s="4"/>
      <c r="RMO55" s="4"/>
      <c r="RMP55" s="4"/>
      <c r="RMQ55" s="4"/>
      <c r="RMR55" s="4"/>
      <c r="RMS55" s="4"/>
      <c r="RMT55" s="4"/>
      <c r="RMU55" s="4"/>
      <c r="RMV55" s="4"/>
      <c r="RMW55" s="4"/>
      <c r="RMX55" s="4"/>
      <c r="RMY55" s="4"/>
      <c r="RMZ55" s="4"/>
      <c r="RNA55" s="4"/>
      <c r="RNB55" s="4"/>
      <c r="RNC55" s="4"/>
      <c r="RND55" s="4"/>
      <c r="RNE55" s="4"/>
      <c r="RNF55" s="4"/>
      <c r="RNG55" s="4"/>
      <c r="RNH55" s="4"/>
      <c r="RNI55" s="4"/>
      <c r="RNJ55" s="4"/>
      <c r="RNK55" s="4"/>
      <c r="RNL55" s="4"/>
      <c r="RNM55" s="4"/>
      <c r="RNN55" s="4"/>
      <c r="RNO55" s="4"/>
      <c r="RNP55" s="4"/>
      <c r="RNQ55" s="4"/>
      <c r="RNR55" s="4"/>
      <c r="RNS55" s="4"/>
      <c r="RNT55" s="4"/>
      <c r="RNU55" s="4"/>
      <c r="RNV55" s="4"/>
      <c r="RNW55" s="4"/>
      <c r="RNX55" s="4"/>
      <c r="RNY55" s="4"/>
      <c r="RNZ55" s="4"/>
      <c r="ROA55" s="4"/>
      <c r="ROB55" s="4"/>
      <c r="ROC55" s="4"/>
      <c r="ROD55" s="4"/>
      <c r="ROE55" s="4"/>
      <c r="ROF55" s="4"/>
      <c r="ROG55" s="4"/>
      <c r="ROH55" s="4"/>
      <c r="ROI55" s="4"/>
      <c r="ROJ55" s="4"/>
      <c r="ROK55" s="4"/>
      <c r="ROL55" s="4"/>
      <c r="ROM55" s="4"/>
      <c r="RON55" s="4"/>
      <c r="ROO55" s="4"/>
      <c r="ROP55" s="4"/>
      <c r="ROQ55" s="4"/>
      <c r="ROR55" s="4"/>
      <c r="ROS55" s="4"/>
      <c r="ROT55" s="4"/>
      <c r="ROU55" s="4"/>
      <c r="ROV55" s="4"/>
      <c r="ROW55" s="4"/>
      <c r="ROX55" s="4"/>
      <c r="ROY55" s="4"/>
      <c r="ROZ55" s="4"/>
      <c r="RPA55" s="4"/>
      <c r="RPB55" s="4"/>
      <c r="RPC55" s="4"/>
      <c r="RPD55" s="4"/>
      <c r="RPE55" s="4"/>
      <c r="RPF55" s="4"/>
      <c r="RPG55" s="4"/>
      <c r="RPH55" s="4"/>
      <c r="RPI55" s="4"/>
      <c r="RPJ55" s="4"/>
      <c r="RPK55" s="4"/>
      <c r="RPL55" s="4"/>
      <c r="RPM55" s="4"/>
      <c r="RPN55" s="4"/>
      <c r="RPO55" s="4"/>
      <c r="RPP55" s="4"/>
      <c r="RPQ55" s="4"/>
      <c r="RPR55" s="4"/>
      <c r="RPS55" s="4"/>
      <c r="RPT55" s="4"/>
      <c r="RPU55" s="4"/>
      <c r="RPV55" s="4"/>
      <c r="RPW55" s="4"/>
      <c r="RPX55" s="4"/>
      <c r="RPY55" s="4"/>
      <c r="RPZ55" s="4"/>
      <c r="RQA55" s="4"/>
      <c r="RQB55" s="4"/>
      <c r="RQC55" s="4"/>
      <c r="RQD55" s="4"/>
      <c r="RQE55" s="4"/>
      <c r="RQF55" s="4"/>
      <c r="RQG55" s="4"/>
      <c r="RQH55" s="4"/>
      <c r="RQI55" s="4"/>
      <c r="RQJ55" s="4"/>
      <c r="RQK55" s="4"/>
      <c r="RQL55" s="4"/>
      <c r="RQM55" s="4"/>
      <c r="RQN55" s="4"/>
      <c r="RQO55" s="4"/>
      <c r="RQP55" s="4"/>
      <c r="RQQ55" s="4"/>
      <c r="RQR55" s="4"/>
      <c r="RQS55" s="4"/>
      <c r="RQT55" s="4"/>
      <c r="RQU55" s="4"/>
      <c r="RQV55" s="4"/>
      <c r="RQW55" s="4"/>
      <c r="RQX55" s="4"/>
      <c r="RQY55" s="4"/>
      <c r="RQZ55" s="4"/>
      <c r="RRA55" s="4"/>
      <c r="RRB55" s="4"/>
      <c r="RRC55" s="4"/>
      <c r="RRD55" s="4"/>
      <c r="RRE55" s="4"/>
      <c r="RRF55" s="4"/>
      <c r="RRG55" s="4"/>
      <c r="RRH55" s="4"/>
      <c r="RRI55" s="4"/>
      <c r="RRJ55" s="4"/>
      <c r="RRK55" s="4"/>
      <c r="RRL55" s="4"/>
      <c r="RRM55" s="4"/>
      <c r="RRN55" s="4"/>
      <c r="RRO55" s="4"/>
      <c r="RRP55" s="4"/>
      <c r="RRQ55" s="4"/>
      <c r="RRR55" s="4"/>
      <c r="RRS55" s="4"/>
      <c r="RRT55" s="4"/>
      <c r="RRU55" s="4"/>
      <c r="RRV55" s="4"/>
      <c r="RRW55" s="4"/>
      <c r="RRX55" s="4"/>
      <c r="RRY55" s="4"/>
      <c r="RRZ55" s="4"/>
      <c r="RSA55" s="4"/>
      <c r="RSB55" s="4"/>
      <c r="RSC55" s="4"/>
      <c r="RSD55" s="4"/>
      <c r="RSE55" s="4"/>
      <c r="RSF55" s="4"/>
      <c r="RSG55" s="4"/>
      <c r="RSH55" s="4"/>
      <c r="RSI55" s="4"/>
      <c r="RSJ55" s="4"/>
      <c r="RSK55" s="4"/>
      <c r="RSL55" s="4"/>
      <c r="RSM55" s="4"/>
      <c r="RSN55" s="4"/>
      <c r="RSO55" s="4"/>
      <c r="RSP55" s="4"/>
      <c r="RSQ55" s="4"/>
      <c r="RSR55" s="4"/>
      <c r="RSS55" s="4"/>
      <c r="RST55" s="4"/>
      <c r="RSU55" s="4"/>
      <c r="RSV55" s="4"/>
      <c r="RSW55" s="4"/>
      <c r="RSX55" s="4"/>
      <c r="RSY55" s="4"/>
      <c r="RSZ55" s="4"/>
      <c r="RTA55" s="4"/>
      <c r="RTB55" s="4"/>
      <c r="RTC55" s="4"/>
      <c r="RTD55" s="4"/>
      <c r="RTE55" s="4"/>
      <c r="RTF55" s="4"/>
      <c r="RTG55" s="4"/>
      <c r="RTH55" s="4"/>
      <c r="RTI55" s="4"/>
      <c r="RTJ55" s="4"/>
      <c r="RTK55" s="4"/>
      <c r="RTL55" s="4"/>
      <c r="RTM55" s="4"/>
      <c r="RTN55" s="4"/>
      <c r="RTO55" s="4"/>
      <c r="RTP55" s="4"/>
      <c r="RTQ55" s="4"/>
      <c r="RTR55" s="4"/>
      <c r="RTS55" s="4"/>
      <c r="RTT55" s="4"/>
      <c r="RTU55" s="4"/>
      <c r="RTV55" s="4"/>
      <c r="RTW55" s="4"/>
      <c r="RTX55" s="4"/>
      <c r="RTY55" s="4"/>
      <c r="RTZ55" s="4"/>
      <c r="RUA55" s="4"/>
      <c r="RUB55" s="4"/>
      <c r="RUC55" s="4"/>
      <c r="RUD55" s="4"/>
      <c r="RUE55" s="4"/>
      <c r="RUF55" s="4"/>
      <c r="RUG55" s="4"/>
      <c r="RUH55" s="4"/>
      <c r="RUI55" s="4"/>
      <c r="RUJ55" s="4"/>
      <c r="RUK55" s="4"/>
      <c r="RUL55" s="4"/>
      <c r="RUM55" s="4"/>
      <c r="RUN55" s="4"/>
      <c r="RUO55" s="4"/>
      <c r="RUP55" s="4"/>
      <c r="RUQ55" s="4"/>
      <c r="RUR55" s="4"/>
      <c r="RUS55" s="4"/>
      <c r="RUT55" s="4"/>
      <c r="RUU55" s="4"/>
      <c r="RUV55" s="4"/>
      <c r="RUW55" s="4"/>
      <c r="RUX55" s="4"/>
      <c r="RUY55" s="4"/>
      <c r="RUZ55" s="4"/>
      <c r="RVA55" s="4"/>
      <c r="RVB55" s="4"/>
      <c r="RVC55" s="4"/>
      <c r="RVD55" s="4"/>
      <c r="RVE55" s="4"/>
      <c r="RVF55" s="4"/>
      <c r="RVG55" s="4"/>
      <c r="RVH55" s="4"/>
      <c r="RVI55" s="4"/>
      <c r="RVJ55" s="4"/>
      <c r="RVK55" s="4"/>
      <c r="RVL55" s="4"/>
      <c r="RVM55" s="4"/>
      <c r="RVN55" s="4"/>
      <c r="RVO55" s="4"/>
      <c r="RVP55" s="4"/>
      <c r="RVQ55" s="4"/>
      <c r="RVR55" s="4"/>
      <c r="RVS55" s="4"/>
      <c r="RVT55" s="4"/>
      <c r="RVU55" s="4"/>
      <c r="RVV55" s="4"/>
      <c r="RVW55" s="4"/>
      <c r="RVX55" s="4"/>
      <c r="RVY55" s="4"/>
      <c r="RVZ55" s="4"/>
      <c r="RWA55" s="4"/>
      <c r="RWB55" s="4"/>
      <c r="RWC55" s="4"/>
      <c r="RWD55" s="4"/>
      <c r="RWE55" s="4"/>
      <c r="RWF55" s="4"/>
      <c r="RWG55" s="4"/>
      <c r="RWH55" s="4"/>
      <c r="RWI55" s="4"/>
      <c r="RWJ55" s="4"/>
      <c r="RWK55" s="4"/>
      <c r="RWL55" s="4"/>
      <c r="RWM55" s="4"/>
      <c r="RWN55" s="4"/>
      <c r="RWO55" s="4"/>
      <c r="RWP55" s="4"/>
      <c r="RWQ55" s="4"/>
      <c r="RWR55" s="4"/>
      <c r="RWS55" s="4"/>
      <c r="RWT55" s="4"/>
      <c r="RWU55" s="4"/>
      <c r="RWV55" s="4"/>
      <c r="RWW55" s="4"/>
      <c r="RWX55" s="4"/>
      <c r="RWY55" s="4"/>
      <c r="RWZ55" s="4"/>
      <c r="RXA55" s="4"/>
      <c r="RXB55" s="4"/>
      <c r="RXC55" s="4"/>
      <c r="RXD55" s="4"/>
      <c r="RXE55" s="4"/>
      <c r="RXF55" s="4"/>
      <c r="RXG55" s="4"/>
      <c r="RXH55" s="4"/>
      <c r="RXI55" s="4"/>
      <c r="RXJ55" s="4"/>
      <c r="RXK55" s="4"/>
      <c r="RXL55" s="4"/>
      <c r="RXM55" s="4"/>
      <c r="RXN55" s="4"/>
      <c r="RXO55" s="4"/>
      <c r="RXP55" s="4"/>
      <c r="RXQ55" s="4"/>
      <c r="RXR55" s="4"/>
      <c r="RXS55" s="4"/>
      <c r="RXT55" s="4"/>
      <c r="RXU55" s="4"/>
      <c r="RXV55" s="4"/>
      <c r="RXW55" s="4"/>
      <c r="RXX55" s="4"/>
      <c r="RXY55" s="4"/>
      <c r="RXZ55" s="4"/>
      <c r="RYA55" s="4"/>
      <c r="RYB55" s="4"/>
      <c r="RYC55" s="4"/>
      <c r="RYD55" s="4"/>
      <c r="RYE55" s="4"/>
      <c r="RYF55" s="4"/>
      <c r="RYG55" s="4"/>
      <c r="RYH55" s="4"/>
      <c r="RYI55" s="4"/>
      <c r="RYJ55" s="4"/>
      <c r="RYK55" s="4"/>
      <c r="RYL55" s="4"/>
      <c r="RYM55" s="4"/>
      <c r="RYN55" s="4"/>
      <c r="RYO55" s="4"/>
      <c r="RYP55" s="4"/>
      <c r="RYQ55" s="4"/>
      <c r="RYR55" s="4"/>
      <c r="RYS55" s="4"/>
      <c r="RYT55" s="4"/>
      <c r="RYU55" s="4"/>
      <c r="RYV55" s="4"/>
      <c r="RYW55" s="4"/>
      <c r="RYX55" s="4"/>
      <c r="RYY55" s="4"/>
      <c r="RYZ55" s="4"/>
      <c r="RZA55" s="4"/>
      <c r="RZB55" s="4"/>
      <c r="RZC55" s="4"/>
      <c r="RZD55" s="4"/>
      <c r="RZE55" s="4"/>
      <c r="RZF55" s="4"/>
      <c r="RZG55" s="4"/>
      <c r="RZH55" s="4"/>
      <c r="RZI55" s="4"/>
      <c r="RZJ55" s="4"/>
      <c r="RZK55" s="4"/>
      <c r="RZL55" s="4"/>
      <c r="RZM55" s="4"/>
      <c r="RZN55" s="4"/>
      <c r="RZO55" s="4"/>
      <c r="RZP55" s="4"/>
      <c r="RZQ55" s="4"/>
      <c r="RZR55" s="4"/>
      <c r="RZS55" s="4"/>
      <c r="RZT55" s="4"/>
      <c r="RZU55" s="4"/>
      <c r="RZV55" s="4"/>
      <c r="RZW55" s="4"/>
      <c r="RZX55" s="4"/>
      <c r="RZY55" s="4"/>
      <c r="RZZ55" s="4"/>
      <c r="SAA55" s="4"/>
      <c r="SAB55" s="4"/>
      <c r="SAC55" s="4"/>
      <c r="SAD55" s="4"/>
      <c r="SAE55" s="4"/>
      <c r="SAF55" s="4"/>
      <c r="SAG55" s="4"/>
      <c r="SAH55" s="4"/>
      <c r="SAI55" s="4"/>
      <c r="SAJ55" s="4"/>
      <c r="SAK55" s="4"/>
      <c r="SAL55" s="4"/>
      <c r="SAM55" s="4"/>
      <c r="SAN55" s="4"/>
      <c r="SAO55" s="4"/>
      <c r="SAP55" s="4"/>
      <c r="SAQ55" s="4"/>
      <c r="SAR55" s="4"/>
      <c r="SAS55" s="4"/>
      <c r="SAT55" s="4"/>
      <c r="SAU55" s="4"/>
      <c r="SAV55" s="4"/>
      <c r="SAW55" s="4"/>
      <c r="SAX55" s="4"/>
      <c r="SAY55" s="4"/>
      <c r="SAZ55" s="4"/>
      <c r="SBA55" s="4"/>
      <c r="SBB55" s="4"/>
      <c r="SBC55" s="4"/>
      <c r="SBD55" s="4"/>
      <c r="SBE55" s="4"/>
      <c r="SBF55" s="4"/>
      <c r="SBG55" s="4"/>
      <c r="SBH55" s="4"/>
      <c r="SBI55" s="4"/>
      <c r="SBJ55" s="4"/>
      <c r="SBK55" s="4"/>
      <c r="SBL55" s="4"/>
      <c r="SBM55" s="4"/>
      <c r="SBN55" s="4"/>
      <c r="SBO55" s="4"/>
      <c r="SBP55" s="4"/>
      <c r="SBQ55" s="4"/>
      <c r="SBR55" s="4"/>
      <c r="SBS55" s="4"/>
      <c r="SBT55" s="4"/>
      <c r="SBU55" s="4"/>
      <c r="SBV55" s="4"/>
      <c r="SBW55" s="4"/>
      <c r="SBX55" s="4"/>
      <c r="SBY55" s="4"/>
      <c r="SBZ55" s="4"/>
      <c r="SCA55" s="4"/>
      <c r="SCB55" s="4"/>
      <c r="SCC55" s="4"/>
      <c r="SCD55" s="4"/>
      <c r="SCE55" s="4"/>
      <c r="SCF55" s="4"/>
      <c r="SCG55" s="4"/>
      <c r="SCH55" s="4"/>
      <c r="SCI55" s="4"/>
      <c r="SCJ55" s="4"/>
      <c r="SCK55" s="4"/>
      <c r="SCL55" s="4"/>
      <c r="SCM55" s="4"/>
      <c r="SCN55" s="4"/>
      <c r="SCO55" s="4"/>
      <c r="SCP55" s="4"/>
      <c r="SCQ55" s="4"/>
      <c r="SCR55" s="4"/>
      <c r="SCS55" s="4"/>
      <c r="SCT55" s="4"/>
      <c r="SCU55" s="4"/>
      <c r="SCV55" s="4"/>
      <c r="SCW55" s="4"/>
      <c r="SCX55" s="4"/>
      <c r="SCY55" s="4"/>
      <c r="SCZ55" s="4"/>
      <c r="SDA55" s="4"/>
      <c r="SDB55" s="4"/>
      <c r="SDC55" s="4"/>
      <c r="SDD55" s="4"/>
      <c r="SDE55" s="4"/>
      <c r="SDF55" s="4"/>
      <c r="SDG55" s="4"/>
      <c r="SDH55" s="4"/>
      <c r="SDI55" s="4"/>
      <c r="SDJ55" s="4"/>
      <c r="SDK55" s="4"/>
      <c r="SDL55" s="4"/>
      <c r="SDM55" s="4"/>
      <c r="SDN55" s="4"/>
      <c r="SDO55" s="4"/>
      <c r="SDP55" s="4"/>
      <c r="SDQ55" s="4"/>
      <c r="SDR55" s="4"/>
      <c r="SDS55" s="4"/>
      <c r="SDT55" s="4"/>
      <c r="SDU55" s="4"/>
      <c r="SDV55" s="4"/>
      <c r="SDW55" s="4"/>
      <c r="SDX55" s="4"/>
      <c r="SDY55" s="4"/>
      <c r="SDZ55" s="4"/>
      <c r="SEA55" s="4"/>
      <c r="SEB55" s="4"/>
      <c r="SEC55" s="4"/>
      <c r="SED55" s="4"/>
      <c r="SEE55" s="4"/>
      <c r="SEF55" s="4"/>
      <c r="SEG55" s="4"/>
      <c r="SEH55" s="4"/>
      <c r="SEI55" s="4"/>
      <c r="SEJ55" s="4"/>
      <c r="SEK55" s="4"/>
      <c r="SEL55" s="4"/>
      <c r="SEM55" s="4"/>
      <c r="SEN55" s="4"/>
      <c r="SEO55" s="4"/>
      <c r="SEP55" s="4"/>
      <c r="SEQ55" s="4"/>
      <c r="SER55" s="4"/>
      <c r="SES55" s="4"/>
      <c r="SET55" s="4"/>
      <c r="SEU55" s="4"/>
      <c r="SEV55" s="4"/>
      <c r="SEW55" s="4"/>
      <c r="SEX55" s="4"/>
      <c r="SEY55" s="4"/>
      <c r="SEZ55" s="4"/>
      <c r="SFA55" s="4"/>
      <c r="SFB55" s="4"/>
      <c r="SFC55" s="4"/>
      <c r="SFD55" s="4"/>
      <c r="SFE55" s="4"/>
      <c r="SFF55" s="4"/>
      <c r="SFG55" s="4"/>
      <c r="SFH55" s="4"/>
      <c r="SFI55" s="4"/>
      <c r="SFJ55" s="4"/>
      <c r="SFK55" s="4"/>
      <c r="SFL55" s="4"/>
      <c r="SFM55" s="4"/>
      <c r="SFN55" s="4"/>
      <c r="SFO55" s="4"/>
      <c r="SFP55" s="4"/>
      <c r="SFQ55" s="4"/>
      <c r="SFR55" s="4"/>
      <c r="SFS55" s="4"/>
      <c r="SFT55" s="4"/>
      <c r="SFU55" s="4"/>
      <c r="SFV55" s="4"/>
      <c r="SFW55" s="4"/>
      <c r="SFX55" s="4"/>
      <c r="SFY55" s="4"/>
      <c r="SFZ55" s="4"/>
      <c r="SGA55" s="4"/>
      <c r="SGB55" s="4"/>
      <c r="SGC55" s="4"/>
      <c r="SGD55" s="4"/>
      <c r="SGE55" s="4"/>
      <c r="SGF55" s="4"/>
      <c r="SGG55" s="4"/>
      <c r="SGH55" s="4"/>
      <c r="SGI55" s="4"/>
      <c r="SGJ55" s="4"/>
      <c r="SGK55" s="4"/>
      <c r="SGL55" s="4"/>
      <c r="SGM55" s="4"/>
      <c r="SGN55" s="4"/>
      <c r="SGO55" s="4"/>
      <c r="SGP55" s="4"/>
      <c r="SGQ55" s="4"/>
      <c r="SGR55" s="4"/>
      <c r="SGS55" s="4"/>
      <c r="SGT55" s="4"/>
      <c r="SGU55" s="4"/>
      <c r="SGV55" s="4"/>
      <c r="SGW55" s="4"/>
      <c r="SGX55" s="4"/>
      <c r="SGY55" s="4"/>
      <c r="SGZ55" s="4"/>
      <c r="SHA55" s="4"/>
      <c r="SHB55" s="4"/>
      <c r="SHC55" s="4"/>
      <c r="SHD55" s="4"/>
      <c r="SHE55" s="4"/>
      <c r="SHF55" s="4"/>
      <c r="SHG55" s="4"/>
      <c r="SHH55" s="4"/>
      <c r="SHI55" s="4"/>
      <c r="SHJ55" s="4"/>
      <c r="SHK55" s="4"/>
      <c r="SHL55" s="4"/>
      <c r="SHM55" s="4"/>
      <c r="SHN55" s="4"/>
      <c r="SHO55" s="4"/>
      <c r="SHP55" s="4"/>
      <c r="SHQ55" s="4"/>
      <c r="SHR55" s="4"/>
      <c r="SHS55" s="4"/>
      <c r="SHT55" s="4"/>
      <c r="SHU55" s="4"/>
      <c r="SHV55" s="4"/>
      <c r="SHW55" s="4"/>
      <c r="SHX55" s="4"/>
      <c r="SHY55" s="4"/>
      <c r="SHZ55" s="4"/>
      <c r="SIA55" s="4"/>
      <c r="SIB55" s="4"/>
      <c r="SIC55" s="4"/>
      <c r="SID55" s="4"/>
      <c r="SIE55" s="4"/>
      <c r="SIF55" s="4"/>
      <c r="SIG55" s="4"/>
      <c r="SIH55" s="4"/>
      <c r="SII55" s="4"/>
      <c r="SIJ55" s="4"/>
      <c r="SIK55" s="4"/>
      <c r="SIL55" s="4"/>
      <c r="SIM55" s="4"/>
      <c r="SIN55" s="4"/>
      <c r="SIO55" s="4"/>
      <c r="SIP55" s="4"/>
      <c r="SIQ55" s="4"/>
      <c r="SIR55" s="4"/>
      <c r="SIS55" s="4"/>
      <c r="SIT55" s="4"/>
      <c r="SIU55" s="4"/>
      <c r="SIV55" s="4"/>
      <c r="SIW55" s="4"/>
      <c r="SIX55" s="4"/>
      <c r="SIY55" s="4"/>
      <c r="SIZ55" s="4"/>
      <c r="SJA55" s="4"/>
      <c r="SJB55" s="4"/>
      <c r="SJC55" s="4"/>
      <c r="SJD55" s="4"/>
      <c r="SJE55" s="4"/>
      <c r="SJF55" s="4"/>
      <c r="SJG55" s="4"/>
      <c r="SJH55" s="4"/>
      <c r="SJI55" s="4"/>
      <c r="SJJ55" s="4"/>
      <c r="SJK55" s="4"/>
      <c r="SJL55" s="4"/>
      <c r="SJM55" s="4"/>
      <c r="SJN55" s="4"/>
      <c r="SJO55" s="4"/>
      <c r="SJP55" s="4"/>
      <c r="SJQ55" s="4"/>
      <c r="SJR55" s="4"/>
      <c r="SJS55" s="4"/>
      <c r="SJT55" s="4"/>
      <c r="SJU55" s="4"/>
      <c r="SJV55" s="4"/>
      <c r="SJW55" s="4"/>
      <c r="SJX55" s="4"/>
      <c r="SJY55" s="4"/>
      <c r="SJZ55" s="4"/>
      <c r="SKA55" s="4"/>
      <c r="SKB55" s="4"/>
      <c r="SKC55" s="4"/>
      <c r="SKD55" s="4"/>
      <c r="SKE55" s="4"/>
      <c r="SKF55" s="4"/>
      <c r="SKG55" s="4"/>
      <c r="SKH55" s="4"/>
      <c r="SKI55" s="4"/>
      <c r="SKJ55" s="4"/>
      <c r="SKK55" s="4"/>
      <c r="SKL55" s="4"/>
      <c r="SKM55" s="4"/>
      <c r="SKN55" s="4"/>
      <c r="SKO55" s="4"/>
      <c r="SKP55" s="4"/>
      <c r="SKQ55" s="4"/>
      <c r="SKR55" s="4"/>
      <c r="SKS55" s="4"/>
      <c r="SKT55" s="4"/>
      <c r="SKU55" s="4"/>
      <c r="SKV55" s="4"/>
      <c r="SKW55" s="4"/>
      <c r="SKX55" s="4"/>
      <c r="SKY55" s="4"/>
      <c r="SKZ55" s="4"/>
      <c r="SLA55" s="4"/>
      <c r="SLB55" s="4"/>
      <c r="SLC55" s="4"/>
      <c r="SLD55" s="4"/>
      <c r="SLE55" s="4"/>
      <c r="SLF55" s="4"/>
      <c r="SLG55" s="4"/>
      <c r="SLH55" s="4"/>
      <c r="SLI55" s="4"/>
      <c r="SLJ55" s="4"/>
      <c r="SLK55" s="4"/>
      <c r="SLL55" s="4"/>
      <c r="SLM55" s="4"/>
      <c r="SLN55" s="4"/>
      <c r="SLO55" s="4"/>
      <c r="SLP55" s="4"/>
      <c r="SLQ55" s="4"/>
      <c r="SLR55" s="4"/>
      <c r="SLS55" s="4"/>
      <c r="SLT55" s="4"/>
      <c r="SLU55" s="4"/>
      <c r="SLV55" s="4"/>
      <c r="SLW55" s="4"/>
      <c r="SLX55" s="4"/>
      <c r="SLY55" s="4"/>
      <c r="SLZ55" s="4"/>
      <c r="SMA55" s="4"/>
      <c r="SMB55" s="4"/>
      <c r="SMC55" s="4"/>
      <c r="SMD55" s="4"/>
      <c r="SME55" s="4"/>
      <c r="SMF55" s="4"/>
      <c r="SMG55" s="4"/>
      <c r="SMH55" s="4"/>
      <c r="SMI55" s="4"/>
      <c r="SMJ55" s="4"/>
      <c r="SMK55" s="4"/>
      <c r="SML55" s="4"/>
      <c r="SMM55" s="4"/>
      <c r="SMN55" s="4"/>
      <c r="SMO55" s="4"/>
      <c r="SMP55" s="4"/>
      <c r="SMQ55" s="4"/>
      <c r="SMR55" s="4"/>
      <c r="SMS55" s="4"/>
      <c r="SMT55" s="4"/>
      <c r="SMU55" s="4"/>
      <c r="SMV55" s="4"/>
      <c r="SMW55" s="4"/>
      <c r="SMX55" s="4"/>
      <c r="SMY55" s="4"/>
      <c r="SMZ55" s="4"/>
      <c r="SNA55" s="4"/>
      <c r="SNB55" s="4"/>
      <c r="SNC55" s="4"/>
      <c r="SND55" s="4"/>
      <c r="SNE55" s="4"/>
      <c r="SNF55" s="4"/>
      <c r="SNG55" s="4"/>
      <c r="SNH55" s="4"/>
      <c r="SNI55" s="4"/>
      <c r="SNJ55" s="4"/>
      <c r="SNK55" s="4"/>
      <c r="SNL55" s="4"/>
      <c r="SNM55" s="4"/>
      <c r="SNN55" s="4"/>
      <c r="SNO55" s="4"/>
      <c r="SNP55" s="4"/>
      <c r="SNQ55" s="4"/>
      <c r="SNR55" s="4"/>
      <c r="SNS55" s="4"/>
      <c r="SNT55" s="4"/>
      <c r="SNU55" s="4"/>
      <c r="SNV55" s="4"/>
      <c r="SNW55" s="4"/>
      <c r="SNX55" s="4"/>
      <c r="SNY55" s="4"/>
      <c r="SNZ55" s="4"/>
      <c r="SOA55" s="4"/>
      <c r="SOB55" s="4"/>
      <c r="SOC55" s="4"/>
      <c r="SOD55" s="4"/>
      <c r="SOE55" s="4"/>
      <c r="SOF55" s="4"/>
      <c r="SOG55" s="4"/>
      <c r="SOH55" s="4"/>
      <c r="SOI55" s="4"/>
      <c r="SOJ55" s="4"/>
      <c r="SOK55" s="4"/>
      <c r="SOL55" s="4"/>
      <c r="SOM55" s="4"/>
      <c r="SON55" s="4"/>
      <c r="SOO55" s="4"/>
      <c r="SOP55" s="4"/>
      <c r="SOQ55" s="4"/>
      <c r="SOR55" s="4"/>
      <c r="SOS55" s="4"/>
      <c r="SOT55" s="4"/>
      <c r="SOU55" s="4"/>
      <c r="SOV55" s="4"/>
      <c r="SOW55" s="4"/>
      <c r="SOX55" s="4"/>
      <c r="SOY55" s="4"/>
      <c r="SOZ55" s="4"/>
      <c r="SPA55" s="4"/>
      <c r="SPB55" s="4"/>
      <c r="SPC55" s="4"/>
      <c r="SPD55" s="4"/>
      <c r="SPE55" s="4"/>
      <c r="SPF55" s="4"/>
      <c r="SPG55" s="4"/>
      <c r="SPH55" s="4"/>
      <c r="SPI55" s="4"/>
      <c r="SPJ55" s="4"/>
      <c r="SPK55" s="4"/>
      <c r="SPL55" s="4"/>
      <c r="SPM55" s="4"/>
      <c r="SPN55" s="4"/>
      <c r="SPO55" s="4"/>
      <c r="SPP55" s="4"/>
      <c r="SPQ55" s="4"/>
      <c r="SPR55" s="4"/>
      <c r="SPS55" s="4"/>
      <c r="SPT55" s="4"/>
      <c r="SPU55" s="4"/>
      <c r="SPV55" s="4"/>
      <c r="SPW55" s="4"/>
      <c r="SPX55" s="4"/>
      <c r="SPY55" s="4"/>
      <c r="SPZ55" s="4"/>
      <c r="SQA55" s="4"/>
      <c r="SQB55" s="4"/>
      <c r="SQC55" s="4"/>
      <c r="SQD55" s="4"/>
      <c r="SQE55" s="4"/>
      <c r="SQF55" s="4"/>
      <c r="SQG55" s="4"/>
      <c r="SQH55" s="4"/>
      <c r="SQI55" s="4"/>
      <c r="SQJ55" s="4"/>
      <c r="SQK55" s="4"/>
      <c r="SQL55" s="4"/>
      <c r="SQM55" s="4"/>
      <c r="SQN55" s="4"/>
      <c r="SQO55" s="4"/>
      <c r="SQP55" s="4"/>
      <c r="SQQ55" s="4"/>
      <c r="SQR55" s="4"/>
      <c r="SQS55" s="4"/>
      <c r="SQT55" s="4"/>
      <c r="SQU55" s="4"/>
      <c r="SQV55" s="4"/>
      <c r="SQW55" s="4"/>
      <c r="SQX55" s="4"/>
      <c r="SQY55" s="4"/>
      <c r="SQZ55" s="4"/>
      <c r="SRA55" s="4"/>
      <c r="SRB55" s="4"/>
      <c r="SRC55" s="4"/>
      <c r="SRD55" s="4"/>
      <c r="SRE55" s="4"/>
      <c r="SRF55" s="4"/>
      <c r="SRG55" s="4"/>
      <c r="SRH55" s="4"/>
      <c r="SRI55" s="4"/>
      <c r="SRJ55" s="4"/>
      <c r="SRK55" s="4"/>
      <c r="SRL55" s="4"/>
      <c r="SRM55" s="4"/>
      <c r="SRN55" s="4"/>
      <c r="SRO55" s="4"/>
      <c r="SRP55" s="4"/>
      <c r="SRQ55" s="4"/>
      <c r="SRR55" s="4"/>
      <c r="SRS55" s="4"/>
      <c r="SRT55" s="4"/>
      <c r="SRU55" s="4"/>
      <c r="SRV55" s="4"/>
      <c r="SRW55" s="4"/>
      <c r="SRX55" s="4"/>
      <c r="SRY55" s="4"/>
      <c r="SRZ55" s="4"/>
      <c r="SSA55" s="4"/>
      <c r="SSB55" s="4"/>
      <c r="SSC55" s="4"/>
      <c r="SSD55" s="4"/>
      <c r="SSE55" s="4"/>
      <c r="SSF55" s="4"/>
      <c r="SSG55" s="4"/>
      <c r="SSH55" s="4"/>
      <c r="SSI55" s="4"/>
      <c r="SSJ55" s="4"/>
      <c r="SSK55" s="4"/>
      <c r="SSL55" s="4"/>
      <c r="SSM55" s="4"/>
      <c r="SSN55" s="4"/>
      <c r="SSO55" s="4"/>
      <c r="SSP55" s="4"/>
      <c r="SSQ55" s="4"/>
      <c r="SSR55" s="4"/>
      <c r="SSS55" s="4"/>
      <c r="SST55" s="4"/>
      <c r="SSU55" s="4"/>
      <c r="SSV55" s="4"/>
      <c r="SSW55" s="4"/>
      <c r="SSX55" s="4"/>
      <c r="SSY55" s="4"/>
      <c r="SSZ55" s="4"/>
      <c r="STA55" s="4"/>
      <c r="STB55" s="4"/>
      <c r="STC55" s="4"/>
      <c r="STD55" s="4"/>
      <c r="STE55" s="4"/>
      <c r="STF55" s="4"/>
      <c r="STG55" s="4"/>
      <c r="STH55" s="4"/>
      <c r="STI55" s="4"/>
      <c r="STJ55" s="4"/>
      <c r="STK55" s="4"/>
      <c r="STL55" s="4"/>
      <c r="STM55" s="4"/>
      <c r="STN55" s="4"/>
      <c r="STO55" s="4"/>
      <c r="STP55" s="4"/>
      <c r="STQ55" s="4"/>
      <c r="STR55" s="4"/>
      <c r="STS55" s="4"/>
      <c r="STT55" s="4"/>
      <c r="STU55" s="4"/>
      <c r="STV55" s="4"/>
      <c r="STW55" s="4"/>
      <c r="STX55" s="4"/>
      <c r="STY55" s="4"/>
      <c r="STZ55" s="4"/>
      <c r="SUA55" s="4"/>
      <c r="SUB55" s="4"/>
      <c r="SUC55" s="4"/>
      <c r="SUD55" s="4"/>
      <c r="SUE55" s="4"/>
      <c r="SUF55" s="4"/>
      <c r="SUG55" s="4"/>
      <c r="SUH55" s="4"/>
      <c r="SUI55" s="4"/>
      <c r="SUJ55" s="4"/>
      <c r="SUK55" s="4"/>
      <c r="SUL55" s="4"/>
      <c r="SUM55" s="4"/>
      <c r="SUN55" s="4"/>
      <c r="SUO55" s="4"/>
      <c r="SUP55" s="4"/>
      <c r="SUQ55" s="4"/>
      <c r="SUR55" s="4"/>
      <c r="SUS55" s="4"/>
      <c r="SUT55" s="4"/>
      <c r="SUU55" s="4"/>
      <c r="SUV55" s="4"/>
      <c r="SUW55" s="4"/>
      <c r="SUX55" s="4"/>
      <c r="SUY55" s="4"/>
      <c r="SUZ55" s="4"/>
      <c r="SVA55" s="4"/>
      <c r="SVB55" s="4"/>
      <c r="SVC55" s="4"/>
      <c r="SVD55" s="4"/>
      <c r="SVE55" s="4"/>
      <c r="SVF55" s="4"/>
      <c r="SVG55" s="4"/>
      <c r="SVH55" s="4"/>
      <c r="SVI55" s="4"/>
      <c r="SVJ55" s="4"/>
      <c r="SVK55" s="4"/>
      <c r="SVL55" s="4"/>
      <c r="SVM55" s="4"/>
      <c r="SVN55" s="4"/>
      <c r="SVO55" s="4"/>
      <c r="SVP55" s="4"/>
      <c r="SVQ55" s="4"/>
      <c r="SVR55" s="4"/>
      <c r="SVS55" s="4"/>
      <c r="SVT55" s="4"/>
      <c r="SVU55" s="4"/>
      <c r="SVV55" s="4"/>
      <c r="SVW55" s="4"/>
      <c r="SVX55" s="4"/>
      <c r="SVY55" s="4"/>
      <c r="SVZ55" s="4"/>
      <c r="SWA55" s="4"/>
      <c r="SWB55" s="4"/>
      <c r="SWC55" s="4"/>
      <c r="SWD55" s="4"/>
      <c r="SWE55" s="4"/>
      <c r="SWF55" s="4"/>
      <c r="SWG55" s="4"/>
      <c r="SWH55" s="4"/>
      <c r="SWI55" s="4"/>
      <c r="SWJ55" s="4"/>
      <c r="SWK55" s="4"/>
      <c r="SWL55" s="4"/>
      <c r="SWM55" s="4"/>
      <c r="SWN55" s="4"/>
      <c r="SWO55" s="4"/>
      <c r="SWP55" s="4"/>
      <c r="SWQ55" s="4"/>
      <c r="SWR55" s="4"/>
      <c r="SWS55" s="4"/>
      <c r="SWT55" s="4"/>
      <c r="SWU55" s="4"/>
      <c r="SWV55" s="4"/>
      <c r="SWW55" s="4"/>
      <c r="SWX55" s="4"/>
      <c r="SWY55" s="4"/>
      <c r="SWZ55" s="4"/>
      <c r="SXA55" s="4"/>
      <c r="SXB55" s="4"/>
      <c r="SXC55" s="4"/>
      <c r="SXD55" s="4"/>
      <c r="SXE55" s="4"/>
      <c r="SXF55" s="4"/>
      <c r="SXG55" s="4"/>
      <c r="SXH55" s="4"/>
      <c r="SXI55" s="4"/>
      <c r="SXJ55" s="4"/>
      <c r="SXK55" s="4"/>
      <c r="SXL55" s="4"/>
      <c r="SXM55" s="4"/>
      <c r="SXN55" s="4"/>
      <c r="SXO55" s="4"/>
      <c r="SXP55" s="4"/>
      <c r="SXQ55" s="4"/>
      <c r="SXR55" s="4"/>
      <c r="SXS55" s="4"/>
      <c r="SXT55" s="4"/>
      <c r="SXU55" s="4"/>
      <c r="SXV55" s="4"/>
      <c r="SXW55" s="4"/>
      <c r="SXX55" s="4"/>
      <c r="SXY55" s="4"/>
      <c r="SXZ55" s="4"/>
      <c r="SYA55" s="4"/>
      <c r="SYB55" s="4"/>
      <c r="SYC55" s="4"/>
      <c r="SYD55" s="4"/>
      <c r="SYE55" s="4"/>
      <c r="SYF55" s="4"/>
      <c r="SYG55" s="4"/>
      <c r="SYH55" s="4"/>
      <c r="SYI55" s="4"/>
      <c r="SYJ55" s="4"/>
      <c r="SYK55" s="4"/>
      <c r="SYL55" s="4"/>
      <c r="SYM55" s="4"/>
      <c r="SYN55" s="4"/>
      <c r="SYO55" s="4"/>
      <c r="SYP55" s="4"/>
      <c r="SYQ55" s="4"/>
      <c r="SYR55" s="4"/>
      <c r="SYS55" s="4"/>
      <c r="SYT55" s="4"/>
      <c r="SYU55" s="4"/>
      <c r="SYV55" s="4"/>
      <c r="SYW55" s="4"/>
      <c r="SYX55" s="4"/>
      <c r="SYY55" s="4"/>
      <c r="SYZ55" s="4"/>
      <c r="SZA55" s="4"/>
      <c r="SZB55" s="4"/>
      <c r="SZC55" s="4"/>
      <c r="SZD55" s="4"/>
      <c r="SZE55" s="4"/>
      <c r="SZF55" s="4"/>
      <c r="SZG55" s="4"/>
      <c r="SZH55" s="4"/>
      <c r="SZI55" s="4"/>
      <c r="SZJ55" s="4"/>
      <c r="SZK55" s="4"/>
      <c r="SZL55" s="4"/>
      <c r="SZM55" s="4"/>
      <c r="SZN55" s="4"/>
      <c r="SZO55" s="4"/>
      <c r="SZP55" s="4"/>
      <c r="SZQ55" s="4"/>
      <c r="SZR55" s="4"/>
      <c r="SZS55" s="4"/>
      <c r="SZT55" s="4"/>
      <c r="SZU55" s="4"/>
      <c r="SZV55" s="4"/>
      <c r="SZW55" s="4"/>
      <c r="SZX55" s="4"/>
      <c r="SZY55" s="4"/>
      <c r="SZZ55" s="4"/>
      <c r="TAA55" s="4"/>
      <c r="TAB55" s="4"/>
      <c r="TAC55" s="4"/>
      <c r="TAD55" s="4"/>
      <c r="TAE55" s="4"/>
      <c r="TAF55" s="4"/>
      <c r="TAG55" s="4"/>
      <c r="TAH55" s="4"/>
      <c r="TAI55" s="4"/>
      <c r="TAJ55" s="4"/>
      <c r="TAK55" s="4"/>
      <c r="TAL55" s="4"/>
      <c r="TAM55" s="4"/>
      <c r="TAN55" s="4"/>
      <c r="TAO55" s="4"/>
      <c r="TAP55" s="4"/>
      <c r="TAQ55" s="4"/>
      <c r="TAR55" s="4"/>
      <c r="TAS55" s="4"/>
      <c r="TAT55" s="4"/>
      <c r="TAU55" s="4"/>
      <c r="TAV55" s="4"/>
      <c r="TAW55" s="4"/>
      <c r="TAX55" s="4"/>
      <c r="TAY55" s="4"/>
      <c r="TAZ55" s="4"/>
      <c r="TBA55" s="4"/>
      <c r="TBB55" s="4"/>
      <c r="TBC55" s="4"/>
      <c r="TBD55" s="4"/>
      <c r="TBE55" s="4"/>
      <c r="TBF55" s="4"/>
      <c r="TBG55" s="4"/>
      <c r="TBH55" s="4"/>
      <c r="TBI55" s="4"/>
      <c r="TBJ55" s="4"/>
      <c r="TBK55" s="4"/>
      <c r="TBL55" s="4"/>
      <c r="TBM55" s="4"/>
      <c r="TBN55" s="4"/>
      <c r="TBO55" s="4"/>
      <c r="TBP55" s="4"/>
      <c r="TBQ55" s="4"/>
      <c r="TBR55" s="4"/>
      <c r="TBS55" s="4"/>
      <c r="TBT55" s="4"/>
      <c r="TBU55" s="4"/>
      <c r="TBV55" s="4"/>
      <c r="TBW55" s="4"/>
      <c r="TBX55" s="4"/>
      <c r="TBY55" s="4"/>
      <c r="TBZ55" s="4"/>
      <c r="TCA55" s="4"/>
      <c r="TCB55" s="4"/>
      <c r="TCC55" s="4"/>
      <c r="TCD55" s="4"/>
      <c r="TCE55" s="4"/>
      <c r="TCF55" s="4"/>
      <c r="TCG55" s="4"/>
      <c r="TCH55" s="4"/>
      <c r="TCI55" s="4"/>
      <c r="TCJ55" s="4"/>
      <c r="TCK55" s="4"/>
      <c r="TCL55" s="4"/>
      <c r="TCM55" s="4"/>
      <c r="TCN55" s="4"/>
      <c r="TCO55" s="4"/>
      <c r="TCP55" s="4"/>
      <c r="TCQ55" s="4"/>
      <c r="TCR55" s="4"/>
      <c r="TCS55" s="4"/>
      <c r="TCT55" s="4"/>
      <c r="TCU55" s="4"/>
      <c r="TCV55" s="4"/>
      <c r="TCW55" s="4"/>
      <c r="TCX55" s="4"/>
      <c r="TCY55" s="4"/>
      <c r="TCZ55" s="4"/>
      <c r="TDA55" s="4"/>
      <c r="TDB55" s="4"/>
      <c r="TDC55" s="4"/>
      <c r="TDD55" s="4"/>
      <c r="TDE55" s="4"/>
      <c r="TDF55" s="4"/>
      <c r="TDG55" s="4"/>
      <c r="TDH55" s="4"/>
      <c r="TDI55" s="4"/>
      <c r="TDJ55" s="4"/>
      <c r="TDK55" s="4"/>
      <c r="TDL55" s="4"/>
      <c r="TDM55" s="4"/>
      <c r="TDN55" s="4"/>
      <c r="TDO55" s="4"/>
      <c r="TDP55" s="4"/>
      <c r="TDQ55" s="4"/>
      <c r="TDR55" s="4"/>
      <c r="TDS55" s="4"/>
      <c r="TDT55" s="4"/>
      <c r="TDU55" s="4"/>
      <c r="TDV55" s="4"/>
      <c r="TDW55" s="4"/>
      <c r="TDX55" s="4"/>
      <c r="TDY55" s="4"/>
      <c r="TDZ55" s="4"/>
      <c r="TEA55" s="4"/>
      <c r="TEB55" s="4"/>
      <c r="TEC55" s="4"/>
      <c r="TED55" s="4"/>
      <c r="TEE55" s="4"/>
      <c r="TEF55" s="4"/>
      <c r="TEG55" s="4"/>
      <c r="TEH55" s="4"/>
      <c r="TEI55" s="4"/>
      <c r="TEJ55" s="4"/>
      <c r="TEK55" s="4"/>
      <c r="TEL55" s="4"/>
      <c r="TEM55" s="4"/>
      <c r="TEN55" s="4"/>
      <c r="TEO55" s="4"/>
      <c r="TEP55" s="4"/>
      <c r="TEQ55" s="4"/>
      <c r="TER55" s="4"/>
      <c r="TES55" s="4"/>
      <c r="TET55" s="4"/>
      <c r="TEU55" s="4"/>
      <c r="TEV55" s="4"/>
      <c r="TEW55" s="4"/>
      <c r="TEX55" s="4"/>
      <c r="TEY55" s="4"/>
      <c r="TEZ55" s="4"/>
      <c r="TFA55" s="4"/>
      <c r="TFB55" s="4"/>
      <c r="TFC55" s="4"/>
      <c r="TFD55" s="4"/>
      <c r="TFE55" s="4"/>
      <c r="TFF55" s="4"/>
      <c r="TFG55" s="4"/>
      <c r="TFH55" s="4"/>
      <c r="TFI55" s="4"/>
      <c r="TFJ55" s="4"/>
      <c r="TFK55" s="4"/>
      <c r="TFL55" s="4"/>
      <c r="TFM55" s="4"/>
      <c r="TFN55" s="4"/>
      <c r="TFO55" s="4"/>
      <c r="TFP55" s="4"/>
      <c r="TFQ55" s="4"/>
      <c r="TFR55" s="4"/>
      <c r="TFS55" s="4"/>
      <c r="TFT55" s="4"/>
      <c r="TFU55" s="4"/>
      <c r="TFV55" s="4"/>
      <c r="TFW55" s="4"/>
      <c r="TFX55" s="4"/>
      <c r="TFY55" s="4"/>
      <c r="TFZ55" s="4"/>
      <c r="TGA55" s="4"/>
      <c r="TGB55" s="4"/>
      <c r="TGC55" s="4"/>
      <c r="TGD55" s="4"/>
      <c r="TGE55" s="4"/>
      <c r="TGF55" s="4"/>
      <c r="TGG55" s="4"/>
      <c r="TGH55" s="4"/>
      <c r="TGI55" s="4"/>
      <c r="TGJ55" s="4"/>
      <c r="TGK55" s="4"/>
      <c r="TGL55" s="4"/>
      <c r="TGM55" s="4"/>
      <c r="TGN55" s="4"/>
      <c r="TGO55" s="4"/>
      <c r="TGP55" s="4"/>
      <c r="TGQ55" s="4"/>
      <c r="TGR55" s="4"/>
      <c r="TGS55" s="4"/>
      <c r="TGT55" s="4"/>
      <c r="TGU55" s="4"/>
      <c r="TGV55" s="4"/>
      <c r="TGW55" s="4"/>
      <c r="TGX55" s="4"/>
      <c r="TGY55" s="4"/>
      <c r="TGZ55" s="4"/>
      <c r="THA55" s="4"/>
      <c r="THB55" s="4"/>
      <c r="THC55" s="4"/>
      <c r="THD55" s="4"/>
      <c r="THE55" s="4"/>
      <c r="THF55" s="4"/>
      <c r="THG55" s="4"/>
      <c r="THH55" s="4"/>
      <c r="THI55" s="4"/>
      <c r="THJ55" s="4"/>
      <c r="THK55" s="4"/>
      <c r="THL55" s="4"/>
      <c r="THM55" s="4"/>
      <c r="THN55" s="4"/>
      <c r="THO55" s="4"/>
      <c r="THP55" s="4"/>
      <c r="THQ55" s="4"/>
      <c r="THR55" s="4"/>
      <c r="THS55" s="4"/>
      <c r="THT55" s="4"/>
      <c r="THU55" s="4"/>
      <c r="THV55" s="4"/>
      <c r="THW55" s="4"/>
      <c r="THX55" s="4"/>
      <c r="THY55" s="4"/>
      <c r="THZ55" s="4"/>
      <c r="TIA55" s="4"/>
      <c r="TIB55" s="4"/>
      <c r="TIC55" s="4"/>
      <c r="TID55" s="4"/>
      <c r="TIE55" s="4"/>
      <c r="TIF55" s="4"/>
      <c r="TIG55" s="4"/>
      <c r="TIH55" s="4"/>
      <c r="TII55" s="4"/>
      <c r="TIJ55" s="4"/>
      <c r="TIK55" s="4"/>
      <c r="TIL55" s="4"/>
      <c r="TIM55" s="4"/>
      <c r="TIN55" s="4"/>
      <c r="TIO55" s="4"/>
      <c r="TIP55" s="4"/>
      <c r="TIQ55" s="4"/>
      <c r="TIR55" s="4"/>
      <c r="TIS55" s="4"/>
      <c r="TIT55" s="4"/>
      <c r="TIU55" s="4"/>
      <c r="TIV55" s="4"/>
      <c r="TIW55" s="4"/>
      <c r="TIX55" s="4"/>
      <c r="TIY55" s="4"/>
      <c r="TIZ55" s="4"/>
      <c r="TJA55" s="4"/>
      <c r="TJB55" s="4"/>
      <c r="TJC55" s="4"/>
      <c r="TJD55" s="4"/>
      <c r="TJE55" s="4"/>
      <c r="TJF55" s="4"/>
      <c r="TJG55" s="4"/>
      <c r="TJH55" s="4"/>
      <c r="TJI55" s="4"/>
      <c r="TJJ55" s="4"/>
      <c r="TJK55" s="4"/>
      <c r="TJL55" s="4"/>
      <c r="TJM55" s="4"/>
      <c r="TJN55" s="4"/>
      <c r="TJO55" s="4"/>
      <c r="TJP55" s="4"/>
      <c r="TJQ55" s="4"/>
      <c r="TJR55" s="4"/>
      <c r="TJS55" s="4"/>
      <c r="TJT55" s="4"/>
      <c r="TJU55" s="4"/>
      <c r="TJV55" s="4"/>
      <c r="TJW55" s="4"/>
      <c r="TJX55" s="4"/>
      <c r="TJY55" s="4"/>
      <c r="TJZ55" s="4"/>
      <c r="TKA55" s="4"/>
      <c r="TKB55" s="4"/>
      <c r="TKC55" s="4"/>
      <c r="TKD55" s="4"/>
      <c r="TKE55" s="4"/>
      <c r="TKF55" s="4"/>
      <c r="TKG55" s="4"/>
      <c r="TKH55" s="4"/>
      <c r="TKI55" s="4"/>
      <c r="TKJ55" s="4"/>
      <c r="TKK55" s="4"/>
      <c r="TKL55" s="4"/>
      <c r="TKM55" s="4"/>
      <c r="TKN55" s="4"/>
      <c r="TKO55" s="4"/>
      <c r="TKP55" s="4"/>
      <c r="TKQ55" s="4"/>
      <c r="TKR55" s="4"/>
      <c r="TKS55" s="4"/>
      <c r="TKT55" s="4"/>
      <c r="TKU55" s="4"/>
      <c r="TKV55" s="4"/>
      <c r="TKW55" s="4"/>
      <c r="TKX55" s="4"/>
      <c r="TKY55" s="4"/>
      <c r="TKZ55" s="4"/>
      <c r="TLA55" s="4"/>
      <c r="TLB55" s="4"/>
      <c r="TLC55" s="4"/>
      <c r="TLD55" s="4"/>
      <c r="TLE55" s="4"/>
      <c r="TLF55" s="4"/>
      <c r="TLG55" s="4"/>
      <c r="TLH55" s="4"/>
      <c r="TLI55" s="4"/>
      <c r="TLJ55" s="4"/>
      <c r="TLK55" s="4"/>
      <c r="TLL55" s="4"/>
      <c r="TLM55" s="4"/>
      <c r="TLN55" s="4"/>
      <c r="TLO55" s="4"/>
      <c r="TLP55" s="4"/>
      <c r="TLQ55" s="4"/>
      <c r="TLR55" s="4"/>
      <c r="TLS55" s="4"/>
      <c r="TLT55" s="4"/>
      <c r="TLU55" s="4"/>
      <c r="TLV55" s="4"/>
      <c r="TLW55" s="4"/>
      <c r="TLX55" s="4"/>
      <c r="TLY55" s="4"/>
      <c r="TLZ55" s="4"/>
      <c r="TMA55" s="4"/>
      <c r="TMB55" s="4"/>
      <c r="TMC55" s="4"/>
      <c r="TMD55" s="4"/>
      <c r="TME55" s="4"/>
      <c r="TMF55" s="4"/>
      <c r="TMG55" s="4"/>
      <c r="TMH55" s="4"/>
      <c r="TMI55" s="4"/>
      <c r="TMJ55" s="4"/>
      <c r="TMK55" s="4"/>
      <c r="TML55" s="4"/>
      <c r="TMM55" s="4"/>
      <c r="TMN55" s="4"/>
      <c r="TMO55" s="4"/>
      <c r="TMP55" s="4"/>
      <c r="TMQ55" s="4"/>
      <c r="TMR55" s="4"/>
      <c r="TMS55" s="4"/>
      <c r="TMT55" s="4"/>
      <c r="TMU55" s="4"/>
      <c r="TMV55" s="4"/>
      <c r="TMW55" s="4"/>
      <c r="TMX55" s="4"/>
      <c r="TMY55" s="4"/>
      <c r="TMZ55" s="4"/>
      <c r="TNA55" s="4"/>
      <c r="TNB55" s="4"/>
      <c r="TNC55" s="4"/>
      <c r="TND55" s="4"/>
      <c r="TNE55" s="4"/>
      <c r="TNF55" s="4"/>
      <c r="TNG55" s="4"/>
      <c r="TNH55" s="4"/>
      <c r="TNI55" s="4"/>
      <c r="TNJ55" s="4"/>
      <c r="TNK55" s="4"/>
      <c r="TNL55" s="4"/>
      <c r="TNM55" s="4"/>
      <c r="TNN55" s="4"/>
      <c r="TNO55" s="4"/>
      <c r="TNP55" s="4"/>
      <c r="TNQ55" s="4"/>
      <c r="TNR55" s="4"/>
      <c r="TNS55" s="4"/>
      <c r="TNT55" s="4"/>
      <c r="TNU55" s="4"/>
      <c r="TNV55" s="4"/>
      <c r="TNW55" s="4"/>
      <c r="TNX55" s="4"/>
      <c r="TNY55" s="4"/>
      <c r="TNZ55" s="4"/>
      <c r="TOA55" s="4"/>
      <c r="TOB55" s="4"/>
      <c r="TOC55" s="4"/>
      <c r="TOD55" s="4"/>
      <c r="TOE55" s="4"/>
      <c r="TOF55" s="4"/>
      <c r="TOG55" s="4"/>
      <c r="TOH55" s="4"/>
      <c r="TOI55" s="4"/>
      <c r="TOJ55" s="4"/>
      <c r="TOK55" s="4"/>
      <c r="TOL55" s="4"/>
      <c r="TOM55" s="4"/>
      <c r="TON55" s="4"/>
      <c r="TOO55" s="4"/>
      <c r="TOP55" s="4"/>
      <c r="TOQ55" s="4"/>
      <c r="TOR55" s="4"/>
      <c r="TOS55" s="4"/>
      <c r="TOT55" s="4"/>
      <c r="TOU55" s="4"/>
      <c r="TOV55" s="4"/>
      <c r="TOW55" s="4"/>
      <c r="TOX55" s="4"/>
      <c r="TOY55" s="4"/>
      <c r="TOZ55" s="4"/>
      <c r="TPA55" s="4"/>
      <c r="TPB55" s="4"/>
      <c r="TPC55" s="4"/>
      <c r="TPD55" s="4"/>
      <c r="TPE55" s="4"/>
      <c r="TPF55" s="4"/>
      <c r="TPG55" s="4"/>
      <c r="TPH55" s="4"/>
      <c r="TPI55" s="4"/>
      <c r="TPJ55" s="4"/>
      <c r="TPK55" s="4"/>
      <c r="TPL55" s="4"/>
      <c r="TPM55" s="4"/>
      <c r="TPN55" s="4"/>
      <c r="TPO55" s="4"/>
      <c r="TPP55" s="4"/>
      <c r="TPQ55" s="4"/>
      <c r="TPR55" s="4"/>
      <c r="TPS55" s="4"/>
      <c r="TPT55" s="4"/>
      <c r="TPU55" s="4"/>
      <c r="TPV55" s="4"/>
      <c r="TPW55" s="4"/>
      <c r="TPX55" s="4"/>
      <c r="TPY55" s="4"/>
      <c r="TPZ55" s="4"/>
      <c r="TQA55" s="4"/>
      <c r="TQB55" s="4"/>
      <c r="TQC55" s="4"/>
      <c r="TQD55" s="4"/>
      <c r="TQE55" s="4"/>
      <c r="TQF55" s="4"/>
      <c r="TQG55" s="4"/>
      <c r="TQH55" s="4"/>
      <c r="TQI55" s="4"/>
      <c r="TQJ55" s="4"/>
      <c r="TQK55" s="4"/>
      <c r="TQL55" s="4"/>
      <c r="TQM55" s="4"/>
      <c r="TQN55" s="4"/>
      <c r="TQO55" s="4"/>
      <c r="TQP55" s="4"/>
      <c r="TQQ55" s="4"/>
      <c r="TQR55" s="4"/>
      <c r="TQS55" s="4"/>
      <c r="TQT55" s="4"/>
      <c r="TQU55" s="4"/>
      <c r="TQV55" s="4"/>
      <c r="TQW55" s="4"/>
      <c r="TQX55" s="4"/>
      <c r="TQY55" s="4"/>
      <c r="TQZ55" s="4"/>
      <c r="TRA55" s="4"/>
      <c r="TRB55" s="4"/>
      <c r="TRC55" s="4"/>
      <c r="TRD55" s="4"/>
      <c r="TRE55" s="4"/>
      <c r="TRF55" s="4"/>
      <c r="TRG55" s="4"/>
      <c r="TRH55" s="4"/>
      <c r="TRI55" s="4"/>
      <c r="TRJ55" s="4"/>
      <c r="TRK55" s="4"/>
      <c r="TRL55" s="4"/>
      <c r="TRM55" s="4"/>
      <c r="TRN55" s="4"/>
      <c r="TRO55" s="4"/>
      <c r="TRP55" s="4"/>
      <c r="TRQ55" s="4"/>
      <c r="TRR55" s="4"/>
      <c r="TRS55" s="4"/>
      <c r="TRT55" s="4"/>
      <c r="TRU55" s="4"/>
      <c r="TRV55" s="4"/>
      <c r="TRW55" s="4"/>
      <c r="TRX55" s="4"/>
      <c r="TRY55" s="4"/>
      <c r="TRZ55" s="4"/>
      <c r="TSA55" s="4"/>
      <c r="TSB55" s="4"/>
      <c r="TSC55" s="4"/>
      <c r="TSD55" s="4"/>
      <c r="TSE55" s="4"/>
      <c r="TSF55" s="4"/>
      <c r="TSG55" s="4"/>
      <c r="TSH55" s="4"/>
      <c r="TSI55" s="4"/>
      <c r="TSJ55" s="4"/>
      <c r="TSK55" s="4"/>
      <c r="TSL55" s="4"/>
      <c r="TSM55" s="4"/>
      <c r="TSN55" s="4"/>
      <c r="TSO55" s="4"/>
      <c r="TSP55" s="4"/>
      <c r="TSQ55" s="4"/>
      <c r="TSR55" s="4"/>
      <c r="TSS55" s="4"/>
      <c r="TST55" s="4"/>
      <c r="TSU55" s="4"/>
      <c r="TSV55" s="4"/>
      <c r="TSW55" s="4"/>
      <c r="TSX55" s="4"/>
      <c r="TSY55" s="4"/>
      <c r="TSZ55" s="4"/>
      <c r="TTA55" s="4"/>
      <c r="TTB55" s="4"/>
      <c r="TTC55" s="4"/>
      <c r="TTD55" s="4"/>
      <c r="TTE55" s="4"/>
      <c r="TTF55" s="4"/>
      <c r="TTG55" s="4"/>
      <c r="TTH55" s="4"/>
      <c r="TTI55" s="4"/>
      <c r="TTJ55" s="4"/>
      <c r="TTK55" s="4"/>
      <c r="TTL55" s="4"/>
      <c r="TTM55" s="4"/>
      <c r="TTN55" s="4"/>
      <c r="TTO55" s="4"/>
      <c r="TTP55" s="4"/>
      <c r="TTQ55" s="4"/>
      <c r="TTR55" s="4"/>
      <c r="TTS55" s="4"/>
      <c r="TTT55" s="4"/>
      <c r="TTU55" s="4"/>
      <c r="TTV55" s="4"/>
      <c r="TTW55" s="4"/>
      <c r="TTX55" s="4"/>
      <c r="TTY55" s="4"/>
      <c r="TTZ55" s="4"/>
      <c r="TUA55" s="4"/>
      <c r="TUB55" s="4"/>
      <c r="TUC55" s="4"/>
      <c r="TUD55" s="4"/>
      <c r="TUE55" s="4"/>
      <c r="TUF55" s="4"/>
      <c r="TUG55" s="4"/>
      <c r="TUH55" s="4"/>
      <c r="TUI55" s="4"/>
      <c r="TUJ55" s="4"/>
      <c r="TUK55" s="4"/>
      <c r="TUL55" s="4"/>
      <c r="TUM55" s="4"/>
      <c r="TUN55" s="4"/>
      <c r="TUO55" s="4"/>
      <c r="TUP55" s="4"/>
      <c r="TUQ55" s="4"/>
      <c r="TUR55" s="4"/>
      <c r="TUS55" s="4"/>
      <c r="TUT55" s="4"/>
      <c r="TUU55" s="4"/>
      <c r="TUV55" s="4"/>
      <c r="TUW55" s="4"/>
      <c r="TUX55" s="4"/>
      <c r="TUY55" s="4"/>
      <c r="TUZ55" s="4"/>
      <c r="TVA55" s="4"/>
      <c r="TVB55" s="4"/>
      <c r="TVC55" s="4"/>
      <c r="TVD55" s="4"/>
      <c r="TVE55" s="4"/>
      <c r="TVF55" s="4"/>
      <c r="TVG55" s="4"/>
      <c r="TVH55" s="4"/>
      <c r="TVI55" s="4"/>
      <c r="TVJ55" s="4"/>
      <c r="TVK55" s="4"/>
      <c r="TVL55" s="4"/>
      <c r="TVM55" s="4"/>
      <c r="TVN55" s="4"/>
      <c r="TVO55" s="4"/>
      <c r="TVP55" s="4"/>
      <c r="TVQ55" s="4"/>
      <c r="TVR55" s="4"/>
      <c r="TVS55" s="4"/>
      <c r="TVT55" s="4"/>
      <c r="TVU55" s="4"/>
      <c r="TVV55" s="4"/>
      <c r="TVW55" s="4"/>
      <c r="TVX55" s="4"/>
      <c r="TVY55" s="4"/>
      <c r="TVZ55" s="4"/>
      <c r="TWA55" s="4"/>
      <c r="TWB55" s="4"/>
      <c r="TWC55" s="4"/>
      <c r="TWD55" s="4"/>
      <c r="TWE55" s="4"/>
      <c r="TWF55" s="4"/>
      <c r="TWG55" s="4"/>
      <c r="TWH55" s="4"/>
      <c r="TWI55" s="4"/>
      <c r="TWJ55" s="4"/>
      <c r="TWK55" s="4"/>
      <c r="TWL55" s="4"/>
      <c r="TWM55" s="4"/>
      <c r="TWN55" s="4"/>
      <c r="TWO55" s="4"/>
      <c r="TWP55" s="4"/>
      <c r="TWQ55" s="4"/>
      <c r="TWR55" s="4"/>
      <c r="TWS55" s="4"/>
      <c r="TWT55" s="4"/>
      <c r="TWU55" s="4"/>
      <c r="TWV55" s="4"/>
      <c r="TWW55" s="4"/>
      <c r="TWX55" s="4"/>
      <c r="TWY55" s="4"/>
      <c r="TWZ55" s="4"/>
      <c r="TXA55" s="4"/>
      <c r="TXB55" s="4"/>
      <c r="TXC55" s="4"/>
      <c r="TXD55" s="4"/>
      <c r="TXE55" s="4"/>
      <c r="TXF55" s="4"/>
      <c r="TXG55" s="4"/>
      <c r="TXH55" s="4"/>
      <c r="TXI55" s="4"/>
      <c r="TXJ55" s="4"/>
      <c r="TXK55" s="4"/>
      <c r="TXL55" s="4"/>
      <c r="TXM55" s="4"/>
      <c r="TXN55" s="4"/>
      <c r="TXO55" s="4"/>
      <c r="TXP55" s="4"/>
      <c r="TXQ55" s="4"/>
      <c r="TXR55" s="4"/>
      <c r="TXS55" s="4"/>
      <c r="TXT55" s="4"/>
      <c r="TXU55" s="4"/>
      <c r="TXV55" s="4"/>
      <c r="TXW55" s="4"/>
      <c r="TXX55" s="4"/>
      <c r="TXY55" s="4"/>
      <c r="TXZ55" s="4"/>
      <c r="TYA55" s="4"/>
      <c r="TYB55" s="4"/>
      <c r="TYC55" s="4"/>
      <c r="TYD55" s="4"/>
      <c r="TYE55" s="4"/>
      <c r="TYF55" s="4"/>
      <c r="TYG55" s="4"/>
      <c r="TYH55" s="4"/>
      <c r="TYI55" s="4"/>
      <c r="TYJ55" s="4"/>
      <c r="TYK55" s="4"/>
      <c r="TYL55" s="4"/>
      <c r="TYM55" s="4"/>
      <c r="TYN55" s="4"/>
      <c r="TYO55" s="4"/>
      <c r="TYP55" s="4"/>
      <c r="TYQ55" s="4"/>
      <c r="TYR55" s="4"/>
      <c r="TYS55" s="4"/>
      <c r="TYT55" s="4"/>
      <c r="TYU55" s="4"/>
      <c r="TYV55" s="4"/>
      <c r="TYW55" s="4"/>
      <c r="TYX55" s="4"/>
      <c r="TYY55" s="4"/>
      <c r="TYZ55" s="4"/>
      <c r="TZA55" s="4"/>
      <c r="TZB55" s="4"/>
      <c r="TZC55" s="4"/>
      <c r="TZD55" s="4"/>
      <c r="TZE55" s="4"/>
      <c r="TZF55" s="4"/>
      <c r="TZG55" s="4"/>
      <c r="TZH55" s="4"/>
      <c r="TZI55" s="4"/>
      <c r="TZJ55" s="4"/>
      <c r="TZK55" s="4"/>
      <c r="TZL55" s="4"/>
      <c r="TZM55" s="4"/>
      <c r="TZN55" s="4"/>
      <c r="TZO55" s="4"/>
      <c r="TZP55" s="4"/>
      <c r="TZQ55" s="4"/>
      <c r="TZR55" s="4"/>
      <c r="TZS55" s="4"/>
      <c r="TZT55" s="4"/>
      <c r="TZU55" s="4"/>
      <c r="TZV55" s="4"/>
      <c r="TZW55" s="4"/>
      <c r="TZX55" s="4"/>
      <c r="TZY55" s="4"/>
      <c r="TZZ55" s="4"/>
      <c r="UAA55" s="4"/>
      <c r="UAB55" s="4"/>
      <c r="UAC55" s="4"/>
      <c r="UAD55" s="4"/>
      <c r="UAE55" s="4"/>
      <c r="UAF55" s="4"/>
      <c r="UAG55" s="4"/>
      <c r="UAH55" s="4"/>
      <c r="UAI55" s="4"/>
      <c r="UAJ55" s="4"/>
      <c r="UAK55" s="4"/>
      <c r="UAL55" s="4"/>
      <c r="UAM55" s="4"/>
      <c r="UAN55" s="4"/>
      <c r="UAO55" s="4"/>
      <c r="UAP55" s="4"/>
      <c r="UAQ55" s="4"/>
      <c r="UAR55" s="4"/>
      <c r="UAS55" s="4"/>
      <c r="UAT55" s="4"/>
      <c r="UAU55" s="4"/>
      <c r="UAV55" s="4"/>
      <c r="UAW55" s="4"/>
      <c r="UAX55" s="4"/>
      <c r="UAY55" s="4"/>
      <c r="UAZ55" s="4"/>
      <c r="UBA55" s="4"/>
      <c r="UBB55" s="4"/>
      <c r="UBC55" s="4"/>
      <c r="UBD55" s="4"/>
      <c r="UBE55" s="4"/>
      <c r="UBF55" s="4"/>
      <c r="UBG55" s="4"/>
      <c r="UBH55" s="4"/>
      <c r="UBI55" s="4"/>
      <c r="UBJ55" s="4"/>
      <c r="UBK55" s="4"/>
      <c r="UBL55" s="4"/>
      <c r="UBM55" s="4"/>
      <c r="UBN55" s="4"/>
      <c r="UBO55" s="4"/>
      <c r="UBP55" s="4"/>
      <c r="UBQ55" s="4"/>
      <c r="UBR55" s="4"/>
      <c r="UBS55" s="4"/>
      <c r="UBT55" s="4"/>
      <c r="UBU55" s="4"/>
      <c r="UBV55" s="4"/>
      <c r="UBW55" s="4"/>
      <c r="UBX55" s="4"/>
      <c r="UBY55" s="4"/>
      <c r="UBZ55" s="4"/>
      <c r="UCA55" s="4"/>
      <c r="UCB55" s="4"/>
      <c r="UCC55" s="4"/>
      <c r="UCD55" s="4"/>
      <c r="UCE55" s="4"/>
      <c r="UCF55" s="4"/>
      <c r="UCG55" s="4"/>
      <c r="UCH55" s="4"/>
      <c r="UCI55" s="4"/>
      <c r="UCJ55" s="4"/>
      <c r="UCK55" s="4"/>
      <c r="UCL55" s="4"/>
      <c r="UCM55" s="4"/>
      <c r="UCN55" s="4"/>
      <c r="UCO55" s="4"/>
      <c r="UCP55" s="4"/>
      <c r="UCQ55" s="4"/>
      <c r="UCR55" s="4"/>
      <c r="UCS55" s="4"/>
      <c r="UCT55" s="4"/>
      <c r="UCU55" s="4"/>
      <c r="UCV55" s="4"/>
      <c r="UCW55" s="4"/>
      <c r="UCX55" s="4"/>
      <c r="UCY55" s="4"/>
      <c r="UCZ55" s="4"/>
      <c r="UDA55" s="4"/>
      <c r="UDB55" s="4"/>
      <c r="UDC55" s="4"/>
      <c r="UDD55" s="4"/>
      <c r="UDE55" s="4"/>
      <c r="UDF55" s="4"/>
      <c r="UDG55" s="4"/>
      <c r="UDH55" s="4"/>
      <c r="UDI55" s="4"/>
      <c r="UDJ55" s="4"/>
      <c r="UDK55" s="4"/>
      <c r="UDL55" s="4"/>
      <c r="UDM55" s="4"/>
      <c r="UDN55" s="4"/>
      <c r="UDO55" s="4"/>
      <c r="UDP55" s="4"/>
      <c r="UDQ55" s="4"/>
      <c r="UDR55" s="4"/>
      <c r="UDS55" s="4"/>
      <c r="UDT55" s="4"/>
      <c r="UDU55" s="4"/>
      <c r="UDV55" s="4"/>
      <c r="UDW55" s="4"/>
      <c r="UDX55" s="4"/>
      <c r="UDY55" s="4"/>
      <c r="UDZ55" s="4"/>
      <c r="UEA55" s="4"/>
      <c r="UEB55" s="4"/>
      <c r="UEC55" s="4"/>
      <c r="UED55" s="4"/>
      <c r="UEE55" s="4"/>
      <c r="UEF55" s="4"/>
      <c r="UEG55" s="4"/>
      <c r="UEH55" s="4"/>
      <c r="UEI55" s="4"/>
      <c r="UEJ55" s="4"/>
      <c r="UEK55" s="4"/>
      <c r="UEL55" s="4"/>
      <c r="UEM55" s="4"/>
      <c r="UEN55" s="4"/>
      <c r="UEO55" s="4"/>
      <c r="UEP55" s="4"/>
      <c r="UEQ55" s="4"/>
      <c r="UER55" s="4"/>
      <c r="UES55" s="4"/>
      <c r="UET55" s="4"/>
      <c r="UEU55" s="4"/>
      <c r="UEV55" s="4"/>
      <c r="UEW55" s="4"/>
      <c r="UEX55" s="4"/>
      <c r="UEY55" s="4"/>
      <c r="UEZ55" s="4"/>
      <c r="UFA55" s="4"/>
      <c r="UFB55" s="4"/>
      <c r="UFC55" s="4"/>
      <c r="UFD55" s="4"/>
      <c r="UFE55" s="4"/>
      <c r="UFF55" s="4"/>
      <c r="UFG55" s="4"/>
      <c r="UFH55" s="4"/>
      <c r="UFI55" s="4"/>
      <c r="UFJ55" s="4"/>
      <c r="UFK55" s="4"/>
      <c r="UFL55" s="4"/>
      <c r="UFM55" s="4"/>
      <c r="UFN55" s="4"/>
      <c r="UFO55" s="4"/>
      <c r="UFP55" s="4"/>
      <c r="UFQ55" s="4"/>
      <c r="UFR55" s="4"/>
      <c r="UFS55" s="4"/>
      <c r="UFT55" s="4"/>
      <c r="UFU55" s="4"/>
      <c r="UFV55" s="4"/>
      <c r="UFW55" s="4"/>
      <c r="UFX55" s="4"/>
      <c r="UFY55" s="4"/>
      <c r="UFZ55" s="4"/>
      <c r="UGA55" s="4"/>
      <c r="UGB55" s="4"/>
      <c r="UGC55" s="4"/>
      <c r="UGD55" s="4"/>
      <c r="UGE55" s="4"/>
      <c r="UGF55" s="4"/>
      <c r="UGG55" s="4"/>
      <c r="UGH55" s="4"/>
      <c r="UGI55" s="4"/>
      <c r="UGJ55" s="4"/>
      <c r="UGK55" s="4"/>
      <c r="UGL55" s="4"/>
      <c r="UGM55" s="4"/>
      <c r="UGN55" s="4"/>
      <c r="UGO55" s="4"/>
      <c r="UGP55" s="4"/>
      <c r="UGQ55" s="4"/>
      <c r="UGR55" s="4"/>
      <c r="UGS55" s="4"/>
      <c r="UGT55" s="4"/>
      <c r="UGU55" s="4"/>
      <c r="UGV55" s="4"/>
      <c r="UGW55" s="4"/>
      <c r="UGX55" s="4"/>
      <c r="UGY55" s="4"/>
      <c r="UGZ55" s="4"/>
      <c r="UHA55" s="4"/>
      <c r="UHB55" s="4"/>
      <c r="UHC55" s="4"/>
      <c r="UHD55" s="4"/>
      <c r="UHE55" s="4"/>
      <c r="UHF55" s="4"/>
      <c r="UHG55" s="4"/>
      <c r="UHH55" s="4"/>
      <c r="UHI55" s="4"/>
      <c r="UHJ55" s="4"/>
      <c r="UHK55" s="4"/>
      <c r="UHL55" s="4"/>
      <c r="UHM55" s="4"/>
      <c r="UHN55" s="4"/>
      <c r="UHO55" s="4"/>
      <c r="UHP55" s="4"/>
      <c r="UHQ55" s="4"/>
      <c r="UHR55" s="4"/>
      <c r="UHS55" s="4"/>
      <c r="UHT55" s="4"/>
      <c r="UHU55" s="4"/>
      <c r="UHV55" s="4"/>
      <c r="UHW55" s="4"/>
      <c r="UHX55" s="4"/>
      <c r="UHY55" s="4"/>
      <c r="UHZ55" s="4"/>
      <c r="UIA55" s="4"/>
      <c r="UIB55" s="4"/>
      <c r="UIC55" s="4"/>
      <c r="UID55" s="4"/>
      <c r="UIE55" s="4"/>
      <c r="UIF55" s="4"/>
      <c r="UIG55" s="4"/>
      <c r="UIH55" s="4"/>
      <c r="UII55" s="4"/>
      <c r="UIJ55" s="4"/>
      <c r="UIK55" s="4"/>
      <c r="UIL55" s="4"/>
      <c r="UIM55" s="4"/>
      <c r="UIN55" s="4"/>
      <c r="UIO55" s="4"/>
      <c r="UIP55" s="4"/>
      <c r="UIQ55" s="4"/>
      <c r="UIR55" s="4"/>
      <c r="UIS55" s="4"/>
      <c r="UIT55" s="4"/>
      <c r="UIU55" s="4"/>
      <c r="UIV55" s="4"/>
      <c r="UIW55" s="4"/>
      <c r="UIX55" s="4"/>
      <c r="UIY55" s="4"/>
      <c r="UIZ55" s="4"/>
      <c r="UJA55" s="4"/>
      <c r="UJB55" s="4"/>
      <c r="UJC55" s="4"/>
      <c r="UJD55" s="4"/>
      <c r="UJE55" s="4"/>
      <c r="UJF55" s="4"/>
      <c r="UJG55" s="4"/>
      <c r="UJH55" s="4"/>
      <c r="UJI55" s="4"/>
      <c r="UJJ55" s="4"/>
      <c r="UJK55" s="4"/>
      <c r="UJL55" s="4"/>
      <c r="UJM55" s="4"/>
      <c r="UJN55" s="4"/>
      <c r="UJO55" s="4"/>
      <c r="UJP55" s="4"/>
      <c r="UJQ55" s="4"/>
      <c r="UJR55" s="4"/>
      <c r="UJS55" s="4"/>
      <c r="UJT55" s="4"/>
      <c r="UJU55" s="4"/>
      <c r="UJV55" s="4"/>
      <c r="UJW55" s="4"/>
      <c r="UJX55" s="4"/>
      <c r="UJY55" s="4"/>
      <c r="UJZ55" s="4"/>
      <c r="UKA55" s="4"/>
      <c r="UKB55" s="4"/>
      <c r="UKC55" s="4"/>
      <c r="UKD55" s="4"/>
      <c r="UKE55" s="4"/>
      <c r="UKF55" s="4"/>
      <c r="UKG55" s="4"/>
      <c r="UKH55" s="4"/>
      <c r="UKI55" s="4"/>
      <c r="UKJ55" s="4"/>
      <c r="UKK55" s="4"/>
      <c r="UKL55" s="4"/>
      <c r="UKM55" s="4"/>
      <c r="UKN55" s="4"/>
      <c r="UKO55" s="4"/>
      <c r="UKP55" s="4"/>
      <c r="UKQ55" s="4"/>
      <c r="UKR55" s="4"/>
      <c r="UKS55" s="4"/>
      <c r="UKT55" s="4"/>
      <c r="UKU55" s="4"/>
      <c r="UKV55" s="4"/>
      <c r="UKW55" s="4"/>
      <c r="UKX55" s="4"/>
      <c r="UKY55" s="4"/>
      <c r="UKZ55" s="4"/>
      <c r="ULA55" s="4"/>
      <c r="ULB55" s="4"/>
      <c r="ULC55" s="4"/>
      <c r="ULD55" s="4"/>
      <c r="ULE55" s="4"/>
      <c r="ULF55" s="4"/>
      <c r="ULG55" s="4"/>
      <c r="ULH55" s="4"/>
      <c r="ULI55" s="4"/>
      <c r="ULJ55" s="4"/>
      <c r="ULK55" s="4"/>
      <c r="ULL55" s="4"/>
      <c r="ULM55" s="4"/>
      <c r="ULN55" s="4"/>
      <c r="ULO55" s="4"/>
      <c r="ULP55" s="4"/>
      <c r="ULQ55" s="4"/>
      <c r="ULR55" s="4"/>
      <c r="ULS55" s="4"/>
      <c r="ULT55" s="4"/>
      <c r="ULU55" s="4"/>
      <c r="ULV55" s="4"/>
      <c r="ULW55" s="4"/>
      <c r="ULX55" s="4"/>
      <c r="ULY55" s="4"/>
      <c r="ULZ55" s="4"/>
      <c r="UMA55" s="4"/>
      <c r="UMB55" s="4"/>
      <c r="UMC55" s="4"/>
      <c r="UMD55" s="4"/>
      <c r="UME55" s="4"/>
      <c r="UMF55" s="4"/>
      <c r="UMG55" s="4"/>
      <c r="UMH55" s="4"/>
      <c r="UMI55" s="4"/>
      <c r="UMJ55" s="4"/>
      <c r="UMK55" s="4"/>
      <c r="UML55" s="4"/>
      <c r="UMM55" s="4"/>
      <c r="UMN55" s="4"/>
      <c r="UMO55" s="4"/>
      <c r="UMP55" s="4"/>
      <c r="UMQ55" s="4"/>
      <c r="UMR55" s="4"/>
      <c r="UMS55" s="4"/>
      <c r="UMT55" s="4"/>
      <c r="UMU55" s="4"/>
      <c r="UMV55" s="4"/>
      <c r="UMW55" s="4"/>
      <c r="UMX55" s="4"/>
      <c r="UMY55" s="4"/>
      <c r="UMZ55" s="4"/>
      <c r="UNA55" s="4"/>
      <c r="UNB55" s="4"/>
      <c r="UNC55" s="4"/>
      <c r="UND55" s="4"/>
      <c r="UNE55" s="4"/>
      <c r="UNF55" s="4"/>
      <c r="UNG55" s="4"/>
      <c r="UNH55" s="4"/>
      <c r="UNI55" s="4"/>
      <c r="UNJ55" s="4"/>
      <c r="UNK55" s="4"/>
      <c r="UNL55" s="4"/>
      <c r="UNM55" s="4"/>
      <c r="UNN55" s="4"/>
      <c r="UNO55" s="4"/>
      <c r="UNP55" s="4"/>
      <c r="UNQ55" s="4"/>
      <c r="UNR55" s="4"/>
      <c r="UNS55" s="4"/>
      <c r="UNT55" s="4"/>
      <c r="UNU55" s="4"/>
      <c r="UNV55" s="4"/>
      <c r="UNW55" s="4"/>
      <c r="UNX55" s="4"/>
      <c r="UNY55" s="4"/>
      <c r="UNZ55" s="4"/>
      <c r="UOA55" s="4"/>
      <c r="UOB55" s="4"/>
      <c r="UOC55" s="4"/>
      <c r="UOD55" s="4"/>
      <c r="UOE55" s="4"/>
      <c r="UOF55" s="4"/>
      <c r="UOG55" s="4"/>
      <c r="UOH55" s="4"/>
      <c r="UOI55" s="4"/>
      <c r="UOJ55" s="4"/>
      <c r="UOK55" s="4"/>
      <c r="UOL55" s="4"/>
      <c r="UOM55" s="4"/>
      <c r="UON55" s="4"/>
      <c r="UOO55" s="4"/>
      <c r="UOP55" s="4"/>
      <c r="UOQ55" s="4"/>
      <c r="UOR55" s="4"/>
      <c r="UOS55" s="4"/>
      <c r="UOT55" s="4"/>
      <c r="UOU55" s="4"/>
      <c r="UOV55" s="4"/>
      <c r="UOW55" s="4"/>
      <c r="UOX55" s="4"/>
      <c r="UOY55" s="4"/>
      <c r="UOZ55" s="4"/>
      <c r="UPA55" s="4"/>
      <c r="UPB55" s="4"/>
      <c r="UPC55" s="4"/>
      <c r="UPD55" s="4"/>
      <c r="UPE55" s="4"/>
      <c r="UPF55" s="4"/>
      <c r="UPG55" s="4"/>
      <c r="UPH55" s="4"/>
      <c r="UPI55" s="4"/>
      <c r="UPJ55" s="4"/>
      <c r="UPK55" s="4"/>
      <c r="UPL55" s="4"/>
      <c r="UPM55" s="4"/>
      <c r="UPN55" s="4"/>
      <c r="UPO55" s="4"/>
      <c r="UPP55" s="4"/>
      <c r="UPQ55" s="4"/>
      <c r="UPR55" s="4"/>
      <c r="UPS55" s="4"/>
      <c r="UPT55" s="4"/>
      <c r="UPU55" s="4"/>
      <c r="UPV55" s="4"/>
      <c r="UPW55" s="4"/>
      <c r="UPX55" s="4"/>
      <c r="UPY55" s="4"/>
      <c r="UPZ55" s="4"/>
      <c r="UQA55" s="4"/>
      <c r="UQB55" s="4"/>
      <c r="UQC55" s="4"/>
      <c r="UQD55" s="4"/>
      <c r="UQE55" s="4"/>
      <c r="UQF55" s="4"/>
      <c r="UQG55" s="4"/>
      <c r="UQH55" s="4"/>
      <c r="UQI55" s="4"/>
      <c r="UQJ55" s="4"/>
      <c r="UQK55" s="4"/>
      <c r="UQL55" s="4"/>
      <c r="UQM55" s="4"/>
      <c r="UQN55" s="4"/>
      <c r="UQO55" s="4"/>
      <c r="UQP55" s="4"/>
      <c r="UQQ55" s="4"/>
      <c r="UQR55" s="4"/>
      <c r="UQS55" s="4"/>
      <c r="UQT55" s="4"/>
      <c r="UQU55" s="4"/>
      <c r="UQV55" s="4"/>
      <c r="UQW55" s="4"/>
      <c r="UQX55" s="4"/>
      <c r="UQY55" s="4"/>
      <c r="UQZ55" s="4"/>
      <c r="URA55" s="4"/>
      <c r="URB55" s="4"/>
      <c r="URC55" s="4"/>
      <c r="URD55" s="4"/>
      <c r="URE55" s="4"/>
      <c r="URF55" s="4"/>
      <c r="URG55" s="4"/>
      <c r="URH55" s="4"/>
      <c r="URI55" s="4"/>
      <c r="URJ55" s="4"/>
      <c r="URK55" s="4"/>
      <c r="URL55" s="4"/>
      <c r="URM55" s="4"/>
      <c r="URN55" s="4"/>
      <c r="URO55" s="4"/>
      <c r="URP55" s="4"/>
      <c r="URQ55" s="4"/>
      <c r="URR55" s="4"/>
      <c r="URS55" s="4"/>
      <c r="URT55" s="4"/>
      <c r="URU55" s="4"/>
      <c r="URV55" s="4"/>
      <c r="URW55" s="4"/>
      <c r="URX55" s="4"/>
      <c r="URY55" s="4"/>
      <c r="URZ55" s="4"/>
      <c r="USA55" s="4"/>
      <c r="USB55" s="4"/>
      <c r="USC55" s="4"/>
      <c r="USD55" s="4"/>
      <c r="USE55" s="4"/>
      <c r="USF55" s="4"/>
      <c r="USG55" s="4"/>
      <c r="USH55" s="4"/>
      <c r="USI55" s="4"/>
      <c r="USJ55" s="4"/>
      <c r="USK55" s="4"/>
      <c r="USL55" s="4"/>
      <c r="USM55" s="4"/>
      <c r="USN55" s="4"/>
      <c r="USO55" s="4"/>
      <c r="USP55" s="4"/>
      <c r="USQ55" s="4"/>
      <c r="USR55" s="4"/>
      <c r="USS55" s="4"/>
      <c r="UST55" s="4"/>
      <c r="USU55" s="4"/>
      <c r="USV55" s="4"/>
      <c r="USW55" s="4"/>
      <c r="USX55" s="4"/>
      <c r="USY55" s="4"/>
      <c r="USZ55" s="4"/>
      <c r="UTA55" s="4"/>
      <c r="UTB55" s="4"/>
      <c r="UTC55" s="4"/>
      <c r="UTD55" s="4"/>
      <c r="UTE55" s="4"/>
      <c r="UTF55" s="4"/>
      <c r="UTG55" s="4"/>
      <c r="UTH55" s="4"/>
      <c r="UTI55" s="4"/>
      <c r="UTJ55" s="4"/>
      <c r="UTK55" s="4"/>
      <c r="UTL55" s="4"/>
      <c r="UTM55" s="4"/>
      <c r="UTN55" s="4"/>
      <c r="UTO55" s="4"/>
      <c r="UTP55" s="4"/>
      <c r="UTQ55" s="4"/>
      <c r="UTR55" s="4"/>
      <c r="UTS55" s="4"/>
      <c r="UTT55" s="4"/>
      <c r="UTU55" s="4"/>
      <c r="UTV55" s="4"/>
      <c r="UTW55" s="4"/>
      <c r="UTX55" s="4"/>
      <c r="UTY55" s="4"/>
      <c r="UTZ55" s="4"/>
      <c r="UUA55" s="4"/>
      <c r="UUB55" s="4"/>
      <c r="UUC55" s="4"/>
      <c r="UUD55" s="4"/>
      <c r="UUE55" s="4"/>
      <c r="UUF55" s="4"/>
      <c r="UUG55" s="4"/>
      <c r="UUH55" s="4"/>
      <c r="UUI55" s="4"/>
      <c r="UUJ55" s="4"/>
      <c r="UUK55" s="4"/>
      <c r="UUL55" s="4"/>
      <c r="UUM55" s="4"/>
      <c r="UUN55" s="4"/>
      <c r="UUO55" s="4"/>
      <c r="UUP55" s="4"/>
      <c r="UUQ55" s="4"/>
      <c r="UUR55" s="4"/>
      <c r="UUS55" s="4"/>
      <c r="UUT55" s="4"/>
      <c r="UUU55" s="4"/>
      <c r="UUV55" s="4"/>
      <c r="UUW55" s="4"/>
      <c r="UUX55" s="4"/>
      <c r="UUY55" s="4"/>
      <c r="UUZ55" s="4"/>
      <c r="UVA55" s="4"/>
      <c r="UVB55" s="4"/>
      <c r="UVC55" s="4"/>
      <c r="UVD55" s="4"/>
      <c r="UVE55" s="4"/>
      <c r="UVF55" s="4"/>
      <c r="UVG55" s="4"/>
      <c r="UVH55" s="4"/>
      <c r="UVI55" s="4"/>
      <c r="UVJ55" s="4"/>
      <c r="UVK55" s="4"/>
      <c r="UVL55" s="4"/>
      <c r="UVM55" s="4"/>
      <c r="UVN55" s="4"/>
      <c r="UVO55" s="4"/>
      <c r="UVP55" s="4"/>
      <c r="UVQ55" s="4"/>
      <c r="UVR55" s="4"/>
      <c r="UVS55" s="4"/>
      <c r="UVT55" s="4"/>
      <c r="UVU55" s="4"/>
      <c r="UVV55" s="4"/>
      <c r="UVW55" s="4"/>
      <c r="UVX55" s="4"/>
      <c r="UVY55" s="4"/>
      <c r="UVZ55" s="4"/>
      <c r="UWA55" s="4"/>
      <c r="UWB55" s="4"/>
      <c r="UWC55" s="4"/>
      <c r="UWD55" s="4"/>
      <c r="UWE55" s="4"/>
      <c r="UWF55" s="4"/>
      <c r="UWG55" s="4"/>
      <c r="UWH55" s="4"/>
      <c r="UWI55" s="4"/>
      <c r="UWJ55" s="4"/>
      <c r="UWK55" s="4"/>
      <c r="UWL55" s="4"/>
      <c r="UWM55" s="4"/>
      <c r="UWN55" s="4"/>
      <c r="UWO55" s="4"/>
      <c r="UWP55" s="4"/>
      <c r="UWQ55" s="4"/>
      <c r="UWR55" s="4"/>
      <c r="UWS55" s="4"/>
      <c r="UWT55" s="4"/>
      <c r="UWU55" s="4"/>
      <c r="UWV55" s="4"/>
      <c r="UWW55" s="4"/>
      <c r="UWX55" s="4"/>
      <c r="UWY55" s="4"/>
      <c r="UWZ55" s="4"/>
      <c r="UXA55" s="4"/>
      <c r="UXB55" s="4"/>
      <c r="UXC55" s="4"/>
      <c r="UXD55" s="4"/>
      <c r="UXE55" s="4"/>
      <c r="UXF55" s="4"/>
      <c r="UXG55" s="4"/>
      <c r="UXH55" s="4"/>
      <c r="UXI55" s="4"/>
      <c r="UXJ55" s="4"/>
      <c r="UXK55" s="4"/>
      <c r="UXL55" s="4"/>
      <c r="UXM55" s="4"/>
      <c r="UXN55" s="4"/>
      <c r="UXO55" s="4"/>
      <c r="UXP55" s="4"/>
      <c r="UXQ55" s="4"/>
      <c r="UXR55" s="4"/>
      <c r="UXS55" s="4"/>
      <c r="UXT55" s="4"/>
      <c r="UXU55" s="4"/>
      <c r="UXV55" s="4"/>
      <c r="UXW55" s="4"/>
      <c r="UXX55" s="4"/>
      <c r="UXY55" s="4"/>
      <c r="UXZ55" s="4"/>
      <c r="UYA55" s="4"/>
      <c r="UYB55" s="4"/>
      <c r="UYC55" s="4"/>
      <c r="UYD55" s="4"/>
      <c r="UYE55" s="4"/>
      <c r="UYF55" s="4"/>
      <c r="UYG55" s="4"/>
      <c r="UYH55" s="4"/>
      <c r="UYI55" s="4"/>
      <c r="UYJ55" s="4"/>
      <c r="UYK55" s="4"/>
      <c r="UYL55" s="4"/>
      <c r="UYM55" s="4"/>
      <c r="UYN55" s="4"/>
      <c r="UYO55" s="4"/>
      <c r="UYP55" s="4"/>
      <c r="UYQ55" s="4"/>
      <c r="UYR55" s="4"/>
      <c r="UYS55" s="4"/>
      <c r="UYT55" s="4"/>
      <c r="UYU55" s="4"/>
      <c r="UYV55" s="4"/>
      <c r="UYW55" s="4"/>
      <c r="UYX55" s="4"/>
      <c r="UYY55" s="4"/>
      <c r="UYZ55" s="4"/>
      <c r="UZA55" s="4"/>
      <c r="UZB55" s="4"/>
      <c r="UZC55" s="4"/>
      <c r="UZD55" s="4"/>
      <c r="UZE55" s="4"/>
      <c r="UZF55" s="4"/>
      <c r="UZG55" s="4"/>
      <c r="UZH55" s="4"/>
      <c r="UZI55" s="4"/>
      <c r="UZJ55" s="4"/>
      <c r="UZK55" s="4"/>
      <c r="UZL55" s="4"/>
      <c r="UZM55" s="4"/>
      <c r="UZN55" s="4"/>
      <c r="UZO55" s="4"/>
      <c r="UZP55" s="4"/>
      <c r="UZQ55" s="4"/>
      <c r="UZR55" s="4"/>
      <c r="UZS55" s="4"/>
      <c r="UZT55" s="4"/>
      <c r="UZU55" s="4"/>
      <c r="UZV55" s="4"/>
      <c r="UZW55" s="4"/>
      <c r="UZX55" s="4"/>
      <c r="UZY55" s="4"/>
      <c r="UZZ55" s="4"/>
      <c r="VAA55" s="4"/>
      <c r="VAB55" s="4"/>
      <c r="VAC55" s="4"/>
      <c r="VAD55" s="4"/>
      <c r="VAE55" s="4"/>
      <c r="VAF55" s="4"/>
      <c r="VAG55" s="4"/>
      <c r="VAH55" s="4"/>
      <c r="VAI55" s="4"/>
      <c r="VAJ55" s="4"/>
      <c r="VAK55" s="4"/>
      <c r="VAL55" s="4"/>
      <c r="VAM55" s="4"/>
      <c r="VAN55" s="4"/>
      <c r="VAO55" s="4"/>
      <c r="VAP55" s="4"/>
      <c r="VAQ55" s="4"/>
      <c r="VAR55" s="4"/>
      <c r="VAS55" s="4"/>
      <c r="VAT55" s="4"/>
      <c r="VAU55" s="4"/>
      <c r="VAV55" s="4"/>
      <c r="VAW55" s="4"/>
      <c r="VAX55" s="4"/>
      <c r="VAY55" s="4"/>
      <c r="VAZ55" s="4"/>
      <c r="VBA55" s="4"/>
      <c r="VBB55" s="4"/>
      <c r="VBC55" s="4"/>
      <c r="VBD55" s="4"/>
      <c r="VBE55" s="4"/>
      <c r="VBF55" s="4"/>
      <c r="VBG55" s="4"/>
      <c r="VBH55" s="4"/>
      <c r="VBI55" s="4"/>
      <c r="VBJ55" s="4"/>
      <c r="VBK55" s="4"/>
      <c r="VBL55" s="4"/>
      <c r="VBM55" s="4"/>
      <c r="VBN55" s="4"/>
      <c r="VBO55" s="4"/>
      <c r="VBP55" s="4"/>
      <c r="VBQ55" s="4"/>
      <c r="VBR55" s="4"/>
      <c r="VBS55" s="4"/>
      <c r="VBT55" s="4"/>
      <c r="VBU55" s="4"/>
      <c r="VBV55" s="4"/>
      <c r="VBW55" s="4"/>
      <c r="VBX55" s="4"/>
      <c r="VBY55" s="4"/>
      <c r="VBZ55" s="4"/>
      <c r="VCA55" s="4"/>
      <c r="VCB55" s="4"/>
      <c r="VCC55" s="4"/>
      <c r="VCD55" s="4"/>
      <c r="VCE55" s="4"/>
      <c r="VCF55" s="4"/>
      <c r="VCG55" s="4"/>
      <c r="VCH55" s="4"/>
      <c r="VCI55" s="4"/>
      <c r="VCJ55" s="4"/>
      <c r="VCK55" s="4"/>
      <c r="VCL55" s="4"/>
      <c r="VCM55" s="4"/>
      <c r="VCN55" s="4"/>
      <c r="VCO55" s="4"/>
      <c r="VCP55" s="4"/>
      <c r="VCQ55" s="4"/>
      <c r="VCR55" s="4"/>
      <c r="VCS55" s="4"/>
      <c r="VCT55" s="4"/>
      <c r="VCU55" s="4"/>
      <c r="VCV55" s="4"/>
      <c r="VCW55" s="4"/>
      <c r="VCX55" s="4"/>
      <c r="VCY55" s="4"/>
      <c r="VCZ55" s="4"/>
      <c r="VDA55" s="4"/>
      <c r="VDB55" s="4"/>
      <c r="VDC55" s="4"/>
      <c r="VDD55" s="4"/>
      <c r="VDE55" s="4"/>
      <c r="VDF55" s="4"/>
      <c r="VDG55" s="4"/>
      <c r="VDH55" s="4"/>
      <c r="VDI55" s="4"/>
      <c r="VDJ55" s="4"/>
      <c r="VDK55" s="4"/>
      <c r="VDL55" s="4"/>
      <c r="VDM55" s="4"/>
      <c r="VDN55" s="4"/>
      <c r="VDO55" s="4"/>
      <c r="VDP55" s="4"/>
      <c r="VDQ55" s="4"/>
      <c r="VDR55" s="4"/>
      <c r="VDS55" s="4"/>
      <c r="VDT55" s="4"/>
      <c r="VDU55" s="4"/>
      <c r="VDV55" s="4"/>
      <c r="VDW55" s="4"/>
      <c r="VDX55" s="4"/>
      <c r="VDY55" s="4"/>
      <c r="VDZ55" s="4"/>
      <c r="VEA55" s="4"/>
      <c r="VEB55" s="4"/>
      <c r="VEC55" s="4"/>
      <c r="VED55" s="4"/>
      <c r="VEE55" s="4"/>
      <c r="VEF55" s="4"/>
      <c r="VEG55" s="4"/>
      <c r="VEH55" s="4"/>
      <c r="VEI55" s="4"/>
      <c r="VEJ55" s="4"/>
      <c r="VEK55" s="4"/>
      <c r="VEL55" s="4"/>
      <c r="VEM55" s="4"/>
      <c r="VEN55" s="4"/>
      <c r="VEO55" s="4"/>
      <c r="VEP55" s="4"/>
      <c r="VEQ55" s="4"/>
      <c r="VER55" s="4"/>
      <c r="VES55" s="4"/>
      <c r="VET55" s="4"/>
      <c r="VEU55" s="4"/>
      <c r="VEV55" s="4"/>
      <c r="VEW55" s="4"/>
      <c r="VEX55" s="4"/>
      <c r="VEY55" s="4"/>
      <c r="VEZ55" s="4"/>
      <c r="VFA55" s="4"/>
      <c r="VFB55" s="4"/>
      <c r="VFC55" s="4"/>
      <c r="VFD55" s="4"/>
      <c r="VFE55" s="4"/>
      <c r="VFF55" s="4"/>
      <c r="VFG55" s="4"/>
      <c r="VFH55" s="4"/>
      <c r="VFI55" s="4"/>
      <c r="VFJ55" s="4"/>
      <c r="VFK55" s="4"/>
      <c r="VFL55" s="4"/>
      <c r="VFM55" s="4"/>
      <c r="VFN55" s="4"/>
      <c r="VFO55" s="4"/>
      <c r="VFP55" s="4"/>
      <c r="VFQ55" s="4"/>
      <c r="VFR55" s="4"/>
      <c r="VFS55" s="4"/>
      <c r="VFT55" s="4"/>
      <c r="VFU55" s="4"/>
      <c r="VFV55" s="4"/>
      <c r="VFW55" s="4"/>
      <c r="VFX55" s="4"/>
      <c r="VFY55" s="4"/>
      <c r="VFZ55" s="4"/>
      <c r="VGA55" s="4"/>
      <c r="VGB55" s="4"/>
      <c r="VGC55" s="4"/>
      <c r="VGD55" s="4"/>
      <c r="VGE55" s="4"/>
      <c r="VGF55" s="4"/>
      <c r="VGG55" s="4"/>
      <c r="VGH55" s="4"/>
      <c r="VGI55" s="4"/>
      <c r="VGJ55" s="4"/>
      <c r="VGK55" s="4"/>
      <c r="VGL55" s="4"/>
      <c r="VGM55" s="4"/>
      <c r="VGN55" s="4"/>
      <c r="VGO55" s="4"/>
      <c r="VGP55" s="4"/>
      <c r="VGQ55" s="4"/>
      <c r="VGR55" s="4"/>
      <c r="VGS55" s="4"/>
      <c r="VGT55" s="4"/>
      <c r="VGU55" s="4"/>
      <c r="VGV55" s="4"/>
      <c r="VGW55" s="4"/>
      <c r="VGX55" s="4"/>
      <c r="VGY55" s="4"/>
      <c r="VGZ55" s="4"/>
      <c r="VHA55" s="4"/>
      <c r="VHB55" s="4"/>
      <c r="VHC55" s="4"/>
      <c r="VHD55" s="4"/>
      <c r="VHE55" s="4"/>
      <c r="VHF55" s="4"/>
      <c r="VHG55" s="4"/>
      <c r="VHH55" s="4"/>
      <c r="VHI55" s="4"/>
      <c r="VHJ55" s="4"/>
      <c r="VHK55" s="4"/>
      <c r="VHL55" s="4"/>
      <c r="VHM55" s="4"/>
      <c r="VHN55" s="4"/>
      <c r="VHO55" s="4"/>
      <c r="VHP55" s="4"/>
      <c r="VHQ55" s="4"/>
      <c r="VHR55" s="4"/>
      <c r="VHS55" s="4"/>
      <c r="VHT55" s="4"/>
      <c r="VHU55" s="4"/>
      <c r="VHV55" s="4"/>
      <c r="VHW55" s="4"/>
      <c r="VHX55" s="4"/>
      <c r="VHY55" s="4"/>
      <c r="VHZ55" s="4"/>
      <c r="VIA55" s="4"/>
      <c r="VIB55" s="4"/>
      <c r="VIC55" s="4"/>
      <c r="VID55" s="4"/>
      <c r="VIE55" s="4"/>
      <c r="VIF55" s="4"/>
      <c r="VIG55" s="4"/>
      <c r="VIH55" s="4"/>
      <c r="VII55" s="4"/>
      <c r="VIJ55" s="4"/>
      <c r="VIK55" s="4"/>
      <c r="VIL55" s="4"/>
      <c r="VIM55" s="4"/>
      <c r="VIN55" s="4"/>
      <c r="VIO55" s="4"/>
      <c r="VIP55" s="4"/>
      <c r="VIQ55" s="4"/>
      <c r="VIR55" s="4"/>
      <c r="VIS55" s="4"/>
      <c r="VIT55" s="4"/>
      <c r="VIU55" s="4"/>
      <c r="VIV55" s="4"/>
      <c r="VIW55" s="4"/>
      <c r="VIX55" s="4"/>
      <c r="VIY55" s="4"/>
      <c r="VIZ55" s="4"/>
      <c r="VJA55" s="4"/>
      <c r="VJB55" s="4"/>
      <c r="VJC55" s="4"/>
      <c r="VJD55" s="4"/>
      <c r="VJE55" s="4"/>
      <c r="VJF55" s="4"/>
      <c r="VJG55" s="4"/>
      <c r="VJH55" s="4"/>
      <c r="VJI55" s="4"/>
      <c r="VJJ55" s="4"/>
      <c r="VJK55" s="4"/>
      <c r="VJL55" s="4"/>
      <c r="VJM55" s="4"/>
      <c r="VJN55" s="4"/>
      <c r="VJO55" s="4"/>
      <c r="VJP55" s="4"/>
      <c r="VJQ55" s="4"/>
      <c r="VJR55" s="4"/>
      <c r="VJS55" s="4"/>
      <c r="VJT55" s="4"/>
      <c r="VJU55" s="4"/>
      <c r="VJV55" s="4"/>
      <c r="VJW55" s="4"/>
      <c r="VJX55" s="4"/>
      <c r="VJY55" s="4"/>
      <c r="VJZ55" s="4"/>
      <c r="VKA55" s="4"/>
      <c r="VKB55" s="4"/>
      <c r="VKC55" s="4"/>
      <c r="VKD55" s="4"/>
      <c r="VKE55" s="4"/>
      <c r="VKF55" s="4"/>
      <c r="VKG55" s="4"/>
      <c r="VKH55" s="4"/>
      <c r="VKI55" s="4"/>
      <c r="VKJ55" s="4"/>
      <c r="VKK55" s="4"/>
      <c r="VKL55" s="4"/>
      <c r="VKM55" s="4"/>
      <c r="VKN55" s="4"/>
      <c r="VKO55" s="4"/>
      <c r="VKP55" s="4"/>
      <c r="VKQ55" s="4"/>
      <c r="VKR55" s="4"/>
      <c r="VKS55" s="4"/>
      <c r="VKT55" s="4"/>
      <c r="VKU55" s="4"/>
      <c r="VKV55" s="4"/>
      <c r="VKW55" s="4"/>
      <c r="VKX55" s="4"/>
      <c r="VKY55" s="4"/>
      <c r="VKZ55" s="4"/>
      <c r="VLA55" s="4"/>
      <c r="VLB55" s="4"/>
      <c r="VLC55" s="4"/>
      <c r="VLD55" s="4"/>
      <c r="VLE55" s="4"/>
      <c r="VLF55" s="4"/>
      <c r="VLG55" s="4"/>
      <c r="VLH55" s="4"/>
      <c r="VLI55" s="4"/>
      <c r="VLJ55" s="4"/>
      <c r="VLK55" s="4"/>
      <c r="VLL55" s="4"/>
      <c r="VLM55" s="4"/>
      <c r="VLN55" s="4"/>
      <c r="VLO55" s="4"/>
      <c r="VLP55" s="4"/>
      <c r="VLQ55" s="4"/>
      <c r="VLR55" s="4"/>
      <c r="VLS55" s="4"/>
      <c r="VLT55" s="4"/>
      <c r="VLU55" s="4"/>
      <c r="VLV55" s="4"/>
      <c r="VLW55" s="4"/>
      <c r="VLX55" s="4"/>
      <c r="VLY55" s="4"/>
      <c r="VLZ55" s="4"/>
      <c r="VMA55" s="4"/>
      <c r="VMB55" s="4"/>
      <c r="VMC55" s="4"/>
      <c r="VMD55" s="4"/>
      <c r="VME55" s="4"/>
      <c r="VMF55" s="4"/>
      <c r="VMG55" s="4"/>
      <c r="VMH55" s="4"/>
      <c r="VMI55" s="4"/>
      <c r="VMJ55" s="4"/>
      <c r="VMK55" s="4"/>
      <c r="VML55" s="4"/>
      <c r="VMM55" s="4"/>
      <c r="VMN55" s="4"/>
      <c r="VMO55" s="4"/>
      <c r="VMP55" s="4"/>
      <c r="VMQ55" s="4"/>
      <c r="VMR55" s="4"/>
      <c r="VMS55" s="4"/>
      <c r="VMT55" s="4"/>
      <c r="VMU55" s="4"/>
      <c r="VMV55" s="4"/>
      <c r="VMW55" s="4"/>
      <c r="VMX55" s="4"/>
      <c r="VMY55" s="4"/>
      <c r="VMZ55" s="4"/>
      <c r="VNA55" s="4"/>
      <c r="VNB55" s="4"/>
      <c r="VNC55" s="4"/>
      <c r="VND55" s="4"/>
      <c r="VNE55" s="4"/>
      <c r="VNF55" s="4"/>
      <c r="VNG55" s="4"/>
      <c r="VNH55" s="4"/>
      <c r="VNI55" s="4"/>
      <c r="VNJ55" s="4"/>
      <c r="VNK55" s="4"/>
      <c r="VNL55" s="4"/>
      <c r="VNM55" s="4"/>
      <c r="VNN55" s="4"/>
      <c r="VNO55" s="4"/>
      <c r="VNP55" s="4"/>
      <c r="VNQ55" s="4"/>
      <c r="VNR55" s="4"/>
      <c r="VNS55" s="4"/>
      <c r="VNT55" s="4"/>
      <c r="VNU55" s="4"/>
      <c r="VNV55" s="4"/>
      <c r="VNW55" s="4"/>
      <c r="VNX55" s="4"/>
      <c r="VNY55" s="4"/>
      <c r="VNZ55" s="4"/>
      <c r="VOA55" s="4"/>
      <c r="VOB55" s="4"/>
      <c r="VOC55" s="4"/>
      <c r="VOD55" s="4"/>
      <c r="VOE55" s="4"/>
      <c r="VOF55" s="4"/>
      <c r="VOG55" s="4"/>
      <c r="VOH55" s="4"/>
      <c r="VOI55" s="4"/>
      <c r="VOJ55" s="4"/>
      <c r="VOK55" s="4"/>
      <c r="VOL55" s="4"/>
      <c r="VOM55" s="4"/>
      <c r="VON55" s="4"/>
      <c r="VOO55" s="4"/>
      <c r="VOP55" s="4"/>
      <c r="VOQ55" s="4"/>
      <c r="VOR55" s="4"/>
      <c r="VOS55" s="4"/>
      <c r="VOT55" s="4"/>
      <c r="VOU55" s="4"/>
      <c r="VOV55" s="4"/>
      <c r="VOW55" s="4"/>
      <c r="VOX55" s="4"/>
      <c r="VOY55" s="4"/>
      <c r="VOZ55" s="4"/>
      <c r="VPA55" s="4"/>
      <c r="VPB55" s="4"/>
      <c r="VPC55" s="4"/>
      <c r="VPD55" s="4"/>
      <c r="VPE55" s="4"/>
      <c r="VPF55" s="4"/>
      <c r="VPG55" s="4"/>
      <c r="VPH55" s="4"/>
      <c r="VPI55" s="4"/>
      <c r="VPJ55" s="4"/>
      <c r="VPK55" s="4"/>
      <c r="VPL55" s="4"/>
      <c r="VPM55" s="4"/>
      <c r="VPN55" s="4"/>
      <c r="VPO55" s="4"/>
      <c r="VPP55" s="4"/>
      <c r="VPQ55" s="4"/>
      <c r="VPR55" s="4"/>
      <c r="VPS55" s="4"/>
      <c r="VPT55" s="4"/>
      <c r="VPU55" s="4"/>
      <c r="VPV55" s="4"/>
      <c r="VPW55" s="4"/>
      <c r="VPX55" s="4"/>
      <c r="VPY55" s="4"/>
      <c r="VPZ55" s="4"/>
      <c r="VQA55" s="4"/>
      <c r="VQB55" s="4"/>
      <c r="VQC55" s="4"/>
      <c r="VQD55" s="4"/>
      <c r="VQE55" s="4"/>
      <c r="VQF55" s="4"/>
      <c r="VQG55" s="4"/>
      <c r="VQH55" s="4"/>
      <c r="VQI55" s="4"/>
      <c r="VQJ55" s="4"/>
      <c r="VQK55" s="4"/>
      <c r="VQL55" s="4"/>
      <c r="VQM55" s="4"/>
      <c r="VQN55" s="4"/>
      <c r="VQO55" s="4"/>
      <c r="VQP55" s="4"/>
      <c r="VQQ55" s="4"/>
      <c r="VQR55" s="4"/>
      <c r="VQS55" s="4"/>
      <c r="VQT55" s="4"/>
      <c r="VQU55" s="4"/>
      <c r="VQV55" s="4"/>
      <c r="VQW55" s="4"/>
      <c r="VQX55" s="4"/>
      <c r="VQY55" s="4"/>
      <c r="VQZ55" s="4"/>
      <c r="VRA55" s="4"/>
      <c r="VRB55" s="4"/>
      <c r="VRC55" s="4"/>
      <c r="VRD55" s="4"/>
      <c r="VRE55" s="4"/>
      <c r="VRF55" s="4"/>
      <c r="VRG55" s="4"/>
      <c r="VRH55" s="4"/>
      <c r="VRI55" s="4"/>
      <c r="VRJ55" s="4"/>
      <c r="VRK55" s="4"/>
      <c r="VRL55" s="4"/>
      <c r="VRM55" s="4"/>
      <c r="VRN55" s="4"/>
      <c r="VRO55" s="4"/>
      <c r="VRP55" s="4"/>
      <c r="VRQ55" s="4"/>
      <c r="VRR55" s="4"/>
      <c r="VRS55" s="4"/>
      <c r="VRT55" s="4"/>
      <c r="VRU55" s="4"/>
      <c r="VRV55" s="4"/>
      <c r="VRW55" s="4"/>
      <c r="VRX55" s="4"/>
      <c r="VRY55" s="4"/>
      <c r="VRZ55" s="4"/>
      <c r="VSA55" s="4"/>
      <c r="VSB55" s="4"/>
      <c r="VSC55" s="4"/>
      <c r="VSD55" s="4"/>
      <c r="VSE55" s="4"/>
      <c r="VSF55" s="4"/>
      <c r="VSG55" s="4"/>
      <c r="VSH55" s="4"/>
      <c r="VSI55" s="4"/>
      <c r="VSJ55" s="4"/>
      <c r="VSK55" s="4"/>
      <c r="VSL55" s="4"/>
      <c r="VSM55" s="4"/>
      <c r="VSN55" s="4"/>
      <c r="VSO55" s="4"/>
      <c r="VSP55" s="4"/>
      <c r="VSQ55" s="4"/>
      <c r="VSR55" s="4"/>
      <c r="VSS55" s="4"/>
      <c r="VST55" s="4"/>
      <c r="VSU55" s="4"/>
      <c r="VSV55" s="4"/>
      <c r="VSW55" s="4"/>
      <c r="VSX55" s="4"/>
      <c r="VSY55" s="4"/>
      <c r="VSZ55" s="4"/>
      <c r="VTA55" s="4"/>
      <c r="VTB55" s="4"/>
      <c r="VTC55" s="4"/>
      <c r="VTD55" s="4"/>
      <c r="VTE55" s="4"/>
      <c r="VTF55" s="4"/>
      <c r="VTG55" s="4"/>
      <c r="VTH55" s="4"/>
      <c r="VTI55" s="4"/>
      <c r="VTJ55" s="4"/>
      <c r="VTK55" s="4"/>
      <c r="VTL55" s="4"/>
      <c r="VTM55" s="4"/>
      <c r="VTN55" s="4"/>
      <c r="VTO55" s="4"/>
      <c r="VTP55" s="4"/>
      <c r="VTQ55" s="4"/>
      <c r="VTR55" s="4"/>
      <c r="VTS55" s="4"/>
      <c r="VTT55" s="4"/>
      <c r="VTU55" s="4"/>
      <c r="VTV55" s="4"/>
      <c r="VTW55" s="4"/>
      <c r="VTX55" s="4"/>
      <c r="VTY55" s="4"/>
      <c r="VTZ55" s="4"/>
      <c r="VUA55" s="4"/>
      <c r="VUB55" s="4"/>
      <c r="VUC55" s="4"/>
      <c r="VUD55" s="4"/>
      <c r="VUE55" s="4"/>
      <c r="VUF55" s="4"/>
      <c r="VUG55" s="4"/>
      <c r="VUH55" s="4"/>
      <c r="VUI55" s="4"/>
      <c r="VUJ55" s="4"/>
      <c r="VUK55" s="4"/>
      <c r="VUL55" s="4"/>
      <c r="VUM55" s="4"/>
      <c r="VUN55" s="4"/>
      <c r="VUO55" s="4"/>
      <c r="VUP55" s="4"/>
      <c r="VUQ55" s="4"/>
      <c r="VUR55" s="4"/>
      <c r="VUS55" s="4"/>
      <c r="VUT55" s="4"/>
      <c r="VUU55" s="4"/>
      <c r="VUV55" s="4"/>
      <c r="VUW55" s="4"/>
      <c r="VUX55" s="4"/>
      <c r="VUY55" s="4"/>
      <c r="VUZ55" s="4"/>
      <c r="VVA55" s="4"/>
      <c r="VVB55" s="4"/>
      <c r="VVC55" s="4"/>
      <c r="VVD55" s="4"/>
      <c r="VVE55" s="4"/>
      <c r="VVF55" s="4"/>
      <c r="VVG55" s="4"/>
      <c r="VVH55" s="4"/>
      <c r="VVI55" s="4"/>
      <c r="VVJ55" s="4"/>
      <c r="VVK55" s="4"/>
      <c r="VVL55" s="4"/>
      <c r="VVM55" s="4"/>
      <c r="VVN55" s="4"/>
      <c r="VVO55" s="4"/>
      <c r="VVP55" s="4"/>
      <c r="VVQ55" s="4"/>
      <c r="VVR55" s="4"/>
      <c r="VVS55" s="4"/>
      <c r="VVT55" s="4"/>
      <c r="VVU55" s="4"/>
      <c r="VVV55" s="4"/>
      <c r="VVW55" s="4"/>
      <c r="VVX55" s="4"/>
      <c r="VVY55" s="4"/>
      <c r="VVZ55" s="4"/>
      <c r="VWA55" s="4"/>
      <c r="VWB55" s="4"/>
      <c r="VWC55" s="4"/>
      <c r="VWD55" s="4"/>
      <c r="VWE55" s="4"/>
      <c r="VWF55" s="4"/>
      <c r="VWG55" s="4"/>
      <c r="VWH55" s="4"/>
      <c r="VWI55" s="4"/>
      <c r="VWJ55" s="4"/>
      <c r="VWK55" s="4"/>
      <c r="VWL55" s="4"/>
      <c r="VWM55" s="4"/>
      <c r="VWN55" s="4"/>
      <c r="VWO55" s="4"/>
      <c r="VWP55" s="4"/>
      <c r="VWQ55" s="4"/>
      <c r="VWR55" s="4"/>
      <c r="VWS55" s="4"/>
      <c r="VWT55" s="4"/>
      <c r="VWU55" s="4"/>
      <c r="VWV55" s="4"/>
      <c r="VWW55" s="4"/>
      <c r="VWX55" s="4"/>
      <c r="VWY55" s="4"/>
      <c r="VWZ55" s="4"/>
      <c r="VXA55" s="4"/>
      <c r="VXB55" s="4"/>
      <c r="VXC55" s="4"/>
      <c r="VXD55" s="4"/>
      <c r="VXE55" s="4"/>
      <c r="VXF55" s="4"/>
      <c r="VXG55" s="4"/>
      <c r="VXH55" s="4"/>
      <c r="VXI55" s="4"/>
      <c r="VXJ55" s="4"/>
      <c r="VXK55" s="4"/>
      <c r="VXL55" s="4"/>
      <c r="VXM55" s="4"/>
      <c r="VXN55" s="4"/>
      <c r="VXO55" s="4"/>
      <c r="VXP55" s="4"/>
      <c r="VXQ55" s="4"/>
      <c r="VXR55" s="4"/>
      <c r="VXS55" s="4"/>
      <c r="VXT55" s="4"/>
      <c r="VXU55" s="4"/>
      <c r="VXV55" s="4"/>
      <c r="VXW55" s="4"/>
      <c r="VXX55" s="4"/>
      <c r="VXY55" s="4"/>
      <c r="VXZ55" s="4"/>
      <c r="VYA55" s="4"/>
      <c r="VYB55" s="4"/>
      <c r="VYC55" s="4"/>
      <c r="VYD55" s="4"/>
      <c r="VYE55" s="4"/>
      <c r="VYF55" s="4"/>
      <c r="VYG55" s="4"/>
      <c r="VYH55" s="4"/>
      <c r="VYI55" s="4"/>
      <c r="VYJ55" s="4"/>
      <c r="VYK55" s="4"/>
      <c r="VYL55" s="4"/>
      <c r="VYM55" s="4"/>
      <c r="VYN55" s="4"/>
      <c r="VYO55" s="4"/>
      <c r="VYP55" s="4"/>
      <c r="VYQ55" s="4"/>
      <c r="VYR55" s="4"/>
      <c r="VYS55" s="4"/>
      <c r="VYT55" s="4"/>
      <c r="VYU55" s="4"/>
      <c r="VYV55" s="4"/>
      <c r="VYW55" s="4"/>
      <c r="VYX55" s="4"/>
      <c r="VYY55" s="4"/>
      <c r="VYZ55" s="4"/>
      <c r="VZA55" s="4"/>
      <c r="VZB55" s="4"/>
      <c r="VZC55" s="4"/>
      <c r="VZD55" s="4"/>
      <c r="VZE55" s="4"/>
      <c r="VZF55" s="4"/>
      <c r="VZG55" s="4"/>
      <c r="VZH55" s="4"/>
      <c r="VZI55" s="4"/>
      <c r="VZJ55" s="4"/>
      <c r="VZK55" s="4"/>
      <c r="VZL55" s="4"/>
      <c r="VZM55" s="4"/>
      <c r="VZN55" s="4"/>
      <c r="VZO55" s="4"/>
      <c r="VZP55" s="4"/>
      <c r="VZQ55" s="4"/>
      <c r="VZR55" s="4"/>
      <c r="VZS55" s="4"/>
      <c r="VZT55" s="4"/>
      <c r="VZU55" s="4"/>
      <c r="VZV55" s="4"/>
      <c r="VZW55" s="4"/>
      <c r="VZX55" s="4"/>
      <c r="VZY55" s="4"/>
      <c r="VZZ55" s="4"/>
      <c r="WAA55" s="4"/>
      <c r="WAB55" s="4"/>
      <c r="WAC55" s="4"/>
      <c r="WAD55" s="4"/>
      <c r="WAE55" s="4"/>
      <c r="WAF55" s="4"/>
      <c r="WAG55" s="4"/>
      <c r="WAH55" s="4"/>
      <c r="WAI55" s="4"/>
      <c r="WAJ55" s="4"/>
      <c r="WAK55" s="4"/>
      <c r="WAL55" s="4"/>
      <c r="WAM55" s="4"/>
      <c r="WAN55" s="4"/>
      <c r="WAO55" s="4"/>
      <c r="WAP55" s="4"/>
      <c r="WAQ55" s="4"/>
      <c r="WAR55" s="4"/>
      <c r="WAS55" s="4"/>
      <c r="WAT55" s="4"/>
      <c r="WAU55" s="4"/>
      <c r="WAV55" s="4"/>
      <c r="WAW55" s="4"/>
      <c r="WAX55" s="4"/>
      <c r="WAY55" s="4"/>
      <c r="WAZ55" s="4"/>
      <c r="WBA55" s="4"/>
      <c r="WBB55" s="4"/>
      <c r="WBC55" s="4"/>
      <c r="WBD55" s="4"/>
      <c r="WBE55" s="4"/>
      <c r="WBF55" s="4"/>
      <c r="WBG55" s="4"/>
      <c r="WBH55" s="4"/>
      <c r="WBI55" s="4"/>
      <c r="WBJ55" s="4"/>
      <c r="WBK55" s="4"/>
      <c r="WBL55" s="4"/>
      <c r="WBM55" s="4"/>
      <c r="WBN55" s="4"/>
      <c r="WBO55" s="4"/>
      <c r="WBP55" s="4"/>
      <c r="WBQ55" s="4"/>
      <c r="WBR55" s="4"/>
      <c r="WBS55" s="4"/>
      <c r="WBT55" s="4"/>
      <c r="WBU55" s="4"/>
      <c r="WBV55" s="4"/>
      <c r="WBW55" s="4"/>
      <c r="WBX55" s="4"/>
      <c r="WBY55" s="4"/>
      <c r="WBZ55" s="4"/>
      <c r="WCA55" s="4"/>
      <c r="WCB55" s="4"/>
      <c r="WCC55" s="4"/>
      <c r="WCD55" s="4"/>
      <c r="WCE55" s="4"/>
      <c r="WCF55" s="4"/>
      <c r="WCG55" s="4"/>
      <c r="WCH55" s="4"/>
      <c r="WCI55" s="4"/>
      <c r="WCJ55" s="4"/>
      <c r="WCK55" s="4"/>
      <c r="WCL55" s="4"/>
      <c r="WCM55" s="4"/>
      <c r="WCN55" s="4"/>
      <c r="WCO55" s="4"/>
      <c r="WCP55" s="4"/>
      <c r="WCQ55" s="4"/>
      <c r="WCR55" s="4"/>
      <c r="WCS55" s="4"/>
      <c r="WCT55" s="4"/>
      <c r="WCU55" s="4"/>
      <c r="WCV55" s="4"/>
      <c r="WCW55" s="4"/>
      <c r="WCX55" s="4"/>
      <c r="WCY55" s="4"/>
      <c r="WCZ55" s="4"/>
      <c r="WDA55" s="4"/>
      <c r="WDB55" s="4"/>
      <c r="WDC55" s="4"/>
      <c r="WDD55" s="4"/>
      <c r="WDE55" s="4"/>
      <c r="WDF55" s="4"/>
      <c r="WDG55" s="4"/>
      <c r="WDH55" s="4"/>
      <c r="WDI55" s="4"/>
      <c r="WDJ55" s="4"/>
      <c r="WDK55" s="4"/>
      <c r="WDL55" s="4"/>
      <c r="WDM55" s="4"/>
      <c r="WDN55" s="4"/>
      <c r="WDO55" s="4"/>
      <c r="WDP55" s="4"/>
      <c r="WDQ55" s="4"/>
      <c r="WDR55" s="4"/>
      <c r="WDS55" s="4"/>
      <c r="WDT55" s="4"/>
      <c r="WDU55" s="4"/>
      <c r="WDV55" s="4"/>
      <c r="WDW55" s="4"/>
      <c r="WDX55" s="4"/>
      <c r="WDY55" s="4"/>
      <c r="WDZ55" s="4"/>
      <c r="WEA55" s="4"/>
      <c r="WEB55" s="4"/>
      <c r="WEC55" s="4"/>
      <c r="WED55" s="4"/>
      <c r="WEE55" s="4"/>
      <c r="WEF55" s="4"/>
      <c r="WEG55" s="4"/>
      <c r="WEH55" s="4"/>
      <c r="WEI55" s="4"/>
      <c r="WEJ55" s="4"/>
      <c r="WEK55" s="4"/>
      <c r="WEL55" s="4"/>
      <c r="WEM55" s="4"/>
      <c r="WEN55" s="4"/>
      <c r="WEO55" s="4"/>
      <c r="WEP55" s="4"/>
      <c r="WEQ55" s="4"/>
      <c r="WER55" s="4"/>
      <c r="WES55" s="4"/>
      <c r="WET55" s="4"/>
      <c r="WEU55" s="4"/>
      <c r="WEV55" s="4"/>
      <c r="WEW55" s="4"/>
      <c r="WEX55" s="4"/>
      <c r="WEY55" s="4"/>
      <c r="WEZ55" s="4"/>
      <c r="WFA55" s="4"/>
      <c r="WFB55" s="4"/>
      <c r="WFC55" s="4"/>
      <c r="WFD55" s="4"/>
      <c r="WFE55" s="4"/>
      <c r="WFF55" s="4"/>
      <c r="WFG55" s="4"/>
      <c r="WFH55" s="4"/>
      <c r="WFI55" s="4"/>
      <c r="WFJ55" s="4"/>
      <c r="WFK55" s="4"/>
      <c r="WFL55" s="4"/>
      <c r="WFM55" s="4"/>
      <c r="WFN55" s="4"/>
      <c r="WFO55" s="4"/>
      <c r="WFP55" s="4"/>
      <c r="WFQ55" s="4"/>
      <c r="WFR55" s="4"/>
      <c r="WFS55" s="4"/>
      <c r="WFT55" s="4"/>
      <c r="WFU55" s="4"/>
      <c r="WFV55" s="4"/>
      <c r="WFW55" s="4"/>
      <c r="WFX55" s="4"/>
      <c r="WFY55" s="4"/>
      <c r="WFZ55" s="4"/>
      <c r="WGA55" s="4"/>
      <c r="WGB55" s="4"/>
      <c r="WGC55" s="4"/>
      <c r="WGD55" s="4"/>
      <c r="WGE55" s="4"/>
      <c r="WGF55" s="4"/>
      <c r="WGG55" s="4"/>
      <c r="WGH55" s="4"/>
      <c r="WGI55" s="4"/>
      <c r="WGJ55" s="4"/>
      <c r="WGK55" s="4"/>
      <c r="WGL55" s="4"/>
      <c r="WGM55" s="4"/>
      <c r="WGN55" s="4"/>
      <c r="WGO55" s="4"/>
      <c r="WGP55" s="4"/>
      <c r="WGQ55" s="4"/>
      <c r="WGR55" s="4"/>
      <c r="WGS55" s="4"/>
      <c r="WGT55" s="4"/>
      <c r="WGU55" s="4"/>
      <c r="WGV55" s="4"/>
      <c r="WGW55" s="4"/>
      <c r="WGX55" s="4"/>
      <c r="WGY55" s="4"/>
      <c r="WGZ55" s="4"/>
      <c r="WHA55" s="4"/>
      <c r="WHB55" s="4"/>
      <c r="WHC55" s="4"/>
      <c r="WHD55" s="4"/>
      <c r="WHE55" s="4"/>
      <c r="WHF55" s="4"/>
      <c r="WHG55" s="4"/>
      <c r="WHH55" s="4"/>
      <c r="WHI55" s="4"/>
      <c r="WHJ55" s="4"/>
      <c r="WHK55" s="4"/>
      <c r="WHL55" s="4"/>
      <c r="WHM55" s="4"/>
      <c r="WHN55" s="4"/>
      <c r="WHO55" s="4"/>
      <c r="WHP55" s="4"/>
      <c r="WHQ55" s="4"/>
      <c r="WHR55" s="4"/>
      <c r="WHS55" s="4"/>
      <c r="WHT55" s="4"/>
      <c r="WHU55" s="4"/>
      <c r="WHV55" s="4"/>
      <c r="WHW55" s="4"/>
      <c r="WHX55" s="4"/>
      <c r="WHY55" s="4"/>
      <c r="WHZ55" s="4"/>
      <c r="WIA55" s="4"/>
      <c r="WIB55" s="4"/>
      <c r="WIC55" s="4"/>
      <c r="WID55" s="4"/>
      <c r="WIE55" s="4"/>
      <c r="WIF55" s="4"/>
      <c r="WIG55" s="4"/>
      <c r="WIH55" s="4"/>
      <c r="WII55" s="4"/>
      <c r="WIJ55" s="4"/>
      <c r="WIK55" s="4"/>
      <c r="WIL55" s="4"/>
      <c r="WIM55" s="4"/>
      <c r="WIN55" s="4"/>
      <c r="WIO55" s="4"/>
      <c r="WIP55" s="4"/>
      <c r="WIQ55" s="4"/>
      <c r="WIR55" s="4"/>
      <c r="WIS55" s="4"/>
      <c r="WIT55" s="4"/>
      <c r="WIU55" s="4"/>
      <c r="WIV55" s="4"/>
      <c r="WIW55" s="4"/>
      <c r="WIX55" s="4"/>
      <c r="WIY55" s="4"/>
      <c r="WIZ55" s="4"/>
      <c r="WJA55" s="4"/>
      <c r="WJB55" s="4"/>
      <c r="WJC55" s="4"/>
      <c r="WJD55" s="4"/>
      <c r="WJE55" s="4"/>
      <c r="WJF55" s="4"/>
      <c r="WJG55" s="4"/>
      <c r="WJH55" s="4"/>
      <c r="WJI55" s="4"/>
      <c r="WJJ55" s="4"/>
      <c r="WJK55" s="4"/>
      <c r="WJL55" s="4"/>
      <c r="WJM55" s="4"/>
      <c r="WJN55" s="4"/>
      <c r="WJO55" s="4"/>
      <c r="WJP55" s="4"/>
      <c r="WJQ55" s="4"/>
      <c r="WJR55" s="4"/>
      <c r="WJS55" s="4"/>
      <c r="WJT55" s="4"/>
      <c r="WJU55" s="4"/>
      <c r="WJV55" s="4"/>
      <c r="WJW55" s="4"/>
      <c r="WJX55" s="4"/>
      <c r="WJY55" s="4"/>
      <c r="WJZ55" s="4"/>
      <c r="WKA55" s="4"/>
      <c r="WKB55" s="4"/>
      <c r="WKC55" s="4"/>
      <c r="WKD55" s="4"/>
      <c r="WKE55" s="4"/>
      <c r="WKF55" s="4"/>
      <c r="WKG55" s="4"/>
      <c r="WKH55" s="4"/>
      <c r="WKI55" s="4"/>
      <c r="WKJ55" s="4"/>
      <c r="WKK55" s="4"/>
      <c r="WKL55" s="4"/>
      <c r="WKM55" s="4"/>
      <c r="WKN55" s="4"/>
      <c r="WKO55" s="4"/>
      <c r="WKP55" s="4"/>
      <c r="WKQ55" s="4"/>
      <c r="WKR55" s="4"/>
      <c r="WKS55" s="4"/>
      <c r="WKT55" s="4"/>
      <c r="WKU55" s="4"/>
      <c r="WKV55" s="4"/>
      <c r="WKW55" s="4"/>
      <c r="WKX55" s="4"/>
      <c r="WKY55" s="4"/>
      <c r="WKZ55" s="4"/>
      <c r="WLA55" s="4"/>
      <c r="WLB55" s="4"/>
      <c r="WLC55" s="4"/>
      <c r="WLD55" s="4"/>
      <c r="WLE55" s="4"/>
      <c r="WLF55" s="4"/>
      <c r="WLG55" s="4"/>
      <c r="WLH55" s="4"/>
      <c r="WLI55" s="4"/>
      <c r="WLJ55" s="4"/>
      <c r="WLK55" s="4"/>
      <c r="WLL55" s="4"/>
      <c r="WLM55" s="4"/>
      <c r="WLN55" s="4"/>
      <c r="WLO55" s="4"/>
      <c r="WLP55" s="4"/>
      <c r="WLQ55" s="4"/>
      <c r="WLR55" s="4"/>
      <c r="WLS55" s="4"/>
      <c r="WLT55" s="4"/>
      <c r="WLU55" s="4"/>
      <c r="WLV55" s="4"/>
      <c r="WLW55" s="4"/>
      <c r="WLX55" s="4"/>
      <c r="WLY55" s="4"/>
      <c r="WLZ55" s="4"/>
      <c r="WMA55" s="4"/>
      <c r="WMB55" s="4"/>
      <c r="WMC55" s="4"/>
      <c r="WMD55" s="4"/>
      <c r="WME55" s="4"/>
      <c r="WMF55" s="4"/>
      <c r="WMG55" s="4"/>
      <c r="WMH55" s="4"/>
      <c r="WMI55" s="4"/>
      <c r="WMJ55" s="4"/>
      <c r="WMK55" s="4"/>
      <c r="WML55" s="4"/>
      <c r="WMM55" s="4"/>
      <c r="WMN55" s="4"/>
      <c r="WMO55" s="4"/>
      <c r="WMP55" s="4"/>
      <c r="WMQ55" s="4"/>
      <c r="WMR55" s="4"/>
      <c r="WMS55" s="4"/>
      <c r="WMT55" s="4"/>
      <c r="WMU55" s="4"/>
      <c r="WMV55" s="4"/>
      <c r="WMW55" s="4"/>
      <c r="WMX55" s="4"/>
      <c r="WMY55" s="4"/>
      <c r="WMZ55" s="4"/>
      <c r="WNA55" s="4"/>
      <c r="WNB55" s="4"/>
      <c r="WNC55" s="4"/>
      <c r="WND55" s="4"/>
      <c r="WNE55" s="4"/>
      <c r="WNF55" s="4"/>
      <c r="WNG55" s="4"/>
      <c r="WNH55" s="4"/>
      <c r="WNI55" s="4"/>
      <c r="WNJ55" s="4"/>
      <c r="WNK55" s="4"/>
      <c r="WNL55" s="4"/>
      <c r="WNM55" s="4"/>
      <c r="WNN55" s="4"/>
      <c r="WNO55" s="4"/>
      <c r="WNP55" s="4"/>
      <c r="WNQ55" s="4"/>
      <c r="WNR55" s="4"/>
      <c r="WNS55" s="4"/>
      <c r="WNT55" s="4"/>
      <c r="WNU55" s="4"/>
      <c r="WNV55" s="4"/>
      <c r="WNW55" s="4"/>
      <c r="WNX55" s="4"/>
      <c r="WNY55" s="4"/>
      <c r="WNZ55" s="4"/>
      <c r="WOA55" s="4"/>
      <c r="WOB55" s="4"/>
      <c r="WOC55" s="4"/>
      <c r="WOD55" s="4"/>
      <c r="WOE55" s="4"/>
      <c r="WOF55" s="4"/>
      <c r="WOG55" s="4"/>
      <c r="WOH55" s="4"/>
      <c r="WOI55" s="4"/>
      <c r="WOJ55" s="4"/>
      <c r="WOK55" s="4"/>
      <c r="WOL55" s="4"/>
      <c r="WOM55" s="4"/>
      <c r="WON55" s="4"/>
      <c r="WOO55" s="4"/>
      <c r="WOP55" s="4"/>
      <c r="WOQ55" s="4"/>
      <c r="WOR55" s="4"/>
      <c r="WOS55" s="4"/>
      <c r="WOT55" s="4"/>
      <c r="WOU55" s="4"/>
      <c r="WOV55" s="4"/>
      <c r="WOW55" s="4"/>
      <c r="WOX55" s="4"/>
      <c r="WOY55" s="4"/>
      <c r="WOZ55" s="4"/>
      <c r="WPA55" s="4"/>
      <c r="WPB55" s="4"/>
      <c r="WPC55" s="4"/>
      <c r="WPD55" s="4"/>
      <c r="WPE55" s="4"/>
      <c r="WPF55" s="4"/>
      <c r="WPG55" s="4"/>
      <c r="WPH55" s="4"/>
      <c r="WPI55" s="4"/>
      <c r="WPJ55" s="4"/>
      <c r="WPK55" s="4"/>
      <c r="WPL55" s="4"/>
      <c r="WPM55" s="4"/>
      <c r="WPN55" s="4"/>
      <c r="WPO55" s="4"/>
      <c r="WPP55" s="4"/>
      <c r="WPQ55" s="4"/>
      <c r="WPR55" s="4"/>
      <c r="WPS55" s="4"/>
      <c r="WPT55" s="4"/>
      <c r="WPU55" s="4"/>
      <c r="WPV55" s="4"/>
      <c r="WPW55" s="4"/>
      <c r="WPX55" s="4"/>
      <c r="WPY55" s="4"/>
      <c r="WPZ55" s="4"/>
      <c r="WQA55" s="4"/>
      <c r="WQB55" s="4"/>
      <c r="WQC55" s="4"/>
      <c r="WQD55" s="4"/>
      <c r="WQE55" s="4"/>
      <c r="WQF55" s="4"/>
      <c r="WQG55" s="4"/>
      <c r="WQH55" s="4"/>
      <c r="WQI55" s="4"/>
      <c r="WQJ55" s="4"/>
      <c r="WQK55" s="4"/>
      <c r="WQL55" s="4"/>
      <c r="WQM55" s="4"/>
      <c r="WQN55" s="4"/>
      <c r="WQO55" s="4"/>
      <c r="WQP55" s="4"/>
      <c r="WQQ55" s="4"/>
      <c r="WQR55" s="4"/>
      <c r="WQS55" s="4"/>
      <c r="WQT55" s="4"/>
      <c r="WQU55" s="4"/>
      <c r="WQV55" s="4"/>
      <c r="WQW55" s="4"/>
      <c r="WQX55" s="4"/>
      <c r="WQY55" s="4"/>
      <c r="WQZ55" s="4"/>
      <c r="WRA55" s="4"/>
      <c r="WRB55" s="4"/>
      <c r="WRC55" s="4"/>
      <c r="WRD55" s="4"/>
      <c r="WRE55" s="4"/>
      <c r="WRF55" s="4"/>
      <c r="WRG55" s="4"/>
      <c r="WRH55" s="4"/>
      <c r="WRI55" s="4"/>
      <c r="WRJ55" s="4"/>
      <c r="WRK55" s="4"/>
      <c r="WRL55" s="4"/>
      <c r="WRM55" s="4"/>
      <c r="WRN55" s="4"/>
      <c r="WRO55" s="4"/>
      <c r="WRP55" s="4"/>
      <c r="WRQ55" s="4"/>
      <c r="WRR55" s="4"/>
      <c r="WRS55" s="4"/>
      <c r="WRT55" s="4"/>
      <c r="WRU55" s="4"/>
      <c r="WRV55" s="4"/>
      <c r="WRW55" s="4"/>
      <c r="WRX55" s="4"/>
      <c r="WRY55" s="4"/>
      <c r="WRZ55" s="4"/>
      <c r="WSA55" s="4"/>
      <c r="WSB55" s="4"/>
      <c r="WSC55" s="4"/>
      <c r="WSD55" s="4"/>
      <c r="WSE55" s="4"/>
      <c r="WSF55" s="4"/>
      <c r="WSG55" s="4"/>
      <c r="WSH55" s="4"/>
      <c r="WSI55" s="4"/>
      <c r="WSJ55" s="4"/>
      <c r="WSK55" s="4"/>
      <c r="WSL55" s="4"/>
      <c r="WSM55" s="4"/>
      <c r="WSN55" s="4"/>
      <c r="WSO55" s="4"/>
      <c r="WSP55" s="4"/>
      <c r="WSQ55" s="4"/>
      <c r="WSR55" s="4"/>
      <c r="WSS55" s="4"/>
      <c r="WST55" s="4"/>
      <c r="WSU55" s="4"/>
      <c r="WSV55" s="4"/>
      <c r="WSW55" s="4"/>
      <c r="WSX55" s="4"/>
      <c r="WSY55" s="4"/>
      <c r="WSZ55" s="4"/>
      <c r="WTA55" s="4"/>
      <c r="WTB55" s="4"/>
      <c r="WTC55" s="4"/>
      <c r="WTD55" s="4"/>
      <c r="WTE55" s="4"/>
      <c r="WTF55" s="4"/>
      <c r="WTG55" s="4"/>
      <c r="WTH55" s="4"/>
      <c r="WTI55" s="4"/>
      <c r="WTJ55" s="4"/>
      <c r="WTK55" s="4"/>
      <c r="WTL55" s="4"/>
      <c r="WTM55" s="4"/>
      <c r="WTN55" s="4"/>
      <c r="WTO55" s="4"/>
      <c r="WTP55" s="4"/>
      <c r="WTQ55" s="4"/>
      <c r="WTR55" s="4"/>
      <c r="WTS55" s="4"/>
      <c r="WTT55" s="4"/>
      <c r="WTU55" s="4"/>
      <c r="WTV55" s="4"/>
      <c r="WTW55" s="4"/>
      <c r="WTX55" s="4"/>
      <c r="WTY55" s="4"/>
      <c r="WTZ55" s="4"/>
      <c r="WUA55" s="4"/>
      <c r="WUB55" s="4"/>
      <c r="WUC55" s="4"/>
      <c r="WUD55" s="4"/>
      <c r="WUE55" s="4"/>
      <c r="WUF55" s="4"/>
      <c r="WUG55" s="4"/>
      <c r="WUH55" s="4"/>
      <c r="WUI55" s="4"/>
      <c r="WUJ55" s="4"/>
      <c r="WUK55" s="4"/>
      <c r="WUL55" s="4"/>
      <c r="WUM55" s="4"/>
      <c r="WUN55" s="4"/>
      <c r="WUO55" s="4"/>
      <c r="WUP55" s="4"/>
      <c r="WUQ55" s="4"/>
      <c r="WUR55" s="4"/>
      <c r="WUS55" s="4"/>
      <c r="WUT55" s="4"/>
      <c r="WUU55" s="4"/>
      <c r="WUV55" s="4"/>
      <c r="WUW55" s="4"/>
      <c r="WUX55" s="4"/>
      <c r="WUY55" s="4"/>
      <c r="WUZ55" s="4"/>
      <c r="WVA55" s="4"/>
      <c r="WVB55" s="4"/>
      <c r="WVC55" s="4"/>
      <c r="WVD55" s="4"/>
      <c r="WVE55" s="4"/>
      <c r="WVF55" s="4"/>
      <c r="WVG55" s="4"/>
      <c r="WVH55" s="4"/>
      <c r="WVI55" s="4"/>
      <c r="WVJ55" s="4"/>
      <c r="WVK55" s="4"/>
      <c r="WVL55" s="4"/>
      <c r="WVM55" s="4"/>
      <c r="WVN55" s="4"/>
      <c r="WVO55" s="4"/>
      <c r="WVP55" s="4"/>
      <c r="WVQ55" s="4"/>
      <c r="WVR55" s="4"/>
      <c r="WVS55" s="4"/>
      <c r="WVT55" s="4"/>
      <c r="WVU55" s="4"/>
      <c r="WVV55" s="4"/>
      <c r="WVW55" s="4"/>
      <c r="WVX55" s="4"/>
      <c r="WVY55" s="4"/>
      <c r="WVZ55" s="4"/>
      <c r="WWA55" s="4"/>
      <c r="WWB55" s="4"/>
      <c r="WWC55" s="4"/>
      <c r="WWD55" s="4"/>
      <c r="WWE55" s="4"/>
      <c r="WWF55" s="4"/>
      <c r="WWG55" s="4"/>
      <c r="WWH55" s="4"/>
      <c r="WWI55" s="4"/>
      <c r="WWJ55" s="4"/>
      <c r="WWK55" s="4"/>
      <c r="WWL55" s="4"/>
      <c r="WWM55" s="4"/>
      <c r="WWN55" s="4"/>
      <c r="WWO55" s="4"/>
      <c r="WWP55" s="4"/>
      <c r="WWQ55" s="4"/>
      <c r="WWR55" s="4"/>
      <c r="WWS55" s="4"/>
      <c r="WWT55" s="4"/>
      <c r="WWU55" s="4"/>
      <c r="WWV55" s="4"/>
      <c r="WWW55" s="4"/>
      <c r="WWX55" s="4"/>
      <c r="WWY55" s="4"/>
      <c r="WWZ55" s="4"/>
      <c r="WXA55" s="4"/>
      <c r="WXB55" s="4"/>
      <c r="WXC55" s="4"/>
      <c r="WXD55" s="4"/>
      <c r="WXE55" s="4"/>
      <c r="WXF55" s="4"/>
      <c r="WXG55" s="4"/>
      <c r="WXH55" s="4"/>
      <c r="WXI55" s="4"/>
      <c r="WXJ55" s="4"/>
      <c r="WXK55" s="4"/>
      <c r="WXL55" s="4"/>
      <c r="WXM55" s="4"/>
      <c r="WXN55" s="4"/>
      <c r="WXO55" s="4"/>
      <c r="WXP55" s="4"/>
      <c r="WXQ55" s="4"/>
      <c r="WXR55" s="4"/>
      <c r="WXS55" s="4"/>
      <c r="WXT55" s="4"/>
      <c r="WXU55" s="4"/>
      <c r="WXV55" s="4"/>
      <c r="WXW55" s="4"/>
      <c r="WXX55" s="4"/>
      <c r="WXY55" s="4"/>
      <c r="WXZ55" s="4"/>
      <c r="WYA55" s="4"/>
      <c r="WYB55" s="4"/>
      <c r="WYC55" s="4"/>
      <c r="WYD55" s="4"/>
      <c r="WYE55" s="4"/>
      <c r="WYF55" s="4"/>
      <c r="WYG55" s="4"/>
      <c r="WYH55" s="4"/>
      <c r="WYI55" s="4"/>
      <c r="WYJ55" s="4"/>
      <c r="WYK55" s="4"/>
      <c r="WYL55" s="4"/>
      <c r="WYM55" s="4"/>
      <c r="WYN55" s="4"/>
      <c r="WYO55" s="4"/>
      <c r="WYP55" s="4"/>
      <c r="WYQ55" s="4"/>
      <c r="WYR55" s="4"/>
      <c r="WYS55" s="4"/>
      <c r="WYT55" s="4"/>
      <c r="WYU55" s="4"/>
      <c r="WYV55" s="4"/>
      <c r="WYW55" s="4"/>
      <c r="WYX55" s="4"/>
      <c r="WYY55" s="4"/>
      <c r="WYZ55" s="4"/>
      <c r="WZA55" s="4"/>
      <c r="WZB55" s="4"/>
      <c r="WZC55" s="4"/>
      <c r="WZD55" s="4"/>
      <c r="WZE55" s="4"/>
      <c r="WZF55" s="4"/>
      <c r="WZG55" s="4"/>
      <c r="WZH55" s="4"/>
      <c r="WZI55" s="4"/>
      <c r="WZJ55" s="4"/>
      <c r="WZK55" s="4"/>
      <c r="WZL55" s="4"/>
      <c r="WZM55" s="4"/>
      <c r="WZN55" s="4"/>
      <c r="WZO55" s="4"/>
      <c r="WZP55" s="4"/>
      <c r="WZQ55" s="4"/>
      <c r="WZR55" s="4"/>
      <c r="WZS55" s="4"/>
      <c r="WZT55" s="4"/>
      <c r="WZU55" s="4"/>
      <c r="WZV55" s="4"/>
      <c r="WZW55" s="4"/>
      <c r="WZX55" s="4"/>
      <c r="WZY55" s="4"/>
      <c r="WZZ55" s="4"/>
      <c r="XAA55" s="4"/>
      <c r="XAB55" s="4"/>
      <c r="XAC55" s="4"/>
      <c r="XAD55" s="4"/>
      <c r="XAE55" s="4"/>
      <c r="XAF55" s="4"/>
      <c r="XAG55" s="4"/>
      <c r="XAH55" s="4"/>
      <c r="XAI55" s="4"/>
      <c r="XAJ55" s="4"/>
      <c r="XAK55" s="4"/>
      <c r="XAL55" s="4"/>
      <c r="XAM55" s="4"/>
      <c r="XAN55" s="4"/>
      <c r="XAO55" s="4"/>
      <c r="XAP55" s="4"/>
      <c r="XAQ55" s="4"/>
      <c r="XAR55" s="4"/>
      <c r="XAS55" s="4"/>
      <c r="XAT55" s="4"/>
      <c r="XAU55" s="4"/>
      <c r="XAV55" s="4"/>
      <c r="XAW55" s="4"/>
      <c r="XAX55" s="4"/>
      <c r="XAY55" s="4"/>
      <c r="XAZ55" s="4"/>
      <c r="XBA55" s="4"/>
      <c r="XBB55" s="4"/>
      <c r="XBC55" s="4"/>
      <c r="XBD55" s="4"/>
      <c r="XBE55" s="4"/>
      <c r="XBF55" s="4"/>
      <c r="XBG55" s="4"/>
      <c r="XBH55" s="4"/>
      <c r="XBI55" s="4"/>
      <c r="XBJ55" s="4"/>
      <c r="XBK55" s="4"/>
      <c r="XBL55" s="4"/>
      <c r="XBM55" s="4"/>
      <c r="XBN55" s="4"/>
      <c r="XBO55" s="4"/>
      <c r="XBP55" s="4"/>
      <c r="XBQ55" s="4"/>
      <c r="XBR55" s="4"/>
      <c r="XBS55" s="4"/>
      <c r="XBT55" s="4"/>
      <c r="XBU55" s="4"/>
      <c r="XBV55" s="4"/>
      <c r="XBW55" s="4"/>
      <c r="XBX55" s="4"/>
      <c r="XBY55" s="4"/>
      <c r="XBZ55" s="4"/>
      <c r="XCA55" s="4"/>
      <c r="XCB55" s="4"/>
      <c r="XCC55" s="4"/>
      <c r="XCD55" s="4"/>
      <c r="XCE55" s="4"/>
      <c r="XCF55" s="4"/>
      <c r="XCG55" s="4"/>
      <c r="XCH55" s="4"/>
      <c r="XCI55" s="4"/>
      <c r="XCJ55" s="4"/>
      <c r="XCK55" s="4"/>
      <c r="XCL55" s="4"/>
      <c r="XCM55" s="4"/>
      <c r="XCN55" s="4"/>
      <c r="XCO55" s="4"/>
      <c r="XCP55" s="4"/>
      <c r="XCQ55" s="4"/>
      <c r="XCR55" s="4"/>
      <c r="XCS55" s="4"/>
      <c r="XCT55" s="4"/>
      <c r="XCU55" s="4"/>
      <c r="XCV55" s="4"/>
      <c r="XCW55" s="4"/>
      <c r="XCX55" s="4"/>
      <c r="XCY55" s="4"/>
      <c r="XCZ55" s="4"/>
      <c r="XDA55" s="4"/>
      <c r="XDB55" s="4"/>
      <c r="XDC55" s="4"/>
      <c r="XDD55" s="4"/>
      <c r="XDE55" s="4"/>
      <c r="XDF55" s="4"/>
      <c r="XDG55" s="4"/>
      <c r="XDH55" s="4"/>
      <c r="XDI55" s="4"/>
      <c r="XDJ55" s="4"/>
      <c r="XDK55" s="4"/>
      <c r="XDL55" s="4"/>
      <c r="XDM55" s="4"/>
      <c r="XDN55" s="4"/>
      <c r="XDO55" s="4"/>
      <c r="XDP55" s="4"/>
      <c r="XDQ55" s="4"/>
      <c r="XDR55" s="4"/>
      <c r="XDS55" s="4"/>
      <c r="XDT55" s="4"/>
      <c r="XDU55" s="4"/>
      <c r="XDV55" s="4"/>
      <c r="XDW55" s="4"/>
      <c r="XDX55" s="4"/>
      <c r="XDY55" s="4"/>
      <c r="XDZ55" s="4"/>
      <c r="XEA55" s="4"/>
      <c r="XEB55" s="4"/>
      <c r="XEC55" s="4"/>
      <c r="XED55" s="4"/>
      <c r="XEE55" s="4"/>
      <c r="XEF55" s="4"/>
      <c r="XEG55" s="4"/>
      <c r="XEH55" s="4"/>
      <c r="XEI55" s="4"/>
      <c r="XEJ55" s="4"/>
      <c r="XEK55" s="4"/>
      <c r="XEL55" s="4"/>
      <c r="XEM55" s="4"/>
      <c r="XEN55" s="4"/>
      <c r="XEO55" s="4"/>
      <c r="XEP55" s="4"/>
      <c r="XEQ55" s="4"/>
      <c r="XER55" s="4"/>
      <c r="XES55" s="4"/>
      <c r="XET55" s="4"/>
      <c r="XEU55" s="4"/>
      <c r="XEV55" s="4"/>
      <c r="XEW55" s="4"/>
      <c r="XEX55" s="4"/>
      <c r="XEY55" s="4"/>
      <c r="XEZ55" s="4"/>
      <c r="XFA55" s="4"/>
      <c r="XFB55" s="4"/>
      <c r="XFC55" s="4"/>
      <c r="XFD55" s="4"/>
    </row>
    <row r="57" spans="1:16384" ht="2.25" customHeight="1" x14ac:dyDescent="0.2"/>
    <row r="58" spans="1:16384" ht="2.25" customHeight="1" x14ac:dyDescent="0.2"/>
    <row r="59" spans="1:16384" x14ac:dyDescent="0.2">
      <c r="R59" s="4" t="s">
        <v>6</v>
      </c>
    </row>
    <row r="60" spans="1:16384" x14ac:dyDescent="0.2">
      <c r="G60" s="8"/>
      <c r="H60" s="8"/>
      <c r="I60" s="8" t="s">
        <v>536</v>
      </c>
    </row>
    <row r="61" spans="1:16384" x14ac:dyDescent="0.2">
      <c r="G61" s="8"/>
      <c r="H61" s="8"/>
      <c r="I61" s="8" t="s">
        <v>537</v>
      </c>
    </row>
    <row r="62" spans="1:16384" x14ac:dyDescent="0.2">
      <c r="G62" s="8"/>
      <c r="H62" s="8"/>
      <c r="I62" s="8" t="s">
        <v>0</v>
      </c>
    </row>
    <row r="63" spans="1:16384" x14ac:dyDescent="0.2">
      <c r="G63" s="8"/>
      <c r="H63" s="8"/>
      <c r="I63" s="8" t="s">
        <v>378</v>
      </c>
    </row>
    <row r="64" spans="1:16384" x14ac:dyDescent="0.2">
      <c r="G64" s="8"/>
      <c r="H64" s="8"/>
      <c r="I64" s="8" t="str">
        <f>I5</f>
        <v>After Eighteenth  Year</v>
      </c>
    </row>
    <row r="66" spans="1:32" x14ac:dyDescent="0.2">
      <c r="A66" s="2" t="s">
        <v>81</v>
      </c>
    </row>
    <row r="67" spans="1:32" s="1" customFormat="1" x14ac:dyDescent="0.2">
      <c r="A67" s="2"/>
      <c r="B67" s="8"/>
      <c r="C67" s="8"/>
      <c r="D67" s="8"/>
      <c r="E67" s="8"/>
      <c r="F67" s="8"/>
      <c r="G67" s="8"/>
      <c r="H67" s="8" t="s">
        <v>6</v>
      </c>
      <c r="I67" s="8"/>
      <c r="J67" s="8" t="s">
        <v>330</v>
      </c>
      <c r="K67" s="8"/>
      <c r="L67" s="8"/>
      <c r="M67" s="8"/>
      <c r="N67" s="8" t="s">
        <v>575</v>
      </c>
      <c r="O67" s="8" t="s">
        <v>581</v>
      </c>
      <c r="P67" s="8" t="s">
        <v>583</v>
      </c>
      <c r="Q67" s="8"/>
      <c r="R67" s="8"/>
      <c r="S67" s="4"/>
      <c r="T67" s="4"/>
      <c r="U67" s="4"/>
      <c r="V67" s="4"/>
      <c r="W67" s="4"/>
      <c r="X67" s="4"/>
      <c r="Y67" s="2"/>
      <c r="Z67" s="2"/>
      <c r="AA67" s="2"/>
      <c r="AB67" s="2"/>
      <c r="AC67" s="2"/>
      <c r="AD67" s="2"/>
      <c r="AE67" s="2"/>
      <c r="AF67" s="2"/>
    </row>
    <row r="68" spans="1:32" s="1" customFormat="1" x14ac:dyDescent="0.2">
      <c r="A68" s="2"/>
      <c r="B68" s="9" t="s">
        <v>14</v>
      </c>
      <c r="C68" s="9" t="s">
        <v>15</v>
      </c>
      <c r="D68" s="9" t="s">
        <v>16</v>
      </c>
      <c r="E68" s="9" t="s">
        <v>18</v>
      </c>
      <c r="F68" s="9" t="s">
        <v>19</v>
      </c>
      <c r="G68" s="9" t="s">
        <v>20</v>
      </c>
      <c r="H68" s="9" t="s">
        <v>21</v>
      </c>
      <c r="I68" s="9" t="s">
        <v>527</v>
      </c>
      <c r="J68" s="9" t="s">
        <v>528</v>
      </c>
      <c r="K68" s="9" t="s">
        <v>572</v>
      </c>
      <c r="L68" s="9" t="s">
        <v>573</v>
      </c>
      <c r="M68" s="9" t="s">
        <v>574</v>
      </c>
      <c r="N68" s="9" t="s">
        <v>576</v>
      </c>
      <c r="O68" s="9" t="s">
        <v>582</v>
      </c>
      <c r="P68" s="9" t="s">
        <v>582</v>
      </c>
      <c r="Q68" s="9" t="s">
        <v>333</v>
      </c>
      <c r="R68" s="9" t="s">
        <v>84</v>
      </c>
      <c r="S68" s="4"/>
      <c r="T68" s="4"/>
      <c r="U68" s="4"/>
      <c r="V68" s="4"/>
      <c r="W68" s="4"/>
      <c r="X68" s="4"/>
      <c r="Y68" s="2"/>
      <c r="Z68" s="2"/>
      <c r="AA68" s="2"/>
      <c r="AB68" s="2"/>
      <c r="AC68" s="2"/>
      <c r="AD68" s="2"/>
      <c r="AE68" s="2"/>
      <c r="AF68" s="2"/>
    </row>
    <row r="69" spans="1:32" s="1" customFormat="1" x14ac:dyDescent="0.2">
      <c r="A69" s="5" t="s">
        <v>9</v>
      </c>
      <c r="B69" s="4"/>
      <c r="C69" s="4"/>
      <c r="D69" s="4"/>
      <c r="E69" s="4"/>
      <c r="F69" s="4"/>
      <c r="G69" s="4"/>
      <c r="H69" s="4"/>
      <c r="I69" s="4"/>
      <c r="J69" s="4"/>
      <c r="K69" s="4"/>
      <c r="L69" s="4"/>
      <c r="M69" s="4"/>
      <c r="N69" s="4"/>
      <c r="O69" s="4"/>
      <c r="P69" s="4"/>
      <c r="Q69" s="4"/>
      <c r="R69" s="4"/>
      <c r="S69" s="4"/>
      <c r="T69" s="4"/>
      <c r="U69" s="4"/>
      <c r="V69" s="4"/>
      <c r="W69" s="4"/>
      <c r="X69" s="4"/>
      <c r="Y69" s="2"/>
      <c r="Z69" s="2"/>
      <c r="AA69" s="2"/>
      <c r="AB69" s="2"/>
      <c r="AC69" s="2"/>
      <c r="AD69" s="2"/>
      <c r="AE69" s="2"/>
      <c r="AF69" s="2"/>
    </row>
    <row r="70" spans="1:32" s="1" customFormat="1" x14ac:dyDescent="0.2">
      <c r="A70" s="2" t="s">
        <v>591</v>
      </c>
      <c r="B70" s="4">
        <f>+Support!$B$6*'[26]Pioneer Price'!$B$12</f>
        <v>19.759740000000001</v>
      </c>
      <c r="C70" s="4">
        <f>+Support!$B$6*'[26]Pioneer Price'!$B$14</f>
        <v>17.272500000000001</v>
      </c>
      <c r="D70" s="4">
        <f>+Support!$B$6*'[26]Pioneer Price'!$B$13</f>
        <v>23.283330000000003</v>
      </c>
      <c r="E70" s="4">
        <f>+Support!$B$6*'[26]Pioneer Price'!$B$23</f>
        <v>0.89817000000000002</v>
      </c>
      <c r="F70" s="4">
        <f>+Support!$B$6*'[26]Pioneer Price'!$B$24</f>
        <v>2.0727000000000002</v>
      </c>
      <c r="G70" s="4">
        <f>+Support!$B$6*'[26]Pioneer Price'!$B$16</f>
        <v>2.4872399999999999</v>
      </c>
      <c r="H70" s="4">
        <f>+Support!$B$6*'[26]Pioneer Price'!$B$17</f>
        <v>0.62180999999999997</v>
      </c>
      <c r="I70" s="4">
        <f>+Support!$B$6*'[26]Pioneer Price'!$B$18</f>
        <v>0.96726000000000012</v>
      </c>
      <c r="J70" s="4">
        <f>+Support!$B$6*'[26]Pioneer Price'!$B$19</f>
        <v>0.34545000000000003</v>
      </c>
      <c r="K70" s="4">
        <v>0</v>
      </c>
      <c r="L70" s="4">
        <v>0</v>
      </c>
      <c r="M70" s="4">
        <v>0</v>
      </c>
      <c r="N70" s="4">
        <v>0</v>
      </c>
      <c r="O70" s="4">
        <v>0</v>
      </c>
      <c r="P70" s="4">
        <v>0</v>
      </c>
      <c r="Q70" s="4">
        <f>+Support!$B$6*'[26]Pioneer Price'!$B$26</f>
        <v>1.3818000000000001</v>
      </c>
      <c r="R70" s="4">
        <f t="shared" ref="R70:R76" si="18">SUM(B70:Q70)</f>
        <v>69.09</v>
      </c>
      <c r="S70" s="4"/>
      <c r="T70" s="4"/>
      <c r="U70" s="4"/>
      <c r="V70" s="4"/>
      <c r="W70" s="4"/>
      <c r="X70" s="4"/>
      <c r="Y70" s="2"/>
      <c r="Z70" s="2"/>
      <c r="AA70" s="2"/>
      <c r="AB70" s="2"/>
      <c r="AC70" s="2"/>
      <c r="AD70" s="2"/>
      <c r="AE70" s="2"/>
      <c r="AF70" s="2"/>
    </row>
    <row r="71" spans="1:32" s="1" customFormat="1" x14ac:dyDescent="0.2">
      <c r="A71" s="2" t="s">
        <v>578</v>
      </c>
      <c r="B71" s="4">
        <f>+Support!$C$6*[27]Sheet1!$B$12</f>
        <v>34.520654</v>
      </c>
      <c r="C71" s="4">
        <f>+Support!$C$6*[27]Sheet1!$B$14</f>
        <v>2.6938520000000001</v>
      </c>
      <c r="D71" s="4">
        <f>+Support!$C$6*[27]Sheet1!$B$13</f>
        <v>21.755125</v>
      </c>
      <c r="E71" s="4">
        <f>+Support!$C$6*[27]Sheet1!$B$23</f>
        <v>0.77183400000000002</v>
      </c>
      <c r="F71" s="4">
        <f>+Support!$C$6*[27]Sheet1!$B$24</f>
        <v>1.6798740000000001</v>
      </c>
      <c r="G71" s="4">
        <f>+Support!$C$6*[27]Sheet1!$B$16</f>
        <v>1.990121</v>
      </c>
      <c r="H71" s="4">
        <f>+Support!$C$6*[27]Sheet1!$B$17</f>
        <v>0.80966899999999997</v>
      </c>
      <c r="I71" s="4">
        <f>+Support!$C$6*[27]Sheet1!$B$18</f>
        <v>0.80966899999999997</v>
      </c>
      <c r="J71" s="4">
        <f>+Support!$C$6*[27]Sheet1!$B$19</f>
        <v>0</v>
      </c>
      <c r="K71" s="4">
        <f>+Support!$C$6*[27]Sheet1!$B$20</f>
        <v>0.18917500000000001</v>
      </c>
      <c r="L71" s="4">
        <v>0</v>
      </c>
      <c r="M71" s="4">
        <f>+Support!$C$6*[27]Sheet1!$B$21</f>
        <v>6.1973729999999998</v>
      </c>
      <c r="N71" s="4">
        <f>+Support!$C$6*[27]Sheet1!$B$25</f>
        <v>0.22701000000000002</v>
      </c>
      <c r="O71" s="4">
        <v>0</v>
      </c>
      <c r="P71" s="4">
        <v>0</v>
      </c>
      <c r="Q71" s="4">
        <f>+Support!$C$6*[27]Sheet1!$B$26</f>
        <v>4.0559120000000002</v>
      </c>
      <c r="R71" s="4">
        <f t="shared" si="18"/>
        <v>75.700268000000023</v>
      </c>
      <c r="S71" s="4"/>
      <c r="T71" s="4"/>
      <c r="U71" s="4"/>
      <c r="V71" s="4"/>
      <c r="W71" s="4"/>
      <c r="X71" s="4"/>
      <c r="Y71" s="2"/>
      <c r="Z71" s="2"/>
      <c r="AA71" s="2"/>
      <c r="AB71" s="2"/>
      <c r="AC71" s="2"/>
      <c r="AD71" s="2"/>
      <c r="AE71" s="2"/>
      <c r="AF71" s="2"/>
    </row>
    <row r="72" spans="1:32" s="1" customFormat="1" x14ac:dyDescent="0.2">
      <c r="A72" s="2" t="s">
        <v>37</v>
      </c>
      <c r="B72" s="4">
        <f>+Support!$D$6*[28]Sheet1!$B$12</f>
        <v>30.017959999999999</v>
      </c>
      <c r="C72" s="4">
        <f>+Support!$D$6*[28]Sheet1!$B$14</f>
        <v>2.3424799999999997</v>
      </c>
      <c r="D72" s="4">
        <f>+Support!$D$6*[28]Sheet1!$B$13</f>
        <v>18.917499999999997</v>
      </c>
      <c r="E72" s="4">
        <f>+Support!$D$6*[28]Sheet1!$B$23</f>
        <v>0.67115999999999998</v>
      </c>
      <c r="F72" s="4">
        <f>+Support!$D$6*[28]Sheet1!$B$24</f>
        <v>1.4607600000000001</v>
      </c>
      <c r="G72" s="4">
        <f>+Support!$D$6*[28]Sheet1!$B$16</f>
        <v>1.73054</v>
      </c>
      <c r="H72" s="4">
        <f>+Support!$D$6*[28]Sheet1!$B$17</f>
        <v>0.70405999999999991</v>
      </c>
      <c r="I72" s="4">
        <f>+Support!$D$6*[28]Sheet1!$B$18</f>
        <v>0.70405999999999991</v>
      </c>
      <c r="J72" s="4">
        <f>+Support!$D$6*[28]Sheet1!$B$19</f>
        <v>0</v>
      </c>
      <c r="K72" s="4">
        <f>+Support!$D$6*[28]Sheet1!$B$20</f>
        <v>0.16450000000000001</v>
      </c>
      <c r="L72" s="4">
        <v>0</v>
      </c>
      <c r="M72" s="4">
        <f>+Support!$D$6*[28]Sheet1!$B$21</f>
        <v>5.3890199999999995</v>
      </c>
      <c r="N72" s="4">
        <f>+Support!$D$6*[28]Sheet1!$B$25</f>
        <v>0.19739999999999999</v>
      </c>
      <c r="O72" s="4">
        <f>+Support!$D$6*[28]Sheet1!$B$26</f>
        <v>3.3557999999999995</v>
      </c>
      <c r="P72" s="4">
        <f>+Support!$D$6*[28]Sheet1!$B$27</f>
        <v>0.17107999999999998</v>
      </c>
      <c r="Q72" s="4">
        <v>0</v>
      </c>
      <c r="R72" s="4">
        <f t="shared" si="18"/>
        <v>65.826319999999996</v>
      </c>
      <c r="S72" s="4"/>
      <c r="T72" s="4"/>
      <c r="U72" s="4"/>
      <c r="V72" s="4"/>
      <c r="W72" s="4"/>
      <c r="X72" s="4"/>
      <c r="Y72" s="2"/>
      <c r="Z72" s="2"/>
      <c r="AA72" s="2"/>
      <c r="AB72" s="2"/>
      <c r="AC72" s="2"/>
      <c r="AD72" s="2"/>
      <c r="AE72" s="2"/>
      <c r="AF72" s="2"/>
    </row>
    <row r="73" spans="1:32" s="1" customFormat="1" x14ac:dyDescent="0.2">
      <c r="A73" s="2" t="s">
        <v>38</v>
      </c>
      <c r="B73" s="4">
        <f>+Support!$E$6*[29]Sheet1!$B$12</f>
        <v>33.019756000000001</v>
      </c>
      <c r="C73" s="4">
        <f>+Support!$E$6*[29]Sheet1!$B$14</f>
        <v>2.5767279999999997</v>
      </c>
      <c r="D73" s="4">
        <f>+Support!$E$6*[29]Sheet1!$B$13</f>
        <v>20.809249999999999</v>
      </c>
      <c r="E73" s="4">
        <f>+Support!$E$6*[29]Sheet1!$B$23</f>
        <v>0.73827600000000004</v>
      </c>
      <c r="F73" s="4">
        <f>+Support!$E$6*[29]Sheet1!$B$24</f>
        <v>1.6068359999999999</v>
      </c>
      <c r="G73" s="4">
        <f>+Support!$E$6*[29]Sheet1!$B$16</f>
        <v>1.903594</v>
      </c>
      <c r="H73" s="4">
        <f>+Support!$E$6*[29]Sheet1!$B$17</f>
        <v>0.77446599999999988</v>
      </c>
      <c r="I73" s="4">
        <f>+Support!$E$6*[29]Sheet1!$B$18</f>
        <v>0.77446599999999988</v>
      </c>
      <c r="J73" s="4">
        <f>+Support!$E$6*[29]Sheet1!$B$19</f>
        <v>0</v>
      </c>
      <c r="K73" s="4">
        <f>+Support!$E$6*[29]Sheet1!$B$20</f>
        <v>0.18095</v>
      </c>
      <c r="L73" s="4">
        <v>0</v>
      </c>
      <c r="M73" s="4">
        <f>+Support!$E$6*[29]Sheet1!$B$21</f>
        <v>5.9279219999999997</v>
      </c>
      <c r="N73" s="4">
        <f>+Support!$E$6*[29]Sheet1!$B$25</f>
        <v>0.21714</v>
      </c>
      <c r="O73" s="4">
        <f>+Support!$E$6*[29]Sheet1!$B$26</f>
        <v>3.6913799999999997</v>
      </c>
      <c r="P73" s="4">
        <f>+Support!$E$6*[29]Sheet1!$B$27</f>
        <v>0.18818799999999997</v>
      </c>
      <c r="Q73" s="4">
        <v>0</v>
      </c>
      <c r="R73" s="4">
        <f t="shared" si="18"/>
        <v>72.408951999999985</v>
      </c>
      <c r="S73" s="4"/>
      <c r="T73" s="4"/>
      <c r="U73" s="4"/>
      <c r="V73" s="4"/>
      <c r="W73" s="4"/>
      <c r="X73" s="4"/>
      <c r="Y73" s="2"/>
      <c r="Z73" s="2"/>
      <c r="AA73" s="2"/>
      <c r="AB73" s="2"/>
      <c r="AC73" s="2"/>
      <c r="AD73" s="2"/>
      <c r="AE73" s="2"/>
      <c r="AF73" s="2"/>
    </row>
    <row r="74" spans="1:32" s="1" customFormat="1" x14ac:dyDescent="0.2">
      <c r="A74" s="2" t="s">
        <v>39</v>
      </c>
      <c r="B74" s="4">
        <f>+Support!$F$6*[30]Sheet1!$B$12</f>
        <v>0</v>
      </c>
      <c r="C74" s="4">
        <f>+Support!$F$6*[30]Sheet1!$B$14</f>
        <v>37.51587</v>
      </c>
      <c r="D74" s="4">
        <f>+Support!$F$6*[30]Sheet1!$B$13</f>
        <v>13.956179999999998</v>
      </c>
      <c r="E74" s="4">
        <f>+Support!$F$6*[30]Sheet1!$B$23</f>
        <v>0.70471799999999996</v>
      </c>
      <c r="F74" s="4">
        <f>+Support!$F$6*[30]Sheet1!$B$24</f>
        <v>1.5337979999999998</v>
      </c>
      <c r="G74" s="4">
        <f>+Support!$F$6*[30]Sheet1!$B$16</f>
        <v>1.8861569999999999</v>
      </c>
      <c r="H74" s="4">
        <f>+Support!$F$6*[30]Sheet1!$B$17</f>
        <v>0.73926299999999989</v>
      </c>
      <c r="I74" s="4">
        <f>+Support!$F$6*[30]Sheet1!$B$18</f>
        <v>0.73926299999999989</v>
      </c>
      <c r="J74" s="4">
        <f>+Support!$F$6*[30]Sheet1!$B$19</f>
        <v>0.33854099999999993</v>
      </c>
      <c r="K74" s="4">
        <v>0</v>
      </c>
      <c r="L74" s="4">
        <f>+Support!$F$6*[30]Sheet1!$B$20</f>
        <v>0.27635999999999994</v>
      </c>
      <c r="M74" s="4">
        <f>+Support!$F$6*[30]Sheet1!$B$21</f>
        <v>5.6584709999999996</v>
      </c>
      <c r="N74" s="4">
        <f>+Support!$F$6*[30]Sheet1!$B$25</f>
        <v>0.20726999999999998</v>
      </c>
      <c r="O74" s="4">
        <f>+Support!$F$6*[30]Sheet1!$B$26</f>
        <v>5.3337479999999999</v>
      </c>
      <c r="P74" s="4">
        <f>+Support!$F$6*[30]Sheet1!$B$27</f>
        <v>0.17963399999999996</v>
      </c>
      <c r="Q74" s="4">
        <v>0</v>
      </c>
      <c r="R74" s="4">
        <f t="shared" si="18"/>
        <v>69.069272999999981</v>
      </c>
      <c r="S74" s="4"/>
      <c r="T74" s="4"/>
      <c r="U74" s="4"/>
      <c r="V74" s="4"/>
      <c r="W74" s="4"/>
      <c r="X74" s="4"/>
      <c r="Y74" s="2"/>
      <c r="Z74" s="2"/>
      <c r="AA74" s="2"/>
      <c r="AB74" s="2"/>
      <c r="AC74" s="2"/>
      <c r="AD74" s="2"/>
      <c r="AE74" s="2"/>
      <c r="AF74" s="2"/>
    </row>
    <row r="75" spans="1:32" s="1" customFormat="1" x14ac:dyDescent="0.2">
      <c r="A75" s="2" t="s">
        <v>40</v>
      </c>
      <c r="B75" s="4">
        <f>+Support!$G$6*'[31]Pioneer Price'!$B$12</f>
        <v>0</v>
      </c>
      <c r="C75" s="4">
        <f>+Support!$G$6*'[31]Pioneer Price'!$B$14</f>
        <v>41.088809999999995</v>
      </c>
      <c r="D75" s="4">
        <f>+Support!$G$6*'[31]Pioneer Price'!$B$13</f>
        <v>15.308040999999998</v>
      </c>
      <c r="E75" s="4">
        <f>+Support!$G$6*'[31]Pioneer Price'!$B$23</f>
        <v>0.77183399999999991</v>
      </c>
      <c r="F75" s="4">
        <f>+Support!$G$6*'[31]Pioneer Price'!$B$24</f>
        <v>1.6798739999999999</v>
      </c>
      <c r="G75" s="4">
        <f>+Support!$G$6*'[31]Pioneer Price'!$B$16</f>
        <v>2.0657909999999999</v>
      </c>
      <c r="H75" s="4">
        <f>+Support!$G$6*'[31]Pioneer Price'!$B$17</f>
        <v>0.80966899999999986</v>
      </c>
      <c r="I75" s="4">
        <f>+Support!$G$6*'[31]Pioneer Price'!$B$18</f>
        <v>0.80966899999999986</v>
      </c>
      <c r="J75" s="4">
        <f>+Support!$G$6*'[31]Pioneer Price'!$B$19</f>
        <v>0.37078299999999992</v>
      </c>
      <c r="K75" s="4">
        <v>0</v>
      </c>
      <c r="L75" s="4">
        <f>+Support!$G$6*'[31]Pioneer Price'!$B$20</f>
        <v>0.30267999999999995</v>
      </c>
      <c r="M75" s="4">
        <f>+Support!$G$6*'[31]Pioneer Price'!$B$21</f>
        <v>6.1973729999999989</v>
      </c>
      <c r="N75" s="4">
        <f>+Support!$G$6*'[31]Pioneer Price'!$B$25</f>
        <v>0.22700999999999996</v>
      </c>
      <c r="O75" s="4">
        <f>+Support!$G$6*'[31]Pioneer Price'!$B$26</f>
        <v>5.8417239999999993</v>
      </c>
      <c r="P75" s="4">
        <f>+Support!$G$6*'[31]Pioneer Price'!$B$27</f>
        <v>0.19674199999999994</v>
      </c>
      <c r="Q75" s="4">
        <v>0</v>
      </c>
      <c r="R75" s="4">
        <f t="shared" si="18"/>
        <v>75.669999999999987</v>
      </c>
      <c r="S75" s="4"/>
      <c r="T75" s="4"/>
      <c r="U75" s="4"/>
      <c r="V75" s="4"/>
      <c r="W75" s="4"/>
      <c r="X75" s="4"/>
      <c r="Y75" s="2"/>
      <c r="Z75" s="2"/>
      <c r="AA75" s="2"/>
      <c r="AB75" s="2"/>
      <c r="AC75" s="2"/>
      <c r="AD75" s="2"/>
      <c r="AE75" s="2"/>
      <c r="AF75" s="2"/>
    </row>
    <row r="76" spans="1:32" s="1" customFormat="1" x14ac:dyDescent="0.2">
      <c r="A76" s="2" t="s">
        <v>41</v>
      </c>
      <c r="B76" s="4">
        <f>+Support!$H$6*'[32]Pioneer Price'!$B$12</f>
        <v>0</v>
      </c>
      <c r="C76" s="4">
        <f>+Support!$H$6*'[32]Pioneer Price'!$B$14</f>
        <v>37.51587</v>
      </c>
      <c r="D76" s="4">
        <f>+Support!$H$6*'[32]Pioneer Price'!$B$13</f>
        <v>13.976906999999999</v>
      </c>
      <c r="E76" s="4">
        <f>+Support!$H$6*'[32]Pioneer Price'!$B$23</f>
        <v>0.70471799999999996</v>
      </c>
      <c r="F76" s="4">
        <f>+Support!$H$6*'[32]Pioneer Price'!$B$24</f>
        <v>1.5337979999999998</v>
      </c>
      <c r="G76" s="4">
        <f>+Support!$H$6*'[32]Pioneer Price'!$B$16</f>
        <v>1.8861569999999999</v>
      </c>
      <c r="H76" s="4">
        <f>+Support!$H$6*'[32]Pioneer Price'!$B$17</f>
        <v>0.73926299999999989</v>
      </c>
      <c r="I76" s="4">
        <f>+Support!$H$6*'[32]Pioneer Price'!$B$18</f>
        <v>0.73926299999999989</v>
      </c>
      <c r="J76" s="4">
        <f>+Support!$H$6*'[32]Pioneer Price'!$B$19</f>
        <v>0.33854099999999993</v>
      </c>
      <c r="K76" s="4">
        <v>0</v>
      </c>
      <c r="L76" s="4">
        <f>+Support!$H$6*'[32]Pioneer Price'!$B$20</f>
        <v>0.27635999999999994</v>
      </c>
      <c r="M76" s="4">
        <f>+Support!$H$6*'[32]Pioneer Price'!$B$21</f>
        <v>5.6584709999999996</v>
      </c>
      <c r="N76" s="4">
        <f>+Support!$H$6*'[32]Pioneer Price'!$B$25</f>
        <v>0.20726999999999998</v>
      </c>
      <c r="O76" s="4">
        <f>+Support!$H$6*'[32]Pioneer Price'!$B$26</f>
        <v>5.3337479999999999</v>
      </c>
      <c r="P76" s="4">
        <f>+Support!$H$6*'[32]Pioneer Price'!$B$27</f>
        <v>0.17963399999999996</v>
      </c>
      <c r="Q76" s="4">
        <v>0</v>
      </c>
      <c r="R76" s="4">
        <f t="shared" si="18"/>
        <v>69.089999999999975</v>
      </c>
      <c r="S76" s="4"/>
      <c r="T76" s="4"/>
      <c r="U76" s="4"/>
      <c r="V76" s="4"/>
      <c r="W76" s="4"/>
      <c r="X76" s="4"/>
      <c r="Y76" s="2"/>
      <c r="Z76" s="2"/>
      <c r="AA76" s="2"/>
      <c r="AB76" s="2"/>
      <c r="AC76" s="2"/>
      <c r="AD76" s="2"/>
      <c r="AE76" s="2"/>
      <c r="AF76" s="2"/>
    </row>
    <row r="77" spans="1:32" s="1" customFormat="1" x14ac:dyDescent="0.2">
      <c r="A77" s="5" t="s">
        <v>22</v>
      </c>
      <c r="B77" s="7">
        <f t="shared" ref="B77:Q77" si="19">SUM(B70:B76)</f>
        <v>117.31811</v>
      </c>
      <c r="C77" s="7">
        <f t="shared" si="19"/>
        <v>141.00611000000001</v>
      </c>
      <c r="D77" s="7">
        <f t="shared" si="19"/>
        <v>128.00633300000001</v>
      </c>
      <c r="E77" s="7">
        <f t="shared" si="19"/>
        <v>5.2607099999999996</v>
      </c>
      <c r="F77" s="7">
        <f t="shared" si="19"/>
        <v>11.567639999999997</v>
      </c>
      <c r="G77" s="7">
        <f t="shared" si="19"/>
        <v>13.9496</v>
      </c>
      <c r="H77" s="7">
        <f t="shared" si="19"/>
        <v>5.198199999999999</v>
      </c>
      <c r="I77" s="7">
        <f t="shared" si="19"/>
        <v>5.5436499999999995</v>
      </c>
      <c r="J77" s="7">
        <f t="shared" si="19"/>
        <v>1.3933149999999999</v>
      </c>
      <c r="K77" s="7">
        <f t="shared" si="19"/>
        <v>0.53462500000000002</v>
      </c>
      <c r="L77" s="7">
        <f t="shared" si="19"/>
        <v>0.85539999999999983</v>
      </c>
      <c r="M77" s="7">
        <f t="shared" si="19"/>
        <v>35.02863</v>
      </c>
      <c r="N77" s="7">
        <f t="shared" si="19"/>
        <v>1.2831000000000001</v>
      </c>
      <c r="O77" s="7">
        <f t="shared" si="19"/>
        <v>23.556399999999996</v>
      </c>
      <c r="P77" s="7">
        <f t="shared" si="19"/>
        <v>0.91527799999999981</v>
      </c>
      <c r="Q77" s="7">
        <f t="shared" si="19"/>
        <v>5.4377120000000003</v>
      </c>
      <c r="R77" s="7">
        <f>SUM(R70:R76)</f>
        <v>496.85481299999998</v>
      </c>
      <c r="S77" s="4"/>
      <c r="T77" s="4"/>
      <c r="U77" s="4"/>
      <c r="V77" s="4"/>
      <c r="W77" s="4"/>
      <c r="X77" s="4"/>
      <c r="Y77" s="2"/>
      <c r="Z77" s="2"/>
      <c r="AA77" s="2"/>
      <c r="AB77" s="2"/>
      <c r="AC77" s="2"/>
      <c r="AD77" s="2"/>
      <c r="AE77" s="2"/>
      <c r="AF77" s="2"/>
    </row>
    <row r="79" spans="1:32" x14ac:dyDescent="0.2">
      <c r="A79" s="2" t="s">
        <v>117</v>
      </c>
      <c r="B79" s="16">
        <f t="shared" ref="B79:Q79" si="20">B20</f>
        <v>0.23086293924628001</v>
      </c>
      <c r="C79" s="16">
        <f t="shared" si="20"/>
        <v>0.2897450586152992</v>
      </c>
      <c r="D79" s="16">
        <f t="shared" si="20"/>
        <v>0.25696241270853293</v>
      </c>
      <c r="E79" s="16">
        <f t="shared" si="20"/>
        <v>1.0598767175528837E-2</v>
      </c>
      <c r="F79" s="16">
        <f t="shared" si="20"/>
        <v>2.33116264684489E-2</v>
      </c>
      <c r="G79" s="16">
        <f t="shared" si="20"/>
        <v>2.8123086563387779E-2</v>
      </c>
      <c r="H79" s="16">
        <f t="shared" si="20"/>
        <v>1.045578446646335E-2</v>
      </c>
      <c r="I79" s="16">
        <f t="shared" si="20"/>
        <v>1.1170140409405461E-2</v>
      </c>
      <c r="J79" s="16">
        <f t="shared" si="20"/>
        <v>2.8728852839630024E-3</v>
      </c>
      <c r="K79" s="16">
        <f t="shared" si="20"/>
        <v>1.041219746328317E-3</v>
      </c>
      <c r="L79" s="16">
        <f t="shared" si="20"/>
        <v>1.7620647681803197E-3</v>
      </c>
      <c r="M79" s="16">
        <f t="shared" si="20"/>
        <v>7.0188635018207712E-2</v>
      </c>
      <c r="N79" s="16">
        <f t="shared" si="20"/>
        <v>2.57101227172922E-3</v>
      </c>
      <c r="O79" s="16">
        <f t="shared" si="20"/>
        <v>4.7227345413776108E-2</v>
      </c>
      <c r="P79" s="16">
        <f t="shared" si="20"/>
        <v>1.8192771583079811E-3</v>
      </c>
      <c r="Q79" s="16">
        <f t="shared" si="20"/>
        <v>1.1287744686160846E-2</v>
      </c>
      <c r="R79" s="16">
        <f>SUM(B79:Q79)</f>
        <v>1</v>
      </c>
    </row>
    <row r="81" spans="1:32" s="1" customFormat="1" x14ac:dyDescent="0.2">
      <c r="A81" s="2"/>
      <c r="B81" s="8"/>
      <c r="C81" s="8"/>
      <c r="D81" s="8"/>
      <c r="E81" s="8"/>
      <c r="F81" s="8"/>
      <c r="G81" s="8"/>
      <c r="H81" s="8" t="s">
        <v>6</v>
      </c>
      <c r="I81" s="8"/>
      <c r="J81" s="8" t="s">
        <v>330</v>
      </c>
      <c r="K81" s="8"/>
      <c r="L81" s="8"/>
      <c r="M81" s="8"/>
      <c r="N81" s="8" t="s">
        <v>575</v>
      </c>
      <c r="O81" s="8" t="s">
        <v>581</v>
      </c>
      <c r="P81" s="8" t="s">
        <v>583</v>
      </c>
      <c r="Q81" s="8"/>
      <c r="R81" s="8"/>
      <c r="S81" s="4"/>
      <c r="T81" s="4"/>
      <c r="U81" s="4"/>
      <c r="V81" s="4"/>
      <c r="W81" s="4"/>
      <c r="X81" s="4"/>
      <c r="Y81" s="2"/>
      <c r="Z81" s="2"/>
      <c r="AA81" s="2"/>
      <c r="AB81" s="2"/>
      <c r="AC81" s="2"/>
      <c r="AD81" s="2"/>
      <c r="AE81" s="2"/>
      <c r="AF81" s="2"/>
    </row>
    <row r="82" spans="1:32" s="1" customFormat="1" x14ac:dyDescent="0.2">
      <c r="A82" s="2"/>
      <c r="B82" s="9" t="s">
        <v>14</v>
      </c>
      <c r="C82" s="9" t="s">
        <v>15</v>
      </c>
      <c r="D82" s="9" t="s">
        <v>16</v>
      </c>
      <c r="E82" s="9" t="s">
        <v>18</v>
      </c>
      <c r="F82" s="9" t="s">
        <v>19</v>
      </c>
      <c r="G82" s="9" t="s">
        <v>20</v>
      </c>
      <c r="H82" s="9" t="s">
        <v>21</v>
      </c>
      <c r="I82" s="9" t="s">
        <v>527</v>
      </c>
      <c r="J82" s="9" t="s">
        <v>528</v>
      </c>
      <c r="K82" s="9" t="s">
        <v>572</v>
      </c>
      <c r="L82" s="9" t="s">
        <v>573</v>
      </c>
      <c r="M82" s="9" t="s">
        <v>574</v>
      </c>
      <c r="N82" s="9" t="s">
        <v>576</v>
      </c>
      <c r="O82" s="9" t="s">
        <v>582</v>
      </c>
      <c r="P82" s="9" t="s">
        <v>582</v>
      </c>
      <c r="Q82" s="9" t="s">
        <v>333</v>
      </c>
      <c r="R82" s="9"/>
      <c r="S82" s="4"/>
      <c r="T82" s="4"/>
      <c r="U82" s="4"/>
      <c r="V82" s="4"/>
      <c r="W82" s="4"/>
      <c r="X82" s="4"/>
      <c r="Y82" s="2"/>
      <c r="Z82" s="2"/>
      <c r="AA82" s="2"/>
      <c r="AB82" s="2"/>
      <c r="AC82" s="2"/>
      <c r="AD82" s="2"/>
      <c r="AE82" s="2"/>
      <c r="AF82" s="2"/>
    </row>
    <row r="83" spans="1:32" s="1" customFormat="1" x14ac:dyDescent="0.2">
      <c r="A83" s="5" t="s">
        <v>86</v>
      </c>
      <c r="B83" s="4"/>
      <c r="C83" s="4"/>
      <c r="D83" s="4"/>
      <c r="E83" s="4"/>
      <c r="F83" s="4"/>
      <c r="G83" s="4"/>
      <c r="H83" s="4"/>
      <c r="I83" s="4"/>
      <c r="J83" s="4"/>
      <c r="K83" s="4"/>
      <c r="L83" s="4"/>
      <c r="M83" s="4"/>
      <c r="N83" s="4"/>
      <c r="O83" s="4"/>
      <c r="P83" s="4"/>
      <c r="Q83" s="4"/>
      <c r="R83" s="4"/>
      <c r="S83" s="4"/>
      <c r="T83" s="4"/>
      <c r="U83" s="4"/>
      <c r="V83" s="4"/>
      <c r="W83" s="4"/>
      <c r="X83" s="4"/>
      <c r="Y83" s="2"/>
      <c r="Z83" s="2"/>
      <c r="AA83" s="2"/>
      <c r="AB83" s="2"/>
      <c r="AC83" s="2"/>
      <c r="AD83" s="2"/>
      <c r="AE83" s="2"/>
      <c r="AF83" s="2"/>
    </row>
    <row r="84" spans="1:32" s="1" customFormat="1" x14ac:dyDescent="0.2">
      <c r="A84" s="2" t="str">
        <f t="shared" ref="A84:A90" si="21">+A70</f>
        <v>December 2017</v>
      </c>
      <c r="B84" s="4">
        <f t="shared" ref="B84:B90" si="22">B25</f>
        <v>12.170000000000009</v>
      </c>
      <c r="C84" s="4">
        <f t="shared" ref="C84:N84" si="23">C25</f>
        <v>-67.829999999999984</v>
      </c>
      <c r="D84" s="4">
        <f t="shared" si="23"/>
        <v>67.170000000000016</v>
      </c>
      <c r="E84" s="4">
        <f t="shared" si="23"/>
        <v>1282.17</v>
      </c>
      <c r="F84" s="4">
        <f t="shared" si="23"/>
        <v>82.170000000000016</v>
      </c>
      <c r="G84" s="4">
        <f t="shared" si="23"/>
        <v>17.170000000000009</v>
      </c>
      <c r="H84" s="4">
        <f t="shared" si="23"/>
        <v>202.17000000000002</v>
      </c>
      <c r="I84" s="4">
        <f t="shared" si="23"/>
        <v>532.16999999999996</v>
      </c>
      <c r="J84" s="4">
        <f t="shared" si="23"/>
        <v>-157.82999999999998</v>
      </c>
      <c r="K84" s="4">
        <f t="shared" si="23"/>
        <v>0</v>
      </c>
      <c r="L84" s="4">
        <f t="shared" si="23"/>
        <v>0</v>
      </c>
      <c r="M84" s="4">
        <f t="shared" si="23"/>
        <v>0</v>
      </c>
      <c r="N84" s="4">
        <f t="shared" si="23"/>
        <v>0</v>
      </c>
      <c r="O84" s="4">
        <f t="shared" ref="O84:Q90" si="24">O25</f>
        <v>0</v>
      </c>
      <c r="P84" s="4">
        <f t="shared" si="24"/>
        <v>0</v>
      </c>
      <c r="Q84" s="4">
        <f t="shared" si="24"/>
        <v>-222.82999999999998</v>
      </c>
      <c r="R84" s="4"/>
      <c r="S84" s="4"/>
      <c r="T84" s="4"/>
      <c r="U84" s="4"/>
      <c r="V84" s="4"/>
      <c r="W84" s="4"/>
      <c r="X84" s="4"/>
      <c r="Y84" s="2"/>
      <c r="Z84" s="2"/>
      <c r="AA84" s="2"/>
      <c r="AB84" s="2"/>
      <c r="AC84" s="2"/>
      <c r="AD84" s="2"/>
      <c r="AE84" s="2"/>
      <c r="AF84" s="2"/>
    </row>
    <row r="85" spans="1:32" s="1" customFormat="1" x14ac:dyDescent="0.2">
      <c r="A85" s="2" t="str">
        <f t="shared" si="21"/>
        <v>January 18</v>
      </c>
      <c r="B85" s="4">
        <f t="shared" si="22"/>
        <v>-89.78</v>
      </c>
      <c r="C85" s="4">
        <f t="shared" ref="C85:N85" si="25">C26</f>
        <v>-89.78</v>
      </c>
      <c r="D85" s="4">
        <f t="shared" si="25"/>
        <v>65.22</v>
      </c>
      <c r="E85" s="4">
        <f t="shared" si="25"/>
        <v>1320.22</v>
      </c>
      <c r="F85" s="4">
        <f t="shared" si="25"/>
        <v>102.22</v>
      </c>
      <c r="G85" s="4">
        <f t="shared" si="25"/>
        <v>15.220000000000006</v>
      </c>
      <c r="H85" s="4">
        <f t="shared" si="25"/>
        <v>190.22</v>
      </c>
      <c r="I85" s="4">
        <f t="shared" si="25"/>
        <v>560.22</v>
      </c>
      <c r="J85" s="4">
        <f t="shared" si="25"/>
        <v>-159.78</v>
      </c>
      <c r="K85" s="4">
        <f t="shared" si="25"/>
        <v>-19.78</v>
      </c>
      <c r="L85" s="4">
        <f t="shared" si="25"/>
        <v>0</v>
      </c>
      <c r="M85" s="4">
        <f t="shared" si="25"/>
        <v>-120.78</v>
      </c>
      <c r="N85" s="4">
        <f t="shared" si="25"/>
        <v>0.22000000000000597</v>
      </c>
      <c r="O85" s="4">
        <f t="shared" si="24"/>
        <v>0</v>
      </c>
      <c r="P85" s="4">
        <f t="shared" si="24"/>
        <v>0</v>
      </c>
      <c r="Q85" s="4">
        <f t="shared" si="24"/>
        <v>-237.15999999999997</v>
      </c>
      <c r="R85" s="4"/>
      <c r="S85" s="4"/>
      <c r="T85" s="4"/>
      <c r="U85" s="4"/>
      <c r="V85" s="4"/>
      <c r="W85" s="4"/>
      <c r="X85" s="4"/>
      <c r="Y85" s="2"/>
      <c r="Z85" s="2"/>
      <c r="AA85" s="2"/>
      <c r="AB85" s="2"/>
      <c r="AC85" s="2"/>
      <c r="AD85" s="2"/>
      <c r="AE85" s="2"/>
      <c r="AF85" s="2"/>
    </row>
    <row r="86" spans="1:32" s="1" customFormat="1" x14ac:dyDescent="0.2">
      <c r="A86" s="2" t="str">
        <f t="shared" si="21"/>
        <v>February</v>
      </c>
      <c r="B86" s="4">
        <f t="shared" si="22"/>
        <v>-89.78</v>
      </c>
      <c r="C86" s="4">
        <f t="shared" ref="C86:N86" si="26">C27</f>
        <v>-89.78</v>
      </c>
      <c r="D86" s="4">
        <f t="shared" si="26"/>
        <v>10.220000000000006</v>
      </c>
      <c r="E86" s="4">
        <f t="shared" si="26"/>
        <v>1320.22</v>
      </c>
      <c r="F86" s="4">
        <f t="shared" si="26"/>
        <v>97.22</v>
      </c>
      <c r="G86" s="4">
        <f t="shared" si="26"/>
        <v>25.220000000000006</v>
      </c>
      <c r="H86" s="4">
        <f t="shared" si="26"/>
        <v>240.22</v>
      </c>
      <c r="I86" s="4">
        <f t="shared" si="26"/>
        <v>540.22</v>
      </c>
      <c r="J86" s="4">
        <f t="shared" si="26"/>
        <v>-159.78</v>
      </c>
      <c r="K86" s="4">
        <f t="shared" si="26"/>
        <v>-19.78</v>
      </c>
      <c r="L86" s="4">
        <f t="shared" si="26"/>
        <v>0</v>
      </c>
      <c r="M86" s="4">
        <f t="shared" si="26"/>
        <v>-120.78</v>
      </c>
      <c r="N86" s="4">
        <f t="shared" si="26"/>
        <v>0.22000000000000597</v>
      </c>
      <c r="O86" s="4">
        <f t="shared" si="24"/>
        <v>-125.4</v>
      </c>
      <c r="P86" s="4">
        <f t="shared" si="24"/>
        <v>-237.15999999999997</v>
      </c>
      <c r="Q86" s="4">
        <f t="shared" si="24"/>
        <v>0</v>
      </c>
      <c r="R86" s="4"/>
      <c r="S86" s="4"/>
      <c r="T86" s="4"/>
      <c r="U86" s="4"/>
      <c r="V86" s="4"/>
      <c r="W86" s="4"/>
      <c r="X86" s="4"/>
      <c r="Y86" s="2"/>
      <c r="Z86" s="2"/>
      <c r="AA86" s="2"/>
      <c r="AB86" s="2"/>
      <c r="AC86" s="2"/>
      <c r="AD86" s="2"/>
      <c r="AE86" s="2"/>
      <c r="AF86" s="2"/>
    </row>
    <row r="87" spans="1:32" s="1" customFormat="1" x14ac:dyDescent="0.2">
      <c r="A87" s="2" t="str">
        <f t="shared" si="21"/>
        <v>March</v>
      </c>
      <c r="B87" s="4">
        <f t="shared" si="22"/>
        <v>-142.78</v>
      </c>
      <c r="C87" s="4">
        <f t="shared" ref="C87:N87" si="27">C28</f>
        <v>-142.78</v>
      </c>
      <c r="D87" s="4">
        <f t="shared" si="27"/>
        <v>-46.779999999999994</v>
      </c>
      <c r="E87" s="4">
        <f t="shared" si="27"/>
        <v>1305.22</v>
      </c>
      <c r="F87" s="4">
        <f t="shared" si="27"/>
        <v>62.220000000000006</v>
      </c>
      <c r="G87" s="4">
        <f t="shared" si="27"/>
        <v>35.220000000000006</v>
      </c>
      <c r="H87" s="4">
        <f t="shared" si="27"/>
        <v>215.22</v>
      </c>
      <c r="I87" s="4">
        <f t="shared" si="27"/>
        <v>535.22</v>
      </c>
      <c r="J87" s="4">
        <f t="shared" si="27"/>
        <v>-204.78</v>
      </c>
      <c r="K87" s="4">
        <f t="shared" si="27"/>
        <v>-64.78</v>
      </c>
      <c r="L87" s="4">
        <f t="shared" si="27"/>
        <v>0</v>
      </c>
      <c r="M87" s="4">
        <f t="shared" si="27"/>
        <v>-165.78</v>
      </c>
      <c r="N87" s="4">
        <f t="shared" si="27"/>
        <v>-44.779999999999994</v>
      </c>
      <c r="O87" s="4">
        <f t="shared" si="24"/>
        <v>-170.4</v>
      </c>
      <c r="P87" s="4">
        <f t="shared" si="24"/>
        <v>-282.15999999999997</v>
      </c>
      <c r="Q87" s="4">
        <f t="shared" si="24"/>
        <v>0</v>
      </c>
      <c r="R87" s="4"/>
      <c r="S87" s="4"/>
      <c r="T87" s="4"/>
      <c r="U87" s="4"/>
      <c r="V87" s="4"/>
      <c r="W87" s="4"/>
      <c r="X87" s="4"/>
      <c r="Y87" s="2"/>
      <c r="Z87" s="2"/>
      <c r="AA87" s="2"/>
      <c r="AB87" s="2"/>
      <c r="AC87" s="2"/>
      <c r="AD87" s="2"/>
      <c r="AE87" s="2"/>
      <c r="AF87" s="2"/>
    </row>
    <row r="88" spans="1:32" s="1" customFormat="1" x14ac:dyDescent="0.2">
      <c r="A88" s="2" t="str">
        <f t="shared" si="21"/>
        <v>April</v>
      </c>
      <c r="B88" s="4">
        <f t="shared" si="22"/>
        <v>-147.78</v>
      </c>
      <c r="C88" s="4">
        <f t="shared" ref="C88:N88" si="28">C29</f>
        <v>-147.78</v>
      </c>
      <c r="D88" s="4">
        <f t="shared" si="28"/>
        <v>-54.779999999999994</v>
      </c>
      <c r="E88" s="4">
        <f t="shared" si="28"/>
        <v>1305.22</v>
      </c>
      <c r="F88" s="4">
        <f t="shared" si="28"/>
        <v>72.22</v>
      </c>
      <c r="G88" s="4">
        <f t="shared" si="28"/>
        <v>45.220000000000006</v>
      </c>
      <c r="H88" s="4">
        <f t="shared" si="28"/>
        <v>245.22000000000003</v>
      </c>
      <c r="I88" s="4">
        <f t="shared" si="28"/>
        <v>555.22</v>
      </c>
      <c r="J88" s="4">
        <f t="shared" si="28"/>
        <v>-204.78</v>
      </c>
      <c r="K88" s="4">
        <f t="shared" si="28"/>
        <v>0</v>
      </c>
      <c r="L88" s="4">
        <f t="shared" si="28"/>
        <v>-44.779999999999994</v>
      </c>
      <c r="M88" s="4">
        <f t="shared" si="28"/>
        <v>-169.88</v>
      </c>
      <c r="N88" s="4">
        <f t="shared" si="28"/>
        <v>-44.779999999999994</v>
      </c>
      <c r="O88" s="4">
        <f t="shared" si="24"/>
        <v>-170.4</v>
      </c>
      <c r="P88" s="4">
        <f t="shared" si="24"/>
        <v>-282.15999999999997</v>
      </c>
      <c r="Q88" s="4">
        <f t="shared" si="24"/>
        <v>0</v>
      </c>
      <c r="R88" s="4"/>
      <c r="S88" s="4"/>
      <c r="T88" s="4"/>
      <c r="U88" s="4"/>
      <c r="V88" s="4"/>
      <c r="W88" s="4"/>
      <c r="X88" s="4"/>
      <c r="Y88" s="2"/>
      <c r="Z88" s="2"/>
      <c r="AA88" s="2"/>
      <c r="AB88" s="2"/>
      <c r="AC88" s="2"/>
      <c r="AD88" s="2"/>
      <c r="AE88" s="2"/>
      <c r="AF88" s="2"/>
    </row>
    <row r="89" spans="1:32" s="1" customFormat="1" x14ac:dyDescent="0.2">
      <c r="A89" s="2" t="str">
        <f t="shared" si="21"/>
        <v>May</v>
      </c>
      <c r="B89" s="4">
        <f t="shared" si="22"/>
        <v>-144.78</v>
      </c>
      <c r="C89" s="4">
        <f t="shared" ref="C89:N89" si="29">C30</f>
        <v>-144.78</v>
      </c>
      <c r="D89" s="4">
        <f t="shared" si="29"/>
        <v>-54.779999999999994</v>
      </c>
      <c r="E89" s="4">
        <f t="shared" si="29"/>
        <v>1340.22</v>
      </c>
      <c r="F89" s="4">
        <f t="shared" si="29"/>
        <v>62.220000000000006</v>
      </c>
      <c r="G89" s="4">
        <f t="shared" si="29"/>
        <v>55.220000000000006</v>
      </c>
      <c r="H89" s="4">
        <f t="shared" si="29"/>
        <v>175.22</v>
      </c>
      <c r="I89" s="4">
        <f t="shared" si="29"/>
        <v>545.22</v>
      </c>
      <c r="J89" s="4">
        <f t="shared" si="29"/>
        <v>-174.78</v>
      </c>
      <c r="K89" s="4">
        <f t="shared" si="29"/>
        <v>0</v>
      </c>
      <c r="L89" s="4">
        <f t="shared" si="29"/>
        <v>-34.779999999999994</v>
      </c>
      <c r="M89" s="4">
        <f t="shared" si="29"/>
        <v>-169.88</v>
      </c>
      <c r="N89" s="4">
        <f t="shared" si="29"/>
        <v>-44.779999999999994</v>
      </c>
      <c r="O89" s="4">
        <f t="shared" si="24"/>
        <v>-170.4</v>
      </c>
      <c r="P89" s="4">
        <f t="shared" si="24"/>
        <v>-282.15999999999997</v>
      </c>
      <c r="Q89" s="4">
        <f t="shared" si="24"/>
        <v>0</v>
      </c>
      <c r="R89" s="4"/>
      <c r="S89" s="4"/>
      <c r="T89" s="4"/>
      <c r="U89" s="4"/>
      <c r="V89" s="4"/>
      <c r="W89" s="4"/>
      <c r="X89" s="4"/>
      <c r="Y89" s="2"/>
      <c r="Z89" s="2"/>
      <c r="AA89" s="2"/>
      <c r="AB89" s="2"/>
      <c r="AC89" s="2"/>
      <c r="AD89" s="2"/>
      <c r="AE89" s="2"/>
      <c r="AF89" s="2"/>
    </row>
    <row r="90" spans="1:32" s="1" customFormat="1" x14ac:dyDescent="0.2">
      <c r="A90" s="2" t="str">
        <f t="shared" si="21"/>
        <v>June</v>
      </c>
      <c r="B90" s="4">
        <f t="shared" si="22"/>
        <v>-134.78</v>
      </c>
      <c r="C90" s="4">
        <f t="shared" ref="C90:N90" si="30">C31</f>
        <v>-134.78</v>
      </c>
      <c r="D90" s="4">
        <f t="shared" si="30"/>
        <v>-47.779999999999994</v>
      </c>
      <c r="E90" s="4">
        <f t="shared" si="30"/>
        <v>1475.22</v>
      </c>
      <c r="F90" s="4">
        <f t="shared" si="30"/>
        <v>57.220000000000006</v>
      </c>
      <c r="G90" s="4">
        <f t="shared" si="30"/>
        <v>95.22</v>
      </c>
      <c r="H90" s="4">
        <f t="shared" si="30"/>
        <v>205.22</v>
      </c>
      <c r="I90" s="4">
        <f t="shared" si="30"/>
        <v>605.22</v>
      </c>
      <c r="J90" s="4">
        <f t="shared" si="30"/>
        <v>-174.78</v>
      </c>
      <c r="K90" s="4">
        <f t="shared" si="30"/>
        <v>0</v>
      </c>
      <c r="L90" s="4">
        <f t="shared" si="30"/>
        <v>-4.779999999999994</v>
      </c>
      <c r="M90" s="4">
        <f t="shared" si="30"/>
        <v>-169.88</v>
      </c>
      <c r="N90" s="4">
        <f t="shared" si="30"/>
        <v>-24.779999999999994</v>
      </c>
      <c r="O90" s="4">
        <f t="shared" si="24"/>
        <v>-170.4</v>
      </c>
      <c r="P90" s="4">
        <f t="shared" si="24"/>
        <v>-282.15999999999997</v>
      </c>
      <c r="Q90" s="4">
        <f t="shared" si="24"/>
        <v>0</v>
      </c>
      <c r="R90" s="4"/>
      <c r="S90" s="4"/>
      <c r="T90" s="4"/>
      <c r="U90" s="4"/>
      <c r="V90" s="4"/>
      <c r="W90" s="4"/>
      <c r="X90" s="4"/>
      <c r="Y90" s="2"/>
      <c r="Z90" s="2"/>
      <c r="AA90" s="2"/>
      <c r="AB90" s="2"/>
      <c r="AC90" s="2"/>
      <c r="AD90" s="2"/>
      <c r="AE90" s="2"/>
      <c r="AF90" s="2"/>
    </row>
    <row r="92" spans="1:32" s="1" customFormat="1" x14ac:dyDescent="0.2">
      <c r="A92" s="2"/>
      <c r="B92" s="8"/>
      <c r="C92" s="8"/>
      <c r="D92" s="8"/>
      <c r="E92" s="8"/>
      <c r="F92" s="8"/>
      <c r="G92" s="8"/>
      <c r="H92" s="8" t="s">
        <v>6</v>
      </c>
      <c r="I92" s="8"/>
      <c r="J92" s="8" t="s">
        <v>330</v>
      </c>
      <c r="K92" s="8"/>
      <c r="L92" s="8"/>
      <c r="M92" s="8"/>
      <c r="N92" s="8" t="s">
        <v>575</v>
      </c>
      <c r="O92" s="8" t="s">
        <v>581</v>
      </c>
      <c r="P92" s="8" t="s">
        <v>583</v>
      </c>
      <c r="Q92" s="8"/>
      <c r="R92" s="8"/>
      <c r="S92" s="4"/>
      <c r="T92" s="4"/>
      <c r="U92" s="4"/>
      <c r="V92" s="4"/>
      <c r="W92" s="4"/>
      <c r="X92" s="4"/>
      <c r="Y92" s="2"/>
      <c r="Z92" s="2"/>
      <c r="AA92" s="2"/>
      <c r="AB92" s="2"/>
      <c r="AC92" s="2"/>
      <c r="AD92" s="2"/>
      <c r="AE92" s="2"/>
      <c r="AF92" s="2"/>
    </row>
    <row r="93" spans="1:32" s="1" customFormat="1" x14ac:dyDescent="0.2">
      <c r="A93" s="2"/>
      <c r="B93" s="9" t="s">
        <v>14</v>
      </c>
      <c r="C93" s="9" t="s">
        <v>15</v>
      </c>
      <c r="D93" s="9" t="s">
        <v>16</v>
      </c>
      <c r="E93" s="9" t="s">
        <v>18</v>
      </c>
      <c r="F93" s="9" t="s">
        <v>19</v>
      </c>
      <c r="G93" s="9" t="s">
        <v>20</v>
      </c>
      <c r="H93" s="9" t="s">
        <v>21</v>
      </c>
      <c r="I93" s="9" t="s">
        <v>527</v>
      </c>
      <c r="J93" s="9" t="s">
        <v>528</v>
      </c>
      <c r="K93" s="9" t="s">
        <v>572</v>
      </c>
      <c r="L93" s="9" t="s">
        <v>573</v>
      </c>
      <c r="M93" s="9" t="s">
        <v>574</v>
      </c>
      <c r="N93" s="9" t="s">
        <v>576</v>
      </c>
      <c r="O93" s="9" t="s">
        <v>582</v>
      </c>
      <c r="P93" s="9" t="s">
        <v>582</v>
      </c>
      <c r="Q93" s="9" t="s">
        <v>333</v>
      </c>
      <c r="R93" s="9" t="s">
        <v>84</v>
      </c>
      <c r="S93" s="4"/>
      <c r="T93" s="4"/>
      <c r="U93" s="4"/>
      <c r="V93" s="4"/>
      <c r="W93" s="4"/>
      <c r="X93" s="4"/>
      <c r="Y93" s="2"/>
      <c r="Z93" s="2"/>
      <c r="AA93" s="2"/>
      <c r="AB93" s="2"/>
      <c r="AC93" s="2"/>
      <c r="AD93" s="2"/>
      <c r="AE93" s="2"/>
      <c r="AF93" s="2"/>
    </row>
    <row r="94" spans="1:32" s="1" customFormat="1" x14ac:dyDescent="0.2">
      <c r="A94" s="5" t="s">
        <v>24</v>
      </c>
      <c r="B94" s="4"/>
      <c r="C94" s="4"/>
      <c r="D94" s="4"/>
      <c r="E94" s="4"/>
      <c r="F94" s="4"/>
      <c r="G94" s="4"/>
      <c r="H94" s="4"/>
      <c r="I94" s="4"/>
      <c r="J94" s="4"/>
      <c r="K94" s="4"/>
      <c r="L94" s="4"/>
      <c r="M94" s="4"/>
      <c r="N94" s="4"/>
      <c r="O94" s="4"/>
      <c r="P94" s="4"/>
      <c r="Q94" s="4"/>
      <c r="R94" s="4"/>
      <c r="S94" s="4"/>
      <c r="T94" s="4"/>
      <c r="U94" s="4"/>
      <c r="V94" s="4"/>
      <c r="W94" s="4"/>
      <c r="X94" s="4"/>
      <c r="Y94" s="2"/>
      <c r="Z94" s="2"/>
      <c r="AA94" s="2"/>
      <c r="AB94" s="2"/>
      <c r="AC94" s="2"/>
      <c r="AD94" s="2"/>
      <c r="AE94" s="2"/>
      <c r="AF94" s="2"/>
    </row>
    <row r="95" spans="1:32" s="1" customFormat="1" x14ac:dyDescent="0.2">
      <c r="A95" s="2" t="str">
        <f t="shared" ref="A95:A100" si="31">+A84</f>
        <v>December 2017</v>
      </c>
      <c r="B95" s="4">
        <f t="shared" ref="B95:Q95" si="32">B70*B84</f>
        <v>240.47603580000018</v>
      </c>
      <c r="C95" s="4">
        <f t="shared" si="32"/>
        <v>-1171.5936749999998</v>
      </c>
      <c r="D95" s="4">
        <f t="shared" si="32"/>
        <v>1563.9412761000006</v>
      </c>
      <c r="E95" s="4">
        <f t="shared" si="32"/>
        <v>1151.6066289</v>
      </c>
      <c r="F95" s="4">
        <f t="shared" si="32"/>
        <v>170.31375900000006</v>
      </c>
      <c r="G95" s="4">
        <f t="shared" si="32"/>
        <v>42.705910800000019</v>
      </c>
      <c r="H95" s="4">
        <f t="shared" si="32"/>
        <v>125.7113277</v>
      </c>
      <c r="I95" s="4">
        <f t="shared" si="32"/>
        <v>514.74675420000005</v>
      </c>
      <c r="J95" s="4">
        <f t="shared" si="32"/>
        <v>-54.5223735</v>
      </c>
      <c r="K95" s="4">
        <f t="shared" si="32"/>
        <v>0</v>
      </c>
      <c r="L95" s="4">
        <f t="shared" si="32"/>
        <v>0</v>
      </c>
      <c r="M95" s="4">
        <f t="shared" si="32"/>
        <v>0</v>
      </c>
      <c r="N95" s="4">
        <f t="shared" si="32"/>
        <v>0</v>
      </c>
      <c r="O95" s="4">
        <f t="shared" si="32"/>
        <v>0</v>
      </c>
      <c r="P95" s="4">
        <f t="shared" si="32"/>
        <v>0</v>
      </c>
      <c r="Q95" s="4">
        <f t="shared" si="32"/>
        <v>-307.90649400000001</v>
      </c>
      <c r="R95" s="4">
        <f t="shared" ref="R95" si="33">SUM(B95:Q95)</f>
        <v>2275.4791500000015</v>
      </c>
      <c r="S95" s="4"/>
      <c r="T95" s="4"/>
      <c r="U95" s="4"/>
      <c r="V95" s="4"/>
      <c r="W95" s="4"/>
      <c r="X95" s="4"/>
      <c r="Y95" s="2"/>
      <c r="Z95" s="2"/>
      <c r="AA95" s="2"/>
      <c r="AB95" s="2"/>
      <c r="AC95" s="2"/>
      <c r="AD95" s="2"/>
      <c r="AE95" s="2"/>
      <c r="AF95" s="2"/>
    </row>
    <row r="96" spans="1:32" s="1" customFormat="1" x14ac:dyDescent="0.2">
      <c r="A96" s="2" t="str">
        <f t="shared" si="31"/>
        <v>January 18</v>
      </c>
      <c r="B96" s="4">
        <f t="shared" ref="B96:Q96" si="34">B71*B85</f>
        <v>-3099.2643161199999</v>
      </c>
      <c r="C96" s="4">
        <f t="shared" si="34"/>
        <v>-241.85403256000001</v>
      </c>
      <c r="D96" s="4">
        <f t="shared" si="34"/>
        <v>1418.8692524999999</v>
      </c>
      <c r="E96" s="4">
        <f t="shared" si="34"/>
        <v>1018.99068348</v>
      </c>
      <c r="F96" s="4">
        <f t="shared" si="34"/>
        <v>171.71672028</v>
      </c>
      <c r="G96" s="4">
        <f t="shared" si="34"/>
        <v>30.289641620000012</v>
      </c>
      <c r="H96" s="4">
        <f t="shared" si="34"/>
        <v>154.01523717999999</v>
      </c>
      <c r="I96" s="4">
        <f t="shared" si="34"/>
        <v>453.59276718000001</v>
      </c>
      <c r="J96" s="4">
        <f t="shared" si="34"/>
        <v>0</v>
      </c>
      <c r="K96" s="4">
        <f t="shared" si="34"/>
        <v>-3.7418815000000003</v>
      </c>
      <c r="L96" s="4">
        <f t="shared" si="34"/>
        <v>0</v>
      </c>
      <c r="M96" s="4">
        <f t="shared" si="34"/>
        <v>-748.51871094000001</v>
      </c>
      <c r="N96" s="4">
        <f t="shared" si="34"/>
        <v>4.9942200000001359E-2</v>
      </c>
      <c r="O96" s="4">
        <f t="shared" si="34"/>
        <v>0</v>
      </c>
      <c r="P96" s="4">
        <f t="shared" si="34"/>
        <v>0</v>
      </c>
      <c r="Q96" s="4">
        <f t="shared" si="34"/>
        <v>-961.90008991999991</v>
      </c>
      <c r="R96" s="4">
        <f t="shared" ref="R96:R101" si="35">SUM(B96:Q96)</f>
        <v>-1807.7547866</v>
      </c>
      <c r="S96" s="4"/>
      <c r="T96" s="4"/>
      <c r="U96" s="4"/>
      <c r="V96" s="4"/>
      <c r="W96" s="4"/>
      <c r="X96" s="4"/>
      <c r="Y96" s="2"/>
      <c r="Z96" s="2"/>
      <c r="AA96" s="2"/>
      <c r="AB96" s="2"/>
      <c r="AC96" s="2"/>
      <c r="AD96" s="2"/>
      <c r="AE96" s="2"/>
      <c r="AF96" s="2"/>
    </row>
    <row r="97" spans="1:16384" s="1" customFormat="1" x14ac:dyDescent="0.2">
      <c r="A97" s="2" t="str">
        <f t="shared" si="31"/>
        <v>February</v>
      </c>
      <c r="B97" s="4">
        <f t="shared" ref="B97:Q97" si="36">B72*B86</f>
        <v>-2695.0124488000001</v>
      </c>
      <c r="C97" s="4">
        <f t="shared" si="36"/>
        <v>-210.30785439999997</v>
      </c>
      <c r="D97" s="4">
        <f t="shared" si="36"/>
        <v>193.33685000000008</v>
      </c>
      <c r="E97" s="4">
        <f t="shared" si="36"/>
        <v>886.07885520000002</v>
      </c>
      <c r="F97" s="4">
        <f t="shared" si="36"/>
        <v>142.01508720000001</v>
      </c>
      <c r="G97" s="4">
        <f t="shared" si="36"/>
        <v>43.644218800000012</v>
      </c>
      <c r="H97" s="4">
        <f t="shared" si="36"/>
        <v>169.12929319999998</v>
      </c>
      <c r="I97" s="4">
        <f t="shared" si="36"/>
        <v>380.34729319999997</v>
      </c>
      <c r="J97" s="4">
        <f t="shared" si="36"/>
        <v>0</v>
      </c>
      <c r="K97" s="4">
        <f t="shared" si="36"/>
        <v>-3.2538100000000005</v>
      </c>
      <c r="L97" s="4">
        <f t="shared" si="36"/>
        <v>0</v>
      </c>
      <c r="M97" s="4">
        <f t="shared" si="36"/>
        <v>-650.88583559999995</v>
      </c>
      <c r="N97" s="4">
        <f t="shared" si="36"/>
        <v>4.3428000000001174E-2</v>
      </c>
      <c r="O97" s="4">
        <f t="shared" si="36"/>
        <v>-420.81731999999994</v>
      </c>
      <c r="P97" s="4">
        <f t="shared" si="36"/>
        <v>-40.573332799999989</v>
      </c>
      <c r="Q97" s="4">
        <f t="shared" si="36"/>
        <v>0</v>
      </c>
      <c r="R97" s="4">
        <f t="shared" si="35"/>
        <v>-2206.2555760000005</v>
      </c>
      <c r="S97" s="4"/>
      <c r="T97" s="4"/>
      <c r="U97" s="4"/>
      <c r="V97" s="4"/>
      <c r="W97" s="4"/>
      <c r="X97" s="4"/>
      <c r="Y97" s="2"/>
      <c r="Z97" s="2"/>
      <c r="AA97" s="2"/>
      <c r="AB97" s="2"/>
      <c r="AC97" s="2"/>
      <c r="AD97" s="2"/>
      <c r="AE97" s="2"/>
      <c r="AF97" s="2"/>
    </row>
    <row r="98" spans="1:16384" s="1" customFormat="1" x14ac:dyDescent="0.2">
      <c r="A98" s="2" t="str">
        <f t="shared" si="31"/>
        <v>March</v>
      </c>
      <c r="B98" s="4">
        <f t="shared" ref="B98:Q98" si="37">B73*B87</f>
        <v>-4714.5607616799998</v>
      </c>
      <c r="C98" s="4">
        <f t="shared" si="37"/>
        <v>-367.90522383999996</v>
      </c>
      <c r="D98" s="4">
        <f t="shared" si="37"/>
        <v>-973.4567149999998</v>
      </c>
      <c r="E98" s="4">
        <f t="shared" si="37"/>
        <v>963.61260072000005</v>
      </c>
      <c r="F98" s="4">
        <f t="shared" si="37"/>
        <v>99.977335920000002</v>
      </c>
      <c r="G98" s="4">
        <f t="shared" si="37"/>
        <v>67.04458068000001</v>
      </c>
      <c r="H98" s="4">
        <f t="shared" si="37"/>
        <v>166.68057251999997</v>
      </c>
      <c r="I98" s="4">
        <f t="shared" si="37"/>
        <v>414.50969251999993</v>
      </c>
      <c r="J98" s="4">
        <f t="shared" si="37"/>
        <v>0</v>
      </c>
      <c r="K98" s="4">
        <f t="shared" si="37"/>
        <v>-11.721941000000001</v>
      </c>
      <c r="L98" s="4">
        <f t="shared" si="37"/>
        <v>0</v>
      </c>
      <c r="M98" s="4">
        <f t="shared" si="37"/>
        <v>-982.73090916000001</v>
      </c>
      <c r="N98" s="4">
        <f t="shared" si="37"/>
        <v>-9.723529199999998</v>
      </c>
      <c r="O98" s="4">
        <f t="shared" si="37"/>
        <v>-629.01115199999992</v>
      </c>
      <c r="P98" s="4">
        <f t="shared" si="37"/>
        <v>-53.099126079999984</v>
      </c>
      <c r="Q98" s="4">
        <f t="shared" si="37"/>
        <v>0</v>
      </c>
      <c r="R98" s="4">
        <f t="shared" si="35"/>
        <v>-6030.3845755999992</v>
      </c>
      <c r="S98" s="4"/>
      <c r="T98" s="4"/>
      <c r="U98" s="4"/>
      <c r="V98" s="4"/>
      <c r="W98" s="4"/>
      <c r="X98" s="4"/>
      <c r="Y98" s="2"/>
      <c r="Z98" s="2"/>
      <c r="AA98" s="2"/>
      <c r="AB98" s="2"/>
      <c r="AC98" s="2"/>
      <c r="AD98" s="2"/>
      <c r="AE98" s="2"/>
      <c r="AF98" s="2"/>
    </row>
    <row r="99" spans="1:16384" s="1" customFormat="1" x14ac:dyDescent="0.2">
      <c r="A99" s="2" t="str">
        <f t="shared" si="31"/>
        <v>April</v>
      </c>
      <c r="B99" s="4">
        <f t="shared" ref="B99:Q99" si="38">B74*B88</f>
        <v>0</v>
      </c>
      <c r="C99" s="4">
        <f t="shared" si="38"/>
        <v>-5544.0952686000001</v>
      </c>
      <c r="D99" s="4">
        <f t="shared" si="38"/>
        <v>-764.51954039999976</v>
      </c>
      <c r="E99" s="4">
        <f t="shared" si="38"/>
        <v>919.81202795999991</v>
      </c>
      <c r="F99" s="4">
        <f t="shared" si="38"/>
        <v>110.77089155999998</v>
      </c>
      <c r="G99" s="4">
        <f t="shared" si="38"/>
        <v>85.292019539999998</v>
      </c>
      <c r="H99" s="4">
        <f t="shared" si="38"/>
        <v>181.28207286</v>
      </c>
      <c r="I99" s="4">
        <f t="shared" si="38"/>
        <v>410.45360285999993</v>
      </c>
      <c r="J99" s="4">
        <f t="shared" si="38"/>
        <v>-69.326425979999982</v>
      </c>
      <c r="K99" s="4">
        <f t="shared" si="38"/>
        <v>0</v>
      </c>
      <c r="L99" s="4">
        <f t="shared" si="38"/>
        <v>-12.375400799999996</v>
      </c>
      <c r="M99" s="4">
        <f t="shared" si="38"/>
        <v>-961.26105347999987</v>
      </c>
      <c r="N99" s="4">
        <f t="shared" si="38"/>
        <v>-9.2815505999999974</v>
      </c>
      <c r="O99" s="4">
        <f t="shared" si="38"/>
        <v>-908.87065919999998</v>
      </c>
      <c r="P99" s="4">
        <f t="shared" si="38"/>
        <v>-50.685529439999982</v>
      </c>
      <c r="Q99" s="4">
        <f t="shared" si="38"/>
        <v>0</v>
      </c>
      <c r="R99" s="4">
        <f t="shared" si="35"/>
        <v>-6612.8048137199994</v>
      </c>
      <c r="S99" s="4"/>
      <c r="T99" s="4"/>
      <c r="U99" s="4"/>
      <c r="V99" s="4"/>
      <c r="W99" s="4"/>
      <c r="X99" s="4"/>
      <c r="Y99" s="2"/>
      <c r="Z99" s="2"/>
      <c r="AA99" s="2"/>
      <c r="AB99" s="2"/>
      <c r="AC99" s="2"/>
      <c r="AD99" s="2"/>
      <c r="AE99" s="2"/>
      <c r="AF99" s="2"/>
    </row>
    <row r="100" spans="1:16384" s="1" customFormat="1" x14ac:dyDescent="0.2">
      <c r="A100" s="2" t="str">
        <f t="shared" si="31"/>
        <v>May</v>
      </c>
      <c r="B100" s="4">
        <f t="shared" ref="B100:Q100" si="39">B75*B89</f>
        <v>0</v>
      </c>
      <c r="C100" s="4">
        <f t="shared" si="39"/>
        <v>-5948.8379117999993</v>
      </c>
      <c r="D100" s="4">
        <f t="shared" si="39"/>
        <v>-838.57448597999974</v>
      </c>
      <c r="E100" s="4">
        <f t="shared" si="39"/>
        <v>1034.4273634799999</v>
      </c>
      <c r="F100" s="4">
        <f t="shared" si="39"/>
        <v>104.52176028</v>
      </c>
      <c r="G100" s="4">
        <f t="shared" si="39"/>
        <v>114.07297902000001</v>
      </c>
      <c r="H100" s="4">
        <f t="shared" si="39"/>
        <v>141.87020217999998</v>
      </c>
      <c r="I100" s="4">
        <f t="shared" si="39"/>
        <v>441.44773217999995</v>
      </c>
      <c r="J100" s="4">
        <f t="shared" si="39"/>
        <v>-64.805452739999993</v>
      </c>
      <c r="K100" s="4">
        <f t="shared" si="39"/>
        <v>0</v>
      </c>
      <c r="L100" s="4">
        <f t="shared" si="39"/>
        <v>-10.527210399999996</v>
      </c>
      <c r="M100" s="4">
        <f t="shared" si="39"/>
        <v>-1052.8097252399998</v>
      </c>
      <c r="N100" s="4">
        <f t="shared" si="39"/>
        <v>-10.165507799999997</v>
      </c>
      <c r="O100" s="4">
        <f t="shared" si="39"/>
        <v>-995.42976959999987</v>
      </c>
      <c r="P100" s="4">
        <f t="shared" si="39"/>
        <v>-55.512722719999978</v>
      </c>
      <c r="Q100" s="4">
        <f t="shared" si="39"/>
        <v>0</v>
      </c>
      <c r="R100" s="4">
        <f t="shared" si="35"/>
        <v>-7140.3227491399985</v>
      </c>
      <c r="S100" s="4"/>
      <c r="T100" s="4"/>
      <c r="U100" s="4"/>
      <c r="V100" s="4"/>
      <c r="W100" s="4"/>
      <c r="X100" s="4"/>
      <c r="Y100" s="2"/>
      <c r="Z100" s="2"/>
      <c r="AA100" s="2"/>
      <c r="AB100" s="2"/>
      <c r="AC100" s="2"/>
      <c r="AD100" s="2"/>
      <c r="AE100" s="2"/>
      <c r="AF100" s="2"/>
    </row>
    <row r="101" spans="1:16384" s="1" customFormat="1" x14ac:dyDescent="0.2">
      <c r="A101" s="2" t="s">
        <v>41</v>
      </c>
      <c r="B101" s="4">
        <f t="shared" ref="B101:Q101" si="40">B76*B90</f>
        <v>0</v>
      </c>
      <c r="C101" s="4">
        <f t="shared" si="40"/>
        <v>-5056.3889585999996</v>
      </c>
      <c r="D101" s="4">
        <f t="shared" si="40"/>
        <v>-667.81661645999986</v>
      </c>
      <c r="E101" s="4">
        <f t="shared" si="40"/>
        <v>1039.61408796</v>
      </c>
      <c r="F101" s="4">
        <f t="shared" si="40"/>
        <v>87.76392156</v>
      </c>
      <c r="G101" s="4">
        <f t="shared" si="40"/>
        <v>179.59986953999999</v>
      </c>
      <c r="H101" s="4">
        <f t="shared" si="40"/>
        <v>151.71155285999998</v>
      </c>
      <c r="I101" s="4">
        <f t="shared" si="40"/>
        <v>447.41675285999997</v>
      </c>
      <c r="J101" s="4">
        <f t="shared" si="40"/>
        <v>-59.170195979999988</v>
      </c>
      <c r="K101" s="4">
        <f t="shared" si="40"/>
        <v>0</v>
      </c>
      <c r="L101" s="4">
        <f t="shared" si="40"/>
        <v>-1.321000799999998</v>
      </c>
      <c r="M101" s="4">
        <f t="shared" si="40"/>
        <v>-961.26105347999987</v>
      </c>
      <c r="N101" s="4">
        <f t="shared" si="40"/>
        <v>-5.1361505999999979</v>
      </c>
      <c r="O101" s="4">
        <f t="shared" si="40"/>
        <v>-908.87065919999998</v>
      </c>
      <c r="P101" s="4">
        <f t="shared" si="40"/>
        <v>-50.685529439999982</v>
      </c>
      <c r="Q101" s="4">
        <f t="shared" si="40"/>
        <v>0</v>
      </c>
      <c r="R101" s="4">
        <f t="shared" si="35"/>
        <v>-5804.5439797799991</v>
      </c>
      <c r="S101" s="4"/>
      <c r="T101" s="4"/>
      <c r="U101" s="4"/>
      <c r="V101" s="4"/>
      <c r="W101" s="4"/>
      <c r="X101" s="4"/>
      <c r="Y101" s="2"/>
      <c r="Z101" s="2"/>
      <c r="AA101" s="2"/>
      <c r="AB101" s="2"/>
      <c r="AC101" s="2"/>
      <c r="AD101" s="2"/>
      <c r="AE101" s="2"/>
      <c r="AF101" s="2"/>
    </row>
    <row r="102" spans="1:16384" s="1" customFormat="1" x14ac:dyDescent="0.2">
      <c r="A102" s="5" t="s">
        <v>88</v>
      </c>
      <c r="B102" s="7">
        <f t="shared" ref="B102:Q102" si="41">SUM(B95:B101)</f>
        <v>-10268.361490799998</v>
      </c>
      <c r="C102" s="7">
        <f t="shared" si="41"/>
        <v>-18540.982924799999</v>
      </c>
      <c r="D102" s="7">
        <f t="shared" si="41"/>
        <v>-68.219979239998452</v>
      </c>
      <c r="E102" s="7">
        <f t="shared" si="41"/>
        <v>7014.1422476999996</v>
      </c>
      <c r="F102" s="7">
        <f t="shared" si="41"/>
        <v>887.07947579999995</v>
      </c>
      <c r="G102" s="7">
        <f t="shared" si="41"/>
        <v>562.64922000000001</v>
      </c>
      <c r="H102" s="7">
        <f t="shared" si="41"/>
        <v>1090.4002584999998</v>
      </c>
      <c r="I102" s="7">
        <f t="shared" si="41"/>
        <v>3062.5145950000001</v>
      </c>
      <c r="J102" s="7">
        <f t="shared" si="41"/>
        <v>-247.82444819999998</v>
      </c>
      <c r="K102" s="7">
        <f t="shared" si="41"/>
        <v>-18.717632500000001</v>
      </c>
      <c r="L102" s="7">
        <f t="shared" si="41"/>
        <v>-24.223611999999989</v>
      </c>
      <c r="M102" s="7">
        <f t="shared" si="41"/>
        <v>-5357.4672879</v>
      </c>
      <c r="N102" s="7">
        <f t="shared" si="41"/>
        <v>-34.213367999999988</v>
      </c>
      <c r="O102" s="7">
        <f t="shared" si="41"/>
        <v>-3862.9995599999997</v>
      </c>
      <c r="P102" s="7">
        <f t="shared" si="41"/>
        <v>-250.5562404799999</v>
      </c>
      <c r="Q102" s="7">
        <f t="shared" si="41"/>
        <v>-1269.8065839199999</v>
      </c>
      <c r="R102" s="7">
        <f>SUM(R95:R101)</f>
        <v>-27326.587330839997</v>
      </c>
      <c r="S102" s="4"/>
      <c r="T102" s="4"/>
      <c r="U102" s="4"/>
      <c r="V102" s="4"/>
      <c r="W102" s="4"/>
      <c r="X102" s="4"/>
      <c r="Y102" s="2"/>
      <c r="Z102" s="2"/>
      <c r="AA102" s="2"/>
      <c r="AB102" s="2"/>
      <c r="AC102" s="2"/>
      <c r="AD102" s="2"/>
      <c r="AE102" s="2"/>
      <c r="AF102" s="2"/>
    </row>
    <row r="104" spans="1:16384" s="1" customFormat="1" x14ac:dyDescent="0.2">
      <c r="A104" s="2"/>
      <c r="B104" s="8"/>
      <c r="C104" s="8"/>
      <c r="D104" s="8"/>
      <c r="E104" s="8"/>
      <c r="F104" s="8"/>
      <c r="G104" s="8"/>
      <c r="H104" s="8" t="s">
        <v>6</v>
      </c>
      <c r="I104" s="8"/>
      <c r="J104" s="8" t="s">
        <v>330</v>
      </c>
      <c r="K104" s="8"/>
      <c r="L104" s="8"/>
      <c r="M104" s="8"/>
      <c r="N104" s="8" t="s">
        <v>575</v>
      </c>
      <c r="O104" s="8" t="s">
        <v>581</v>
      </c>
      <c r="P104" s="8" t="s">
        <v>583</v>
      </c>
      <c r="Q104" s="8"/>
      <c r="R104" s="8"/>
      <c r="S104" s="4"/>
      <c r="T104" s="4"/>
      <c r="U104" s="4"/>
      <c r="V104" s="4"/>
      <c r="W104" s="4"/>
      <c r="X104" s="4"/>
      <c r="Y104" s="2"/>
      <c r="Z104" s="2"/>
      <c r="AA104" s="2"/>
      <c r="AB104" s="2"/>
      <c r="AC104" s="2"/>
      <c r="AD104" s="2"/>
      <c r="AE104" s="2"/>
      <c r="AF104" s="2"/>
    </row>
    <row r="105" spans="1:16384" s="11" customFormat="1" ht="15.75" x14ac:dyDescent="0.25">
      <c r="A105" s="5"/>
      <c r="B105" s="9" t="s">
        <v>14</v>
      </c>
      <c r="C105" s="9" t="s">
        <v>15</v>
      </c>
      <c r="D105" s="9" t="s">
        <v>16</v>
      </c>
      <c r="E105" s="9" t="s">
        <v>18</v>
      </c>
      <c r="F105" s="9" t="s">
        <v>19</v>
      </c>
      <c r="G105" s="9" t="s">
        <v>20</v>
      </c>
      <c r="H105" s="9" t="s">
        <v>21</v>
      </c>
      <c r="I105" s="9" t="s">
        <v>527</v>
      </c>
      <c r="J105" s="9" t="s">
        <v>528</v>
      </c>
      <c r="K105" s="9" t="s">
        <v>572</v>
      </c>
      <c r="L105" s="9" t="s">
        <v>573</v>
      </c>
      <c r="M105" s="9" t="s">
        <v>574</v>
      </c>
      <c r="N105" s="9" t="s">
        <v>576</v>
      </c>
      <c r="O105" s="9" t="s">
        <v>582</v>
      </c>
      <c r="P105" s="9" t="s">
        <v>582</v>
      </c>
      <c r="Q105" s="9" t="s">
        <v>333</v>
      </c>
      <c r="R105" s="9" t="s">
        <v>84</v>
      </c>
      <c r="S105" s="6"/>
      <c r="T105" s="6"/>
      <c r="U105" s="6"/>
      <c r="V105" s="6"/>
      <c r="W105" s="6"/>
      <c r="X105" s="6"/>
      <c r="Y105" s="5"/>
      <c r="Z105" s="5"/>
      <c r="AA105" s="5"/>
      <c r="AB105" s="5"/>
      <c r="AC105" s="5"/>
      <c r="AD105" s="5"/>
      <c r="AE105" s="5"/>
      <c r="AF105" s="5"/>
    </row>
    <row r="106" spans="1:16384" s="1" customFormat="1" x14ac:dyDescent="0.2">
      <c r="A106" s="5" t="s">
        <v>24</v>
      </c>
      <c r="B106" s="4"/>
      <c r="C106" s="4"/>
      <c r="D106" s="4"/>
      <c r="E106" s="4"/>
      <c r="F106" s="4"/>
      <c r="G106" s="4"/>
      <c r="H106" s="4"/>
      <c r="I106" s="4"/>
      <c r="J106" s="4"/>
      <c r="K106" s="4"/>
      <c r="L106" s="4"/>
      <c r="M106" s="4"/>
      <c r="N106" s="4"/>
      <c r="O106" s="4"/>
      <c r="P106" s="4"/>
      <c r="Q106" s="4"/>
      <c r="R106" s="4"/>
      <c r="S106" s="4"/>
      <c r="T106" s="4"/>
      <c r="U106" s="4"/>
      <c r="V106" s="4"/>
      <c r="W106" s="4"/>
      <c r="X106" s="4"/>
      <c r="Y106" s="2"/>
      <c r="Z106" s="2"/>
      <c r="AA106" s="2"/>
      <c r="AB106" s="2"/>
      <c r="AC106" s="2"/>
      <c r="AD106" s="2"/>
      <c r="AE106" s="2"/>
      <c r="AF106" s="2"/>
    </row>
    <row r="107" spans="1:16384" s="1" customFormat="1" x14ac:dyDescent="0.2">
      <c r="A107" s="4" t="str">
        <f>+A85</f>
        <v>January 18</v>
      </c>
      <c r="B107" s="4">
        <f>+B71*B49</f>
        <v>-4652.6937461200005</v>
      </c>
      <c r="C107" s="4">
        <f t="shared" ref="C107:Q108" si="42">+C71*C49</f>
        <v>-363.07737256000001</v>
      </c>
      <c r="D107" s="4">
        <f t="shared" si="42"/>
        <v>439.8886275000001</v>
      </c>
      <c r="E107" s="4">
        <f t="shared" si="42"/>
        <v>984.25815348000003</v>
      </c>
      <c r="F107" s="4">
        <f t="shared" si="42"/>
        <v>96.122390280000019</v>
      </c>
      <c r="G107" s="4">
        <f t="shared" si="42"/>
        <v>-59.265803379999987</v>
      </c>
      <c r="H107" s="4">
        <f t="shared" si="42"/>
        <v>117.58013217999999</v>
      </c>
      <c r="I107" s="4">
        <f t="shared" si="42"/>
        <v>417.15766217999999</v>
      </c>
      <c r="J107" s="4">
        <f t="shared" si="42"/>
        <v>0</v>
      </c>
      <c r="K107" s="4">
        <f t="shared" si="42"/>
        <v>-12.254756500000001</v>
      </c>
      <c r="L107" s="4">
        <f t="shared" si="42"/>
        <v>0</v>
      </c>
      <c r="M107" s="4">
        <f t="shared" si="42"/>
        <v>-1027.4004959399999</v>
      </c>
      <c r="N107" s="4">
        <f t="shared" si="42"/>
        <v>-10.165507799999999</v>
      </c>
      <c r="O107" s="4">
        <f t="shared" si="42"/>
        <v>0</v>
      </c>
      <c r="P107" s="4">
        <f t="shared" si="42"/>
        <v>0</v>
      </c>
      <c r="Q107" s="4">
        <f t="shared" si="42"/>
        <v>-1144.41612992</v>
      </c>
      <c r="R107" s="4">
        <f>SUM(B107:Q107)</f>
        <v>-5214.2668465999996</v>
      </c>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4"/>
      <c r="DF107" s="4"/>
      <c r="DG107" s="4"/>
      <c r="DH107" s="4"/>
      <c r="DI107" s="4"/>
      <c r="DJ107" s="4"/>
      <c r="DK107" s="4"/>
      <c r="DL107" s="4"/>
      <c r="DM107" s="4"/>
      <c r="DN107" s="4"/>
      <c r="DO107" s="4"/>
      <c r="DP107" s="4"/>
      <c r="DQ107" s="4"/>
      <c r="DR107" s="4"/>
      <c r="DS107" s="4"/>
      <c r="DT107" s="4"/>
      <c r="DU107" s="4"/>
      <c r="DV107" s="4"/>
      <c r="DW107" s="4"/>
      <c r="DX107" s="4"/>
      <c r="DY107" s="4"/>
      <c r="DZ107" s="4"/>
      <c r="EA107" s="4"/>
      <c r="EB107" s="4"/>
      <c r="EC107" s="4"/>
      <c r="ED107" s="4"/>
      <c r="EE107" s="4"/>
      <c r="EF107" s="4"/>
      <c r="EG107" s="4"/>
      <c r="EH107" s="4"/>
      <c r="EI107" s="4"/>
      <c r="EJ107" s="4"/>
      <c r="EK107" s="4"/>
      <c r="EL107" s="4"/>
      <c r="EM107" s="4"/>
      <c r="EN107" s="4"/>
      <c r="EO107" s="4"/>
      <c r="EP107" s="4"/>
      <c r="EQ107" s="4"/>
      <c r="ER107" s="4"/>
      <c r="ES107" s="4"/>
      <c r="ET107" s="4"/>
      <c r="EU107" s="4"/>
      <c r="EV107" s="4"/>
      <c r="EW107" s="4"/>
      <c r="EX107" s="4"/>
      <c r="EY107" s="4"/>
      <c r="EZ107" s="4"/>
      <c r="FA107" s="4"/>
      <c r="FB107" s="4"/>
      <c r="FC107" s="4"/>
      <c r="FD107" s="4"/>
      <c r="FE107" s="4"/>
      <c r="FF107" s="4"/>
      <c r="FG107" s="4"/>
      <c r="FH107" s="4"/>
      <c r="FI107" s="4"/>
      <c r="FJ107" s="4"/>
      <c r="FK107" s="4"/>
      <c r="FL107" s="4"/>
      <c r="FM107" s="4"/>
      <c r="FN107" s="4"/>
      <c r="FO107" s="4"/>
      <c r="FP107" s="4"/>
      <c r="FQ107" s="4"/>
      <c r="FR107" s="4"/>
      <c r="FS107" s="4"/>
      <c r="FT107" s="4"/>
      <c r="FU107" s="4"/>
      <c r="FV107" s="4"/>
      <c r="FW107" s="4"/>
      <c r="FX107" s="4"/>
      <c r="FY107" s="4"/>
      <c r="FZ107" s="4"/>
      <c r="GA107" s="4"/>
      <c r="GB107" s="4"/>
      <c r="GC107" s="4"/>
      <c r="GD107" s="4"/>
      <c r="GE107" s="4"/>
      <c r="GF107" s="4"/>
      <c r="GG107" s="4"/>
      <c r="GH107" s="4"/>
      <c r="GI107" s="4"/>
      <c r="GJ107" s="4"/>
      <c r="GK107" s="4"/>
      <c r="GL107" s="4"/>
      <c r="GM107" s="4"/>
      <c r="GN107" s="4"/>
      <c r="GO107" s="4"/>
      <c r="GP107" s="4"/>
      <c r="GQ107" s="4"/>
      <c r="GR107" s="4"/>
      <c r="GS107" s="4"/>
      <c r="GT107" s="4"/>
      <c r="GU107" s="4"/>
      <c r="GV107" s="4"/>
      <c r="GW107" s="4"/>
      <c r="GX107" s="4"/>
      <c r="GY107" s="4"/>
      <c r="GZ107" s="4"/>
      <c r="HA107" s="4"/>
      <c r="HB107" s="4"/>
      <c r="HC107" s="4"/>
      <c r="HD107" s="4"/>
      <c r="HE107" s="4"/>
      <c r="HF107" s="4"/>
      <c r="HG107" s="4"/>
      <c r="HH107" s="4"/>
      <c r="HI107" s="4"/>
      <c r="HJ107" s="4"/>
      <c r="HK107" s="4"/>
      <c r="HL107" s="4"/>
      <c r="HM107" s="4"/>
      <c r="HN107" s="4"/>
      <c r="HO107" s="4"/>
      <c r="HP107" s="4"/>
      <c r="HQ107" s="4"/>
      <c r="HR107" s="4"/>
      <c r="HS107" s="4"/>
      <c r="HT107" s="4"/>
      <c r="HU107" s="4"/>
      <c r="HV107" s="4"/>
      <c r="HW107" s="4"/>
      <c r="HX107" s="4"/>
      <c r="HY107" s="4"/>
      <c r="HZ107" s="4"/>
      <c r="IA107" s="4"/>
      <c r="IB107" s="4"/>
      <c r="IC107" s="4"/>
      <c r="ID107" s="4"/>
      <c r="IE107" s="4"/>
      <c r="IF107" s="4"/>
      <c r="IG107" s="4"/>
      <c r="IH107" s="4"/>
      <c r="II107" s="4"/>
      <c r="IJ107" s="4"/>
      <c r="IK107" s="4"/>
      <c r="IL107" s="4"/>
      <c r="IM107" s="4"/>
      <c r="IN107" s="4"/>
      <c r="IO107" s="4"/>
      <c r="IP107" s="4"/>
      <c r="IQ107" s="4"/>
      <c r="IR107" s="4"/>
      <c r="IS107" s="4"/>
      <c r="IT107" s="4"/>
      <c r="IU107" s="4"/>
      <c r="IV107" s="4"/>
      <c r="IW107" s="4"/>
      <c r="IX107" s="4"/>
      <c r="IY107" s="4"/>
      <c r="IZ107" s="4"/>
      <c r="JA107" s="4"/>
      <c r="JB107" s="4"/>
      <c r="JC107" s="4"/>
      <c r="JD107" s="4"/>
      <c r="JE107" s="4"/>
      <c r="JF107" s="4"/>
      <c r="JG107" s="4"/>
      <c r="JH107" s="4"/>
      <c r="JI107" s="4"/>
      <c r="JJ107" s="4"/>
      <c r="JK107" s="4"/>
      <c r="JL107" s="4"/>
      <c r="JM107" s="4"/>
      <c r="JN107" s="4"/>
      <c r="JO107" s="4"/>
      <c r="JP107" s="4"/>
      <c r="JQ107" s="4"/>
      <c r="JR107" s="4"/>
      <c r="JS107" s="4"/>
      <c r="JT107" s="4"/>
      <c r="JU107" s="4"/>
      <c r="JV107" s="4"/>
      <c r="JW107" s="4"/>
      <c r="JX107" s="4"/>
      <c r="JY107" s="4"/>
      <c r="JZ107" s="4"/>
      <c r="KA107" s="4"/>
      <c r="KB107" s="4"/>
      <c r="KC107" s="4"/>
      <c r="KD107" s="4"/>
      <c r="KE107" s="4"/>
      <c r="KF107" s="4"/>
      <c r="KG107" s="4"/>
      <c r="KH107" s="4"/>
      <c r="KI107" s="4"/>
      <c r="KJ107" s="4"/>
      <c r="KK107" s="4"/>
      <c r="KL107" s="4"/>
      <c r="KM107" s="4"/>
      <c r="KN107" s="4"/>
      <c r="KO107" s="4"/>
      <c r="KP107" s="4"/>
      <c r="KQ107" s="4"/>
      <c r="KR107" s="4"/>
      <c r="KS107" s="4"/>
      <c r="KT107" s="4"/>
      <c r="KU107" s="4"/>
      <c r="KV107" s="4"/>
      <c r="KW107" s="4"/>
      <c r="KX107" s="4"/>
      <c r="KY107" s="4"/>
      <c r="KZ107" s="4"/>
      <c r="LA107" s="4"/>
      <c r="LB107" s="4"/>
      <c r="LC107" s="4"/>
      <c r="LD107" s="4"/>
      <c r="LE107" s="4"/>
      <c r="LF107" s="4"/>
      <c r="LG107" s="4"/>
      <c r="LH107" s="4"/>
      <c r="LI107" s="4"/>
      <c r="LJ107" s="4"/>
      <c r="LK107" s="4"/>
      <c r="LL107" s="4"/>
      <c r="LM107" s="4"/>
      <c r="LN107" s="4"/>
      <c r="LO107" s="4"/>
      <c r="LP107" s="4"/>
      <c r="LQ107" s="4"/>
      <c r="LR107" s="4"/>
      <c r="LS107" s="4"/>
      <c r="LT107" s="4"/>
      <c r="LU107" s="4"/>
      <c r="LV107" s="4"/>
      <c r="LW107" s="4"/>
      <c r="LX107" s="4"/>
      <c r="LY107" s="4"/>
      <c r="LZ107" s="4"/>
      <c r="MA107" s="4"/>
      <c r="MB107" s="4"/>
      <c r="MC107" s="4"/>
      <c r="MD107" s="4"/>
      <c r="ME107" s="4"/>
      <c r="MF107" s="4"/>
      <c r="MG107" s="4"/>
      <c r="MH107" s="4"/>
      <c r="MI107" s="4"/>
      <c r="MJ107" s="4"/>
      <c r="MK107" s="4"/>
      <c r="ML107" s="4"/>
      <c r="MM107" s="4"/>
      <c r="MN107" s="4"/>
      <c r="MO107" s="4"/>
      <c r="MP107" s="4"/>
      <c r="MQ107" s="4"/>
      <c r="MR107" s="4"/>
      <c r="MS107" s="4"/>
      <c r="MT107" s="4"/>
      <c r="MU107" s="4"/>
      <c r="MV107" s="4"/>
      <c r="MW107" s="4"/>
      <c r="MX107" s="4"/>
      <c r="MY107" s="4"/>
      <c r="MZ107" s="4"/>
      <c r="NA107" s="4"/>
      <c r="NB107" s="4"/>
      <c r="NC107" s="4"/>
      <c r="ND107" s="4"/>
      <c r="NE107" s="4"/>
      <c r="NF107" s="4"/>
      <c r="NG107" s="4"/>
      <c r="NH107" s="4"/>
      <c r="NI107" s="4"/>
      <c r="NJ107" s="4"/>
      <c r="NK107" s="4"/>
      <c r="NL107" s="4"/>
      <c r="NM107" s="4"/>
      <c r="NN107" s="4"/>
      <c r="NO107" s="4"/>
      <c r="NP107" s="4"/>
      <c r="NQ107" s="4"/>
      <c r="NR107" s="4"/>
      <c r="NS107" s="4"/>
      <c r="NT107" s="4"/>
      <c r="NU107" s="4"/>
      <c r="NV107" s="4"/>
      <c r="NW107" s="4"/>
      <c r="NX107" s="4"/>
      <c r="NY107" s="4"/>
      <c r="NZ107" s="4"/>
      <c r="OA107" s="4"/>
      <c r="OB107" s="4"/>
      <c r="OC107" s="4"/>
      <c r="OD107" s="4"/>
      <c r="OE107" s="4"/>
      <c r="OF107" s="4"/>
      <c r="OG107" s="4"/>
      <c r="OH107" s="4"/>
      <c r="OI107" s="4"/>
      <c r="OJ107" s="4"/>
      <c r="OK107" s="4"/>
      <c r="OL107" s="4"/>
      <c r="OM107" s="4"/>
      <c r="ON107" s="4"/>
      <c r="OO107" s="4"/>
      <c r="OP107" s="4"/>
      <c r="OQ107" s="4"/>
      <c r="OR107" s="4"/>
      <c r="OS107" s="4"/>
      <c r="OT107" s="4"/>
      <c r="OU107" s="4"/>
      <c r="OV107" s="4"/>
      <c r="OW107" s="4"/>
      <c r="OX107" s="4"/>
      <c r="OY107" s="4"/>
      <c r="OZ107" s="4"/>
      <c r="PA107" s="4"/>
      <c r="PB107" s="4"/>
      <c r="PC107" s="4"/>
      <c r="PD107" s="4"/>
      <c r="PE107" s="4"/>
      <c r="PF107" s="4"/>
      <c r="PG107" s="4"/>
      <c r="PH107" s="4"/>
      <c r="PI107" s="4"/>
      <c r="PJ107" s="4"/>
      <c r="PK107" s="4"/>
      <c r="PL107" s="4"/>
      <c r="PM107" s="4"/>
      <c r="PN107" s="4"/>
      <c r="PO107" s="4"/>
      <c r="PP107" s="4"/>
      <c r="PQ107" s="4"/>
      <c r="PR107" s="4"/>
      <c r="PS107" s="4"/>
      <c r="PT107" s="4"/>
      <c r="PU107" s="4"/>
      <c r="PV107" s="4"/>
      <c r="PW107" s="4"/>
      <c r="PX107" s="4"/>
      <c r="PY107" s="4"/>
      <c r="PZ107" s="4"/>
      <c r="QA107" s="4"/>
      <c r="QB107" s="4"/>
      <c r="QC107" s="4"/>
      <c r="QD107" s="4"/>
      <c r="QE107" s="4"/>
      <c r="QF107" s="4"/>
      <c r="QG107" s="4"/>
      <c r="QH107" s="4"/>
      <c r="QI107" s="4"/>
      <c r="QJ107" s="4"/>
      <c r="QK107" s="4"/>
      <c r="QL107" s="4"/>
      <c r="QM107" s="4"/>
      <c r="QN107" s="4"/>
      <c r="QO107" s="4"/>
      <c r="QP107" s="4"/>
      <c r="QQ107" s="4"/>
      <c r="QR107" s="4"/>
      <c r="QS107" s="4"/>
      <c r="QT107" s="4"/>
      <c r="QU107" s="4"/>
      <c r="QV107" s="4"/>
      <c r="QW107" s="4"/>
      <c r="QX107" s="4"/>
      <c r="QY107" s="4"/>
      <c r="QZ107" s="4"/>
      <c r="RA107" s="4"/>
      <c r="RB107" s="4"/>
      <c r="RC107" s="4"/>
      <c r="RD107" s="4"/>
      <c r="RE107" s="4"/>
      <c r="RF107" s="4"/>
      <c r="RG107" s="4"/>
      <c r="RH107" s="4"/>
      <c r="RI107" s="4"/>
      <c r="RJ107" s="4"/>
      <c r="RK107" s="4"/>
      <c r="RL107" s="4"/>
      <c r="RM107" s="4"/>
      <c r="RN107" s="4"/>
      <c r="RO107" s="4"/>
      <c r="RP107" s="4"/>
      <c r="RQ107" s="4"/>
      <c r="RR107" s="4"/>
      <c r="RS107" s="4"/>
      <c r="RT107" s="4"/>
      <c r="RU107" s="4"/>
      <c r="RV107" s="4"/>
      <c r="RW107" s="4"/>
      <c r="RX107" s="4"/>
      <c r="RY107" s="4"/>
      <c r="RZ107" s="4"/>
      <c r="SA107" s="4"/>
      <c r="SB107" s="4"/>
      <c r="SC107" s="4"/>
      <c r="SD107" s="4"/>
      <c r="SE107" s="4"/>
      <c r="SF107" s="4"/>
      <c r="SG107" s="4"/>
      <c r="SH107" s="4"/>
      <c r="SI107" s="4"/>
      <c r="SJ107" s="4"/>
      <c r="SK107" s="4"/>
      <c r="SL107" s="4"/>
      <c r="SM107" s="4"/>
      <c r="SN107" s="4"/>
      <c r="SO107" s="4"/>
      <c r="SP107" s="4"/>
      <c r="SQ107" s="4"/>
      <c r="SR107" s="4"/>
      <c r="SS107" s="4"/>
      <c r="ST107" s="4"/>
      <c r="SU107" s="4"/>
      <c r="SV107" s="4"/>
      <c r="SW107" s="4"/>
      <c r="SX107" s="4"/>
      <c r="SY107" s="4"/>
      <c r="SZ107" s="4"/>
      <c r="TA107" s="4"/>
      <c r="TB107" s="4"/>
      <c r="TC107" s="4"/>
      <c r="TD107" s="4"/>
      <c r="TE107" s="4"/>
      <c r="TF107" s="4"/>
      <c r="TG107" s="4"/>
      <c r="TH107" s="4"/>
      <c r="TI107" s="4"/>
      <c r="TJ107" s="4"/>
      <c r="TK107" s="4"/>
      <c r="TL107" s="4"/>
      <c r="TM107" s="4"/>
      <c r="TN107" s="4"/>
      <c r="TO107" s="4"/>
      <c r="TP107" s="4"/>
      <c r="TQ107" s="4"/>
      <c r="TR107" s="4"/>
      <c r="TS107" s="4"/>
      <c r="TT107" s="4"/>
      <c r="TU107" s="4"/>
      <c r="TV107" s="4"/>
      <c r="TW107" s="4"/>
      <c r="TX107" s="4"/>
      <c r="TY107" s="4"/>
      <c r="TZ107" s="4"/>
      <c r="UA107" s="4"/>
      <c r="UB107" s="4"/>
      <c r="UC107" s="4"/>
      <c r="UD107" s="4"/>
      <c r="UE107" s="4"/>
      <c r="UF107" s="4"/>
      <c r="UG107" s="4"/>
      <c r="UH107" s="4"/>
      <c r="UI107" s="4"/>
      <c r="UJ107" s="4"/>
      <c r="UK107" s="4"/>
      <c r="UL107" s="4"/>
      <c r="UM107" s="4"/>
      <c r="UN107" s="4"/>
      <c r="UO107" s="4"/>
      <c r="UP107" s="4"/>
      <c r="UQ107" s="4"/>
      <c r="UR107" s="4"/>
      <c r="US107" s="4"/>
      <c r="UT107" s="4"/>
      <c r="UU107" s="4"/>
      <c r="UV107" s="4"/>
      <c r="UW107" s="4"/>
      <c r="UX107" s="4"/>
      <c r="UY107" s="4"/>
      <c r="UZ107" s="4"/>
      <c r="VA107" s="4"/>
      <c r="VB107" s="4"/>
      <c r="VC107" s="4"/>
      <c r="VD107" s="4"/>
      <c r="VE107" s="4"/>
      <c r="VF107" s="4"/>
      <c r="VG107" s="4"/>
      <c r="VH107" s="4"/>
      <c r="VI107" s="4"/>
      <c r="VJ107" s="4"/>
      <c r="VK107" s="4"/>
      <c r="VL107" s="4"/>
      <c r="VM107" s="4"/>
      <c r="VN107" s="4"/>
      <c r="VO107" s="4"/>
      <c r="VP107" s="4"/>
      <c r="VQ107" s="4"/>
      <c r="VR107" s="4"/>
      <c r="VS107" s="4"/>
      <c r="VT107" s="4"/>
      <c r="VU107" s="4"/>
      <c r="VV107" s="4"/>
      <c r="VW107" s="4"/>
      <c r="VX107" s="4"/>
      <c r="VY107" s="4"/>
      <c r="VZ107" s="4"/>
      <c r="WA107" s="4"/>
      <c r="WB107" s="4"/>
      <c r="WC107" s="4"/>
      <c r="WD107" s="4"/>
      <c r="WE107" s="4"/>
      <c r="WF107" s="4"/>
      <c r="WG107" s="4"/>
      <c r="WH107" s="4"/>
      <c r="WI107" s="4"/>
      <c r="WJ107" s="4"/>
      <c r="WK107" s="4"/>
      <c r="WL107" s="4"/>
      <c r="WM107" s="4"/>
      <c r="WN107" s="4"/>
      <c r="WO107" s="4"/>
      <c r="WP107" s="4"/>
      <c r="WQ107" s="4"/>
      <c r="WR107" s="4"/>
      <c r="WS107" s="4"/>
      <c r="WT107" s="4"/>
      <c r="WU107" s="4"/>
      <c r="WV107" s="4"/>
      <c r="WW107" s="4"/>
      <c r="WX107" s="4"/>
      <c r="WY107" s="4"/>
      <c r="WZ107" s="4"/>
      <c r="XA107" s="4"/>
      <c r="XB107" s="4"/>
      <c r="XC107" s="4"/>
      <c r="XD107" s="4"/>
      <c r="XE107" s="4"/>
      <c r="XF107" s="4"/>
      <c r="XG107" s="4"/>
      <c r="XH107" s="4"/>
      <c r="XI107" s="4"/>
      <c r="XJ107" s="4"/>
      <c r="XK107" s="4"/>
      <c r="XL107" s="4"/>
      <c r="XM107" s="4"/>
      <c r="XN107" s="4"/>
      <c r="XO107" s="4"/>
      <c r="XP107" s="4"/>
      <c r="XQ107" s="4"/>
      <c r="XR107" s="4"/>
      <c r="XS107" s="4"/>
      <c r="XT107" s="4"/>
      <c r="XU107" s="4"/>
      <c r="XV107" s="4"/>
      <c r="XW107" s="4"/>
      <c r="XX107" s="4"/>
      <c r="XY107" s="4"/>
      <c r="XZ107" s="4"/>
      <c r="YA107" s="4"/>
      <c r="YB107" s="4"/>
      <c r="YC107" s="4"/>
      <c r="YD107" s="4"/>
      <c r="YE107" s="4"/>
      <c r="YF107" s="4"/>
      <c r="YG107" s="4"/>
      <c r="YH107" s="4"/>
      <c r="YI107" s="4"/>
      <c r="YJ107" s="4"/>
      <c r="YK107" s="4"/>
      <c r="YL107" s="4"/>
      <c r="YM107" s="4"/>
      <c r="YN107" s="4"/>
      <c r="YO107" s="4"/>
      <c r="YP107" s="4"/>
      <c r="YQ107" s="4"/>
      <c r="YR107" s="4"/>
      <c r="YS107" s="4"/>
      <c r="YT107" s="4"/>
      <c r="YU107" s="4"/>
      <c r="YV107" s="4"/>
      <c r="YW107" s="4"/>
      <c r="YX107" s="4"/>
      <c r="YY107" s="4"/>
      <c r="YZ107" s="4"/>
      <c r="ZA107" s="4"/>
      <c r="ZB107" s="4"/>
      <c r="ZC107" s="4"/>
      <c r="ZD107" s="4"/>
      <c r="ZE107" s="4"/>
      <c r="ZF107" s="4"/>
      <c r="ZG107" s="4"/>
      <c r="ZH107" s="4"/>
      <c r="ZI107" s="4"/>
      <c r="ZJ107" s="4"/>
      <c r="ZK107" s="4"/>
      <c r="ZL107" s="4"/>
      <c r="ZM107" s="4"/>
      <c r="ZN107" s="4"/>
      <c r="ZO107" s="4"/>
      <c r="ZP107" s="4"/>
      <c r="ZQ107" s="4"/>
      <c r="ZR107" s="4"/>
      <c r="ZS107" s="4"/>
      <c r="ZT107" s="4"/>
      <c r="ZU107" s="4"/>
      <c r="ZV107" s="4"/>
      <c r="ZW107" s="4"/>
      <c r="ZX107" s="4"/>
      <c r="ZY107" s="4"/>
      <c r="ZZ107" s="4"/>
      <c r="AAA107" s="4"/>
      <c r="AAB107" s="4"/>
      <c r="AAC107" s="4"/>
      <c r="AAD107" s="4"/>
      <c r="AAE107" s="4"/>
      <c r="AAF107" s="4"/>
      <c r="AAG107" s="4"/>
      <c r="AAH107" s="4"/>
      <c r="AAI107" s="4"/>
      <c r="AAJ107" s="4"/>
      <c r="AAK107" s="4"/>
      <c r="AAL107" s="4"/>
      <c r="AAM107" s="4"/>
      <c r="AAN107" s="4"/>
      <c r="AAO107" s="4"/>
      <c r="AAP107" s="4"/>
      <c r="AAQ107" s="4"/>
      <c r="AAR107" s="4"/>
      <c r="AAS107" s="4"/>
      <c r="AAT107" s="4"/>
      <c r="AAU107" s="4"/>
      <c r="AAV107" s="4"/>
      <c r="AAW107" s="4"/>
      <c r="AAX107" s="4"/>
      <c r="AAY107" s="4"/>
      <c r="AAZ107" s="4"/>
      <c r="ABA107" s="4"/>
      <c r="ABB107" s="4"/>
      <c r="ABC107" s="4"/>
      <c r="ABD107" s="4"/>
      <c r="ABE107" s="4"/>
      <c r="ABF107" s="4"/>
      <c r="ABG107" s="4"/>
      <c r="ABH107" s="4"/>
      <c r="ABI107" s="4"/>
      <c r="ABJ107" s="4"/>
      <c r="ABK107" s="4"/>
      <c r="ABL107" s="4"/>
      <c r="ABM107" s="4"/>
      <c r="ABN107" s="4"/>
      <c r="ABO107" s="4"/>
      <c r="ABP107" s="4"/>
      <c r="ABQ107" s="4"/>
      <c r="ABR107" s="4"/>
      <c r="ABS107" s="4"/>
      <c r="ABT107" s="4"/>
      <c r="ABU107" s="4"/>
      <c r="ABV107" s="4"/>
      <c r="ABW107" s="4"/>
      <c r="ABX107" s="4"/>
      <c r="ABY107" s="4"/>
      <c r="ABZ107" s="4"/>
      <c r="ACA107" s="4"/>
      <c r="ACB107" s="4"/>
      <c r="ACC107" s="4"/>
      <c r="ACD107" s="4"/>
      <c r="ACE107" s="4"/>
      <c r="ACF107" s="4"/>
      <c r="ACG107" s="4"/>
      <c r="ACH107" s="4"/>
      <c r="ACI107" s="4"/>
      <c r="ACJ107" s="4"/>
      <c r="ACK107" s="4"/>
      <c r="ACL107" s="4"/>
      <c r="ACM107" s="4"/>
      <c r="ACN107" s="4"/>
      <c r="ACO107" s="4"/>
      <c r="ACP107" s="4"/>
      <c r="ACQ107" s="4"/>
      <c r="ACR107" s="4"/>
      <c r="ACS107" s="4"/>
      <c r="ACT107" s="4"/>
      <c r="ACU107" s="4"/>
      <c r="ACV107" s="4"/>
      <c r="ACW107" s="4"/>
      <c r="ACX107" s="4"/>
      <c r="ACY107" s="4"/>
      <c r="ACZ107" s="4"/>
      <c r="ADA107" s="4"/>
      <c r="ADB107" s="4"/>
      <c r="ADC107" s="4"/>
      <c r="ADD107" s="4"/>
      <c r="ADE107" s="4"/>
      <c r="ADF107" s="4"/>
      <c r="ADG107" s="4"/>
      <c r="ADH107" s="4"/>
      <c r="ADI107" s="4"/>
      <c r="ADJ107" s="4"/>
      <c r="ADK107" s="4"/>
      <c r="ADL107" s="4"/>
      <c r="ADM107" s="4"/>
      <c r="ADN107" s="4"/>
      <c r="ADO107" s="4"/>
      <c r="ADP107" s="4"/>
      <c r="ADQ107" s="4"/>
      <c r="ADR107" s="4"/>
      <c r="ADS107" s="4"/>
      <c r="ADT107" s="4"/>
      <c r="ADU107" s="4"/>
      <c r="ADV107" s="4"/>
      <c r="ADW107" s="4"/>
      <c r="ADX107" s="4"/>
      <c r="ADY107" s="4"/>
      <c r="ADZ107" s="4"/>
      <c r="AEA107" s="4"/>
      <c r="AEB107" s="4"/>
      <c r="AEC107" s="4"/>
      <c r="AED107" s="4"/>
      <c r="AEE107" s="4"/>
      <c r="AEF107" s="4"/>
      <c r="AEG107" s="4"/>
      <c r="AEH107" s="4"/>
      <c r="AEI107" s="4"/>
      <c r="AEJ107" s="4"/>
      <c r="AEK107" s="4"/>
      <c r="AEL107" s="4"/>
      <c r="AEM107" s="4"/>
      <c r="AEN107" s="4"/>
      <c r="AEO107" s="4"/>
      <c r="AEP107" s="4"/>
      <c r="AEQ107" s="4"/>
      <c r="AER107" s="4"/>
      <c r="AES107" s="4"/>
      <c r="AET107" s="4"/>
      <c r="AEU107" s="4"/>
      <c r="AEV107" s="4"/>
      <c r="AEW107" s="4"/>
      <c r="AEX107" s="4"/>
      <c r="AEY107" s="4"/>
      <c r="AEZ107" s="4"/>
      <c r="AFA107" s="4"/>
      <c r="AFB107" s="4"/>
      <c r="AFC107" s="4"/>
      <c r="AFD107" s="4"/>
      <c r="AFE107" s="4"/>
      <c r="AFF107" s="4"/>
      <c r="AFG107" s="4"/>
      <c r="AFH107" s="4"/>
      <c r="AFI107" s="4"/>
      <c r="AFJ107" s="4"/>
      <c r="AFK107" s="4"/>
      <c r="AFL107" s="4"/>
      <c r="AFM107" s="4"/>
      <c r="AFN107" s="4"/>
      <c r="AFO107" s="4"/>
      <c r="AFP107" s="4"/>
      <c r="AFQ107" s="4"/>
      <c r="AFR107" s="4"/>
      <c r="AFS107" s="4"/>
      <c r="AFT107" s="4"/>
      <c r="AFU107" s="4"/>
      <c r="AFV107" s="4"/>
      <c r="AFW107" s="4"/>
      <c r="AFX107" s="4"/>
      <c r="AFY107" s="4"/>
      <c r="AFZ107" s="4"/>
      <c r="AGA107" s="4"/>
      <c r="AGB107" s="4"/>
      <c r="AGC107" s="4"/>
      <c r="AGD107" s="4"/>
      <c r="AGE107" s="4"/>
      <c r="AGF107" s="4"/>
      <c r="AGG107" s="4"/>
      <c r="AGH107" s="4"/>
      <c r="AGI107" s="4"/>
      <c r="AGJ107" s="4"/>
      <c r="AGK107" s="4"/>
      <c r="AGL107" s="4"/>
      <c r="AGM107" s="4"/>
      <c r="AGN107" s="4"/>
      <c r="AGO107" s="4"/>
      <c r="AGP107" s="4"/>
      <c r="AGQ107" s="4"/>
      <c r="AGR107" s="4"/>
      <c r="AGS107" s="4"/>
      <c r="AGT107" s="4"/>
      <c r="AGU107" s="4"/>
      <c r="AGV107" s="4"/>
      <c r="AGW107" s="4"/>
      <c r="AGX107" s="4"/>
      <c r="AGY107" s="4"/>
      <c r="AGZ107" s="4"/>
      <c r="AHA107" s="4"/>
      <c r="AHB107" s="4"/>
      <c r="AHC107" s="4"/>
      <c r="AHD107" s="4"/>
      <c r="AHE107" s="4"/>
      <c r="AHF107" s="4"/>
      <c r="AHG107" s="4"/>
      <c r="AHH107" s="4"/>
      <c r="AHI107" s="4"/>
      <c r="AHJ107" s="4"/>
      <c r="AHK107" s="4"/>
      <c r="AHL107" s="4"/>
      <c r="AHM107" s="4"/>
      <c r="AHN107" s="4"/>
      <c r="AHO107" s="4"/>
      <c r="AHP107" s="4"/>
      <c r="AHQ107" s="4"/>
      <c r="AHR107" s="4"/>
      <c r="AHS107" s="4"/>
      <c r="AHT107" s="4"/>
      <c r="AHU107" s="4"/>
      <c r="AHV107" s="4"/>
      <c r="AHW107" s="4"/>
      <c r="AHX107" s="4"/>
      <c r="AHY107" s="4"/>
      <c r="AHZ107" s="4"/>
      <c r="AIA107" s="4"/>
      <c r="AIB107" s="4"/>
      <c r="AIC107" s="4"/>
      <c r="AID107" s="4"/>
      <c r="AIE107" s="4"/>
      <c r="AIF107" s="4"/>
      <c r="AIG107" s="4"/>
      <c r="AIH107" s="4"/>
      <c r="AII107" s="4"/>
      <c r="AIJ107" s="4"/>
      <c r="AIK107" s="4"/>
      <c r="AIL107" s="4"/>
      <c r="AIM107" s="4"/>
      <c r="AIN107" s="4"/>
      <c r="AIO107" s="4"/>
      <c r="AIP107" s="4"/>
      <c r="AIQ107" s="4"/>
      <c r="AIR107" s="4"/>
      <c r="AIS107" s="4"/>
      <c r="AIT107" s="4"/>
      <c r="AIU107" s="4"/>
      <c r="AIV107" s="4"/>
      <c r="AIW107" s="4"/>
      <c r="AIX107" s="4"/>
      <c r="AIY107" s="4"/>
      <c r="AIZ107" s="4"/>
      <c r="AJA107" s="4"/>
      <c r="AJB107" s="4"/>
      <c r="AJC107" s="4"/>
      <c r="AJD107" s="4"/>
      <c r="AJE107" s="4"/>
      <c r="AJF107" s="4"/>
      <c r="AJG107" s="4"/>
      <c r="AJH107" s="4"/>
      <c r="AJI107" s="4"/>
      <c r="AJJ107" s="4"/>
      <c r="AJK107" s="4"/>
      <c r="AJL107" s="4"/>
      <c r="AJM107" s="4"/>
      <c r="AJN107" s="4"/>
      <c r="AJO107" s="4"/>
      <c r="AJP107" s="4"/>
      <c r="AJQ107" s="4"/>
      <c r="AJR107" s="4"/>
      <c r="AJS107" s="4"/>
      <c r="AJT107" s="4"/>
      <c r="AJU107" s="4"/>
      <c r="AJV107" s="4"/>
      <c r="AJW107" s="4"/>
      <c r="AJX107" s="4"/>
      <c r="AJY107" s="4"/>
      <c r="AJZ107" s="4"/>
      <c r="AKA107" s="4"/>
      <c r="AKB107" s="4"/>
      <c r="AKC107" s="4"/>
      <c r="AKD107" s="4"/>
      <c r="AKE107" s="4"/>
      <c r="AKF107" s="4"/>
      <c r="AKG107" s="4"/>
      <c r="AKH107" s="4"/>
      <c r="AKI107" s="4"/>
      <c r="AKJ107" s="4"/>
      <c r="AKK107" s="4"/>
      <c r="AKL107" s="4"/>
      <c r="AKM107" s="4"/>
      <c r="AKN107" s="4"/>
      <c r="AKO107" s="4"/>
      <c r="AKP107" s="4"/>
      <c r="AKQ107" s="4"/>
      <c r="AKR107" s="4"/>
      <c r="AKS107" s="4"/>
      <c r="AKT107" s="4"/>
      <c r="AKU107" s="4"/>
      <c r="AKV107" s="4"/>
      <c r="AKW107" s="4"/>
      <c r="AKX107" s="4"/>
      <c r="AKY107" s="4"/>
      <c r="AKZ107" s="4"/>
      <c r="ALA107" s="4"/>
      <c r="ALB107" s="4"/>
      <c r="ALC107" s="4"/>
      <c r="ALD107" s="4"/>
      <c r="ALE107" s="4"/>
      <c r="ALF107" s="4"/>
      <c r="ALG107" s="4"/>
      <c r="ALH107" s="4"/>
      <c r="ALI107" s="4"/>
      <c r="ALJ107" s="4"/>
      <c r="ALK107" s="4"/>
      <c r="ALL107" s="4"/>
      <c r="ALM107" s="4"/>
      <c r="ALN107" s="4"/>
      <c r="ALO107" s="4"/>
      <c r="ALP107" s="4"/>
      <c r="ALQ107" s="4"/>
      <c r="ALR107" s="4"/>
      <c r="ALS107" s="4"/>
      <c r="ALT107" s="4"/>
      <c r="ALU107" s="4"/>
      <c r="ALV107" s="4"/>
      <c r="ALW107" s="4"/>
      <c r="ALX107" s="4"/>
      <c r="ALY107" s="4"/>
      <c r="ALZ107" s="4"/>
      <c r="AMA107" s="4"/>
      <c r="AMB107" s="4"/>
      <c r="AMC107" s="4"/>
      <c r="AMD107" s="4"/>
      <c r="AME107" s="4"/>
      <c r="AMF107" s="4"/>
      <c r="AMG107" s="4"/>
      <c r="AMH107" s="4"/>
      <c r="AMI107" s="4"/>
      <c r="AMJ107" s="4"/>
      <c r="AMK107" s="4"/>
      <c r="AML107" s="4"/>
      <c r="AMM107" s="4"/>
      <c r="AMN107" s="4"/>
      <c r="AMO107" s="4"/>
      <c r="AMP107" s="4"/>
      <c r="AMQ107" s="4"/>
      <c r="AMR107" s="4"/>
      <c r="AMS107" s="4"/>
      <c r="AMT107" s="4"/>
      <c r="AMU107" s="4"/>
      <c r="AMV107" s="4"/>
      <c r="AMW107" s="4"/>
      <c r="AMX107" s="4"/>
      <c r="AMY107" s="4"/>
      <c r="AMZ107" s="4"/>
      <c r="ANA107" s="4"/>
      <c r="ANB107" s="4"/>
      <c r="ANC107" s="4"/>
      <c r="AND107" s="4"/>
      <c r="ANE107" s="4"/>
      <c r="ANF107" s="4"/>
      <c r="ANG107" s="4"/>
      <c r="ANH107" s="4"/>
      <c r="ANI107" s="4"/>
      <c r="ANJ107" s="4"/>
      <c r="ANK107" s="4"/>
      <c r="ANL107" s="4"/>
      <c r="ANM107" s="4"/>
      <c r="ANN107" s="4"/>
      <c r="ANO107" s="4"/>
      <c r="ANP107" s="4"/>
      <c r="ANQ107" s="4"/>
      <c r="ANR107" s="4"/>
      <c r="ANS107" s="4"/>
      <c r="ANT107" s="4"/>
      <c r="ANU107" s="4"/>
      <c r="ANV107" s="4"/>
      <c r="ANW107" s="4"/>
      <c r="ANX107" s="4"/>
      <c r="ANY107" s="4"/>
      <c r="ANZ107" s="4"/>
      <c r="AOA107" s="4"/>
      <c r="AOB107" s="4"/>
      <c r="AOC107" s="4"/>
      <c r="AOD107" s="4"/>
      <c r="AOE107" s="4"/>
      <c r="AOF107" s="4"/>
      <c r="AOG107" s="4"/>
      <c r="AOH107" s="4"/>
      <c r="AOI107" s="4"/>
      <c r="AOJ107" s="4"/>
      <c r="AOK107" s="4"/>
      <c r="AOL107" s="4"/>
      <c r="AOM107" s="4"/>
      <c r="AON107" s="4"/>
      <c r="AOO107" s="4"/>
      <c r="AOP107" s="4"/>
      <c r="AOQ107" s="4"/>
      <c r="AOR107" s="4"/>
      <c r="AOS107" s="4"/>
      <c r="AOT107" s="4"/>
      <c r="AOU107" s="4"/>
      <c r="AOV107" s="4"/>
      <c r="AOW107" s="4"/>
      <c r="AOX107" s="4"/>
      <c r="AOY107" s="4"/>
      <c r="AOZ107" s="4"/>
      <c r="APA107" s="4"/>
      <c r="APB107" s="4"/>
      <c r="APC107" s="4"/>
      <c r="APD107" s="4"/>
      <c r="APE107" s="4"/>
      <c r="APF107" s="4"/>
      <c r="APG107" s="4"/>
      <c r="APH107" s="4"/>
      <c r="API107" s="4"/>
      <c r="APJ107" s="4"/>
      <c r="APK107" s="4"/>
      <c r="APL107" s="4"/>
      <c r="APM107" s="4"/>
      <c r="APN107" s="4"/>
      <c r="APO107" s="4"/>
      <c r="APP107" s="4"/>
      <c r="APQ107" s="4"/>
      <c r="APR107" s="4"/>
      <c r="APS107" s="4"/>
      <c r="APT107" s="4"/>
      <c r="APU107" s="4"/>
      <c r="APV107" s="4"/>
      <c r="APW107" s="4"/>
      <c r="APX107" s="4"/>
      <c r="APY107" s="4"/>
      <c r="APZ107" s="4"/>
      <c r="AQA107" s="4"/>
      <c r="AQB107" s="4"/>
      <c r="AQC107" s="4"/>
      <c r="AQD107" s="4"/>
      <c r="AQE107" s="4"/>
      <c r="AQF107" s="4"/>
      <c r="AQG107" s="4"/>
      <c r="AQH107" s="4"/>
      <c r="AQI107" s="4"/>
      <c r="AQJ107" s="4"/>
      <c r="AQK107" s="4"/>
      <c r="AQL107" s="4"/>
      <c r="AQM107" s="4"/>
      <c r="AQN107" s="4"/>
      <c r="AQO107" s="4"/>
      <c r="AQP107" s="4"/>
      <c r="AQQ107" s="4"/>
      <c r="AQR107" s="4"/>
      <c r="AQS107" s="4"/>
      <c r="AQT107" s="4"/>
      <c r="AQU107" s="4"/>
      <c r="AQV107" s="4"/>
      <c r="AQW107" s="4"/>
      <c r="AQX107" s="4"/>
      <c r="AQY107" s="4"/>
      <c r="AQZ107" s="4"/>
      <c r="ARA107" s="4"/>
      <c r="ARB107" s="4"/>
      <c r="ARC107" s="4"/>
      <c r="ARD107" s="4"/>
      <c r="ARE107" s="4"/>
      <c r="ARF107" s="4"/>
      <c r="ARG107" s="4"/>
      <c r="ARH107" s="4"/>
      <c r="ARI107" s="4"/>
      <c r="ARJ107" s="4"/>
      <c r="ARK107" s="4"/>
      <c r="ARL107" s="4"/>
      <c r="ARM107" s="4"/>
      <c r="ARN107" s="4"/>
      <c r="ARO107" s="4"/>
      <c r="ARP107" s="4"/>
      <c r="ARQ107" s="4"/>
      <c r="ARR107" s="4"/>
      <c r="ARS107" s="4"/>
      <c r="ART107" s="4"/>
      <c r="ARU107" s="4"/>
      <c r="ARV107" s="4"/>
      <c r="ARW107" s="4"/>
      <c r="ARX107" s="4"/>
      <c r="ARY107" s="4"/>
      <c r="ARZ107" s="4"/>
      <c r="ASA107" s="4"/>
      <c r="ASB107" s="4"/>
      <c r="ASC107" s="4"/>
      <c r="ASD107" s="4"/>
      <c r="ASE107" s="4"/>
      <c r="ASF107" s="4"/>
      <c r="ASG107" s="4"/>
      <c r="ASH107" s="4"/>
      <c r="ASI107" s="4"/>
      <c r="ASJ107" s="4"/>
      <c r="ASK107" s="4"/>
      <c r="ASL107" s="4"/>
      <c r="ASM107" s="4"/>
      <c r="ASN107" s="4"/>
      <c r="ASO107" s="4"/>
      <c r="ASP107" s="4"/>
      <c r="ASQ107" s="4"/>
      <c r="ASR107" s="4"/>
      <c r="ASS107" s="4"/>
      <c r="AST107" s="4"/>
      <c r="ASU107" s="4"/>
      <c r="ASV107" s="4"/>
      <c r="ASW107" s="4"/>
      <c r="ASX107" s="4"/>
      <c r="ASY107" s="4"/>
      <c r="ASZ107" s="4"/>
      <c r="ATA107" s="4"/>
      <c r="ATB107" s="4"/>
      <c r="ATC107" s="4"/>
      <c r="ATD107" s="4"/>
      <c r="ATE107" s="4"/>
      <c r="ATF107" s="4"/>
      <c r="ATG107" s="4"/>
      <c r="ATH107" s="4"/>
      <c r="ATI107" s="4"/>
      <c r="ATJ107" s="4"/>
      <c r="ATK107" s="4"/>
      <c r="ATL107" s="4"/>
      <c r="ATM107" s="4"/>
      <c r="ATN107" s="4"/>
      <c r="ATO107" s="4"/>
      <c r="ATP107" s="4"/>
      <c r="ATQ107" s="4"/>
      <c r="ATR107" s="4"/>
      <c r="ATS107" s="4"/>
      <c r="ATT107" s="4"/>
      <c r="ATU107" s="4"/>
      <c r="ATV107" s="4"/>
      <c r="ATW107" s="4"/>
      <c r="ATX107" s="4"/>
      <c r="ATY107" s="4"/>
      <c r="ATZ107" s="4"/>
      <c r="AUA107" s="4"/>
      <c r="AUB107" s="4"/>
      <c r="AUC107" s="4"/>
      <c r="AUD107" s="4"/>
      <c r="AUE107" s="4"/>
      <c r="AUF107" s="4"/>
      <c r="AUG107" s="4"/>
      <c r="AUH107" s="4"/>
      <c r="AUI107" s="4"/>
      <c r="AUJ107" s="4"/>
      <c r="AUK107" s="4"/>
      <c r="AUL107" s="4"/>
      <c r="AUM107" s="4"/>
      <c r="AUN107" s="4"/>
      <c r="AUO107" s="4"/>
      <c r="AUP107" s="4"/>
      <c r="AUQ107" s="4"/>
      <c r="AUR107" s="4"/>
      <c r="AUS107" s="4"/>
      <c r="AUT107" s="4"/>
      <c r="AUU107" s="4"/>
      <c r="AUV107" s="4"/>
      <c r="AUW107" s="4"/>
      <c r="AUX107" s="4"/>
      <c r="AUY107" s="4"/>
      <c r="AUZ107" s="4"/>
      <c r="AVA107" s="4"/>
      <c r="AVB107" s="4"/>
      <c r="AVC107" s="4"/>
      <c r="AVD107" s="4"/>
      <c r="AVE107" s="4"/>
      <c r="AVF107" s="4"/>
      <c r="AVG107" s="4"/>
      <c r="AVH107" s="4"/>
      <c r="AVI107" s="4"/>
      <c r="AVJ107" s="4"/>
      <c r="AVK107" s="4"/>
      <c r="AVL107" s="4"/>
      <c r="AVM107" s="4"/>
      <c r="AVN107" s="4"/>
      <c r="AVO107" s="4"/>
      <c r="AVP107" s="4"/>
      <c r="AVQ107" s="4"/>
      <c r="AVR107" s="4"/>
      <c r="AVS107" s="4"/>
      <c r="AVT107" s="4"/>
      <c r="AVU107" s="4"/>
      <c r="AVV107" s="4"/>
      <c r="AVW107" s="4"/>
      <c r="AVX107" s="4"/>
      <c r="AVY107" s="4"/>
      <c r="AVZ107" s="4"/>
      <c r="AWA107" s="4"/>
      <c r="AWB107" s="4"/>
      <c r="AWC107" s="4"/>
      <c r="AWD107" s="4"/>
      <c r="AWE107" s="4"/>
      <c r="AWF107" s="4"/>
      <c r="AWG107" s="4"/>
      <c r="AWH107" s="4"/>
      <c r="AWI107" s="4"/>
      <c r="AWJ107" s="4"/>
      <c r="AWK107" s="4"/>
      <c r="AWL107" s="4"/>
      <c r="AWM107" s="4"/>
      <c r="AWN107" s="4"/>
      <c r="AWO107" s="4"/>
      <c r="AWP107" s="4"/>
      <c r="AWQ107" s="4"/>
      <c r="AWR107" s="4"/>
      <c r="AWS107" s="4"/>
      <c r="AWT107" s="4"/>
      <c r="AWU107" s="4"/>
      <c r="AWV107" s="4"/>
      <c r="AWW107" s="4"/>
      <c r="AWX107" s="4"/>
      <c r="AWY107" s="4"/>
      <c r="AWZ107" s="4"/>
      <c r="AXA107" s="4"/>
      <c r="AXB107" s="4"/>
      <c r="AXC107" s="4"/>
      <c r="AXD107" s="4"/>
      <c r="AXE107" s="4"/>
      <c r="AXF107" s="4"/>
      <c r="AXG107" s="4"/>
      <c r="AXH107" s="4"/>
      <c r="AXI107" s="4"/>
      <c r="AXJ107" s="4"/>
      <c r="AXK107" s="4"/>
      <c r="AXL107" s="4"/>
      <c r="AXM107" s="4"/>
      <c r="AXN107" s="4"/>
      <c r="AXO107" s="4"/>
      <c r="AXP107" s="4"/>
      <c r="AXQ107" s="4"/>
      <c r="AXR107" s="4"/>
      <c r="AXS107" s="4"/>
      <c r="AXT107" s="4"/>
      <c r="AXU107" s="4"/>
      <c r="AXV107" s="4"/>
      <c r="AXW107" s="4"/>
      <c r="AXX107" s="4"/>
      <c r="AXY107" s="4"/>
      <c r="AXZ107" s="4"/>
      <c r="AYA107" s="4"/>
      <c r="AYB107" s="4"/>
      <c r="AYC107" s="4"/>
      <c r="AYD107" s="4"/>
      <c r="AYE107" s="4"/>
      <c r="AYF107" s="4"/>
      <c r="AYG107" s="4"/>
      <c r="AYH107" s="4"/>
      <c r="AYI107" s="4"/>
      <c r="AYJ107" s="4"/>
      <c r="AYK107" s="4"/>
      <c r="AYL107" s="4"/>
      <c r="AYM107" s="4"/>
      <c r="AYN107" s="4"/>
      <c r="AYO107" s="4"/>
      <c r="AYP107" s="4"/>
      <c r="AYQ107" s="4"/>
      <c r="AYR107" s="4"/>
      <c r="AYS107" s="4"/>
      <c r="AYT107" s="4"/>
      <c r="AYU107" s="4"/>
      <c r="AYV107" s="4"/>
      <c r="AYW107" s="4"/>
      <c r="AYX107" s="4"/>
      <c r="AYY107" s="4"/>
      <c r="AYZ107" s="4"/>
      <c r="AZA107" s="4"/>
      <c r="AZB107" s="4"/>
      <c r="AZC107" s="4"/>
      <c r="AZD107" s="4"/>
      <c r="AZE107" s="4"/>
      <c r="AZF107" s="4"/>
      <c r="AZG107" s="4"/>
      <c r="AZH107" s="4"/>
      <c r="AZI107" s="4"/>
      <c r="AZJ107" s="4"/>
      <c r="AZK107" s="4"/>
      <c r="AZL107" s="4"/>
      <c r="AZM107" s="4"/>
      <c r="AZN107" s="4"/>
      <c r="AZO107" s="4"/>
      <c r="AZP107" s="4"/>
      <c r="AZQ107" s="4"/>
      <c r="AZR107" s="4"/>
      <c r="AZS107" s="4"/>
      <c r="AZT107" s="4"/>
      <c r="AZU107" s="4"/>
      <c r="AZV107" s="4"/>
      <c r="AZW107" s="4"/>
      <c r="AZX107" s="4"/>
      <c r="AZY107" s="4"/>
      <c r="AZZ107" s="4"/>
      <c r="BAA107" s="4"/>
      <c r="BAB107" s="4"/>
      <c r="BAC107" s="4"/>
      <c r="BAD107" s="4"/>
      <c r="BAE107" s="4"/>
      <c r="BAF107" s="4"/>
      <c r="BAG107" s="4"/>
      <c r="BAH107" s="4"/>
      <c r="BAI107" s="4"/>
      <c r="BAJ107" s="4"/>
      <c r="BAK107" s="4"/>
      <c r="BAL107" s="4"/>
      <c r="BAM107" s="4"/>
      <c r="BAN107" s="4"/>
      <c r="BAO107" s="4"/>
      <c r="BAP107" s="4"/>
      <c r="BAQ107" s="4"/>
      <c r="BAR107" s="4"/>
      <c r="BAS107" s="4"/>
      <c r="BAT107" s="4"/>
      <c r="BAU107" s="4"/>
      <c r="BAV107" s="4"/>
      <c r="BAW107" s="4"/>
      <c r="BAX107" s="4"/>
      <c r="BAY107" s="4"/>
      <c r="BAZ107" s="4"/>
      <c r="BBA107" s="4"/>
      <c r="BBB107" s="4"/>
      <c r="BBC107" s="4"/>
      <c r="BBD107" s="4"/>
      <c r="BBE107" s="4"/>
      <c r="BBF107" s="4"/>
      <c r="BBG107" s="4"/>
      <c r="BBH107" s="4"/>
      <c r="BBI107" s="4"/>
      <c r="BBJ107" s="4"/>
      <c r="BBK107" s="4"/>
      <c r="BBL107" s="4"/>
      <c r="BBM107" s="4"/>
      <c r="BBN107" s="4"/>
      <c r="BBO107" s="4"/>
      <c r="BBP107" s="4"/>
      <c r="BBQ107" s="4"/>
      <c r="BBR107" s="4"/>
      <c r="BBS107" s="4"/>
      <c r="BBT107" s="4"/>
      <c r="BBU107" s="4"/>
      <c r="BBV107" s="4"/>
      <c r="BBW107" s="4"/>
      <c r="BBX107" s="4"/>
      <c r="BBY107" s="4"/>
      <c r="BBZ107" s="4"/>
      <c r="BCA107" s="4"/>
      <c r="BCB107" s="4"/>
      <c r="BCC107" s="4"/>
      <c r="BCD107" s="4"/>
      <c r="BCE107" s="4"/>
      <c r="BCF107" s="4"/>
      <c r="BCG107" s="4"/>
      <c r="BCH107" s="4"/>
      <c r="BCI107" s="4"/>
      <c r="BCJ107" s="4"/>
      <c r="BCK107" s="4"/>
      <c r="BCL107" s="4"/>
      <c r="BCM107" s="4"/>
      <c r="BCN107" s="4"/>
      <c r="BCO107" s="4"/>
      <c r="BCP107" s="4"/>
      <c r="BCQ107" s="4"/>
      <c r="BCR107" s="4"/>
      <c r="BCS107" s="4"/>
      <c r="BCT107" s="4"/>
      <c r="BCU107" s="4"/>
      <c r="BCV107" s="4"/>
      <c r="BCW107" s="4"/>
      <c r="BCX107" s="4"/>
      <c r="BCY107" s="4"/>
      <c r="BCZ107" s="4"/>
      <c r="BDA107" s="4"/>
      <c r="BDB107" s="4"/>
      <c r="BDC107" s="4"/>
      <c r="BDD107" s="4"/>
      <c r="BDE107" s="4"/>
      <c r="BDF107" s="4"/>
      <c r="BDG107" s="4"/>
      <c r="BDH107" s="4"/>
      <c r="BDI107" s="4"/>
      <c r="BDJ107" s="4"/>
      <c r="BDK107" s="4"/>
      <c r="BDL107" s="4"/>
      <c r="BDM107" s="4"/>
      <c r="BDN107" s="4"/>
      <c r="BDO107" s="4"/>
      <c r="BDP107" s="4"/>
      <c r="BDQ107" s="4"/>
      <c r="BDR107" s="4"/>
      <c r="BDS107" s="4"/>
      <c r="BDT107" s="4"/>
      <c r="BDU107" s="4"/>
      <c r="BDV107" s="4"/>
      <c r="BDW107" s="4"/>
      <c r="BDX107" s="4"/>
      <c r="BDY107" s="4"/>
      <c r="BDZ107" s="4"/>
      <c r="BEA107" s="4"/>
      <c r="BEB107" s="4"/>
      <c r="BEC107" s="4"/>
      <c r="BED107" s="4"/>
      <c r="BEE107" s="4"/>
      <c r="BEF107" s="4"/>
      <c r="BEG107" s="4"/>
      <c r="BEH107" s="4"/>
      <c r="BEI107" s="4"/>
      <c r="BEJ107" s="4"/>
      <c r="BEK107" s="4"/>
      <c r="BEL107" s="4"/>
      <c r="BEM107" s="4"/>
      <c r="BEN107" s="4"/>
      <c r="BEO107" s="4"/>
      <c r="BEP107" s="4"/>
      <c r="BEQ107" s="4"/>
      <c r="BER107" s="4"/>
      <c r="BES107" s="4"/>
      <c r="BET107" s="4"/>
      <c r="BEU107" s="4"/>
      <c r="BEV107" s="4"/>
      <c r="BEW107" s="4"/>
      <c r="BEX107" s="4"/>
      <c r="BEY107" s="4"/>
      <c r="BEZ107" s="4"/>
      <c r="BFA107" s="4"/>
      <c r="BFB107" s="4"/>
      <c r="BFC107" s="4"/>
      <c r="BFD107" s="4"/>
      <c r="BFE107" s="4"/>
      <c r="BFF107" s="4"/>
      <c r="BFG107" s="4"/>
      <c r="BFH107" s="4"/>
      <c r="BFI107" s="4"/>
      <c r="BFJ107" s="4"/>
      <c r="BFK107" s="4"/>
      <c r="BFL107" s="4"/>
      <c r="BFM107" s="4"/>
      <c r="BFN107" s="4"/>
      <c r="BFO107" s="4"/>
      <c r="BFP107" s="4"/>
      <c r="BFQ107" s="4"/>
      <c r="BFR107" s="4"/>
      <c r="BFS107" s="4"/>
      <c r="BFT107" s="4"/>
      <c r="BFU107" s="4"/>
      <c r="BFV107" s="4"/>
      <c r="BFW107" s="4"/>
      <c r="BFX107" s="4"/>
      <c r="BFY107" s="4"/>
      <c r="BFZ107" s="4"/>
      <c r="BGA107" s="4"/>
      <c r="BGB107" s="4"/>
      <c r="BGC107" s="4"/>
      <c r="BGD107" s="4"/>
      <c r="BGE107" s="4"/>
      <c r="BGF107" s="4"/>
      <c r="BGG107" s="4"/>
      <c r="BGH107" s="4"/>
      <c r="BGI107" s="4"/>
      <c r="BGJ107" s="4"/>
      <c r="BGK107" s="4"/>
      <c r="BGL107" s="4"/>
      <c r="BGM107" s="4"/>
      <c r="BGN107" s="4"/>
      <c r="BGO107" s="4"/>
      <c r="BGP107" s="4"/>
      <c r="BGQ107" s="4"/>
      <c r="BGR107" s="4"/>
      <c r="BGS107" s="4"/>
      <c r="BGT107" s="4"/>
      <c r="BGU107" s="4"/>
      <c r="BGV107" s="4"/>
      <c r="BGW107" s="4"/>
      <c r="BGX107" s="4"/>
      <c r="BGY107" s="4"/>
      <c r="BGZ107" s="4"/>
      <c r="BHA107" s="4"/>
      <c r="BHB107" s="4"/>
      <c r="BHC107" s="4"/>
      <c r="BHD107" s="4"/>
      <c r="BHE107" s="4"/>
      <c r="BHF107" s="4"/>
      <c r="BHG107" s="4"/>
      <c r="BHH107" s="4"/>
      <c r="BHI107" s="4"/>
      <c r="BHJ107" s="4"/>
      <c r="BHK107" s="4"/>
      <c r="BHL107" s="4"/>
      <c r="BHM107" s="4"/>
      <c r="BHN107" s="4"/>
      <c r="BHO107" s="4"/>
      <c r="BHP107" s="4"/>
      <c r="BHQ107" s="4"/>
      <c r="BHR107" s="4"/>
      <c r="BHS107" s="4"/>
      <c r="BHT107" s="4"/>
      <c r="BHU107" s="4"/>
      <c r="BHV107" s="4"/>
      <c r="BHW107" s="4"/>
      <c r="BHX107" s="4"/>
      <c r="BHY107" s="4"/>
      <c r="BHZ107" s="4"/>
      <c r="BIA107" s="4"/>
      <c r="BIB107" s="4"/>
      <c r="BIC107" s="4"/>
      <c r="BID107" s="4"/>
      <c r="BIE107" s="4"/>
      <c r="BIF107" s="4"/>
      <c r="BIG107" s="4"/>
      <c r="BIH107" s="4"/>
      <c r="BII107" s="4"/>
      <c r="BIJ107" s="4"/>
      <c r="BIK107" s="4"/>
      <c r="BIL107" s="4"/>
      <c r="BIM107" s="4"/>
      <c r="BIN107" s="4"/>
      <c r="BIO107" s="4"/>
      <c r="BIP107" s="4"/>
      <c r="BIQ107" s="4"/>
      <c r="BIR107" s="4"/>
      <c r="BIS107" s="4"/>
      <c r="BIT107" s="4"/>
      <c r="BIU107" s="4"/>
      <c r="BIV107" s="4"/>
      <c r="BIW107" s="4"/>
      <c r="BIX107" s="4"/>
      <c r="BIY107" s="4"/>
      <c r="BIZ107" s="4"/>
      <c r="BJA107" s="4"/>
      <c r="BJB107" s="4"/>
      <c r="BJC107" s="4"/>
      <c r="BJD107" s="4"/>
      <c r="BJE107" s="4"/>
      <c r="BJF107" s="4"/>
      <c r="BJG107" s="4"/>
      <c r="BJH107" s="4"/>
      <c r="BJI107" s="4"/>
      <c r="BJJ107" s="4"/>
      <c r="BJK107" s="4"/>
      <c r="BJL107" s="4"/>
      <c r="BJM107" s="4"/>
      <c r="BJN107" s="4"/>
      <c r="BJO107" s="4"/>
      <c r="BJP107" s="4"/>
      <c r="BJQ107" s="4"/>
      <c r="BJR107" s="4"/>
      <c r="BJS107" s="4"/>
      <c r="BJT107" s="4"/>
      <c r="BJU107" s="4"/>
      <c r="BJV107" s="4"/>
      <c r="BJW107" s="4"/>
      <c r="BJX107" s="4"/>
      <c r="BJY107" s="4"/>
      <c r="BJZ107" s="4"/>
      <c r="BKA107" s="4"/>
      <c r="BKB107" s="4"/>
      <c r="BKC107" s="4"/>
      <c r="BKD107" s="4"/>
      <c r="BKE107" s="4"/>
      <c r="BKF107" s="4"/>
      <c r="BKG107" s="4"/>
      <c r="BKH107" s="4"/>
      <c r="BKI107" s="4"/>
      <c r="BKJ107" s="4"/>
      <c r="BKK107" s="4"/>
      <c r="BKL107" s="4"/>
      <c r="BKM107" s="4"/>
      <c r="BKN107" s="4"/>
      <c r="BKO107" s="4"/>
      <c r="BKP107" s="4"/>
      <c r="BKQ107" s="4"/>
      <c r="BKR107" s="4"/>
      <c r="BKS107" s="4"/>
      <c r="BKT107" s="4"/>
      <c r="BKU107" s="4"/>
      <c r="BKV107" s="4"/>
      <c r="BKW107" s="4"/>
      <c r="BKX107" s="4"/>
      <c r="BKY107" s="4"/>
      <c r="BKZ107" s="4"/>
      <c r="BLA107" s="4"/>
      <c r="BLB107" s="4"/>
      <c r="BLC107" s="4"/>
      <c r="BLD107" s="4"/>
      <c r="BLE107" s="4"/>
      <c r="BLF107" s="4"/>
      <c r="BLG107" s="4"/>
      <c r="BLH107" s="4"/>
      <c r="BLI107" s="4"/>
      <c r="BLJ107" s="4"/>
      <c r="BLK107" s="4"/>
      <c r="BLL107" s="4"/>
      <c r="BLM107" s="4"/>
      <c r="BLN107" s="4"/>
      <c r="BLO107" s="4"/>
      <c r="BLP107" s="4"/>
      <c r="BLQ107" s="4"/>
      <c r="BLR107" s="4"/>
      <c r="BLS107" s="4"/>
      <c r="BLT107" s="4"/>
      <c r="BLU107" s="4"/>
      <c r="BLV107" s="4"/>
      <c r="BLW107" s="4"/>
      <c r="BLX107" s="4"/>
      <c r="BLY107" s="4"/>
      <c r="BLZ107" s="4"/>
      <c r="BMA107" s="4"/>
      <c r="BMB107" s="4"/>
      <c r="BMC107" s="4"/>
      <c r="BMD107" s="4"/>
      <c r="BME107" s="4"/>
      <c r="BMF107" s="4"/>
      <c r="BMG107" s="4"/>
      <c r="BMH107" s="4"/>
      <c r="BMI107" s="4"/>
      <c r="BMJ107" s="4"/>
      <c r="BMK107" s="4"/>
      <c r="BML107" s="4"/>
      <c r="BMM107" s="4"/>
      <c r="BMN107" s="4"/>
      <c r="BMO107" s="4"/>
      <c r="BMP107" s="4"/>
      <c r="BMQ107" s="4"/>
      <c r="BMR107" s="4"/>
      <c r="BMS107" s="4"/>
      <c r="BMT107" s="4"/>
      <c r="BMU107" s="4"/>
      <c r="BMV107" s="4"/>
      <c r="BMW107" s="4"/>
      <c r="BMX107" s="4"/>
      <c r="BMY107" s="4"/>
      <c r="BMZ107" s="4"/>
      <c r="BNA107" s="4"/>
      <c r="BNB107" s="4"/>
      <c r="BNC107" s="4"/>
      <c r="BND107" s="4"/>
      <c r="BNE107" s="4"/>
      <c r="BNF107" s="4"/>
      <c r="BNG107" s="4"/>
      <c r="BNH107" s="4"/>
      <c r="BNI107" s="4"/>
      <c r="BNJ107" s="4"/>
      <c r="BNK107" s="4"/>
      <c r="BNL107" s="4"/>
      <c r="BNM107" s="4"/>
      <c r="BNN107" s="4"/>
      <c r="BNO107" s="4"/>
      <c r="BNP107" s="4"/>
      <c r="BNQ107" s="4"/>
      <c r="BNR107" s="4"/>
      <c r="BNS107" s="4"/>
      <c r="BNT107" s="4"/>
      <c r="BNU107" s="4"/>
      <c r="BNV107" s="4"/>
      <c r="BNW107" s="4"/>
      <c r="BNX107" s="4"/>
      <c r="BNY107" s="4"/>
      <c r="BNZ107" s="4"/>
      <c r="BOA107" s="4"/>
      <c r="BOB107" s="4"/>
      <c r="BOC107" s="4"/>
      <c r="BOD107" s="4"/>
      <c r="BOE107" s="4"/>
      <c r="BOF107" s="4"/>
      <c r="BOG107" s="4"/>
      <c r="BOH107" s="4"/>
      <c r="BOI107" s="4"/>
      <c r="BOJ107" s="4"/>
      <c r="BOK107" s="4"/>
      <c r="BOL107" s="4"/>
      <c r="BOM107" s="4"/>
      <c r="BON107" s="4"/>
      <c r="BOO107" s="4"/>
      <c r="BOP107" s="4"/>
      <c r="BOQ107" s="4"/>
      <c r="BOR107" s="4"/>
      <c r="BOS107" s="4"/>
      <c r="BOT107" s="4"/>
      <c r="BOU107" s="4"/>
      <c r="BOV107" s="4"/>
      <c r="BOW107" s="4"/>
      <c r="BOX107" s="4"/>
      <c r="BOY107" s="4"/>
      <c r="BOZ107" s="4"/>
      <c r="BPA107" s="4"/>
      <c r="BPB107" s="4"/>
      <c r="BPC107" s="4"/>
      <c r="BPD107" s="4"/>
      <c r="BPE107" s="4"/>
      <c r="BPF107" s="4"/>
      <c r="BPG107" s="4"/>
      <c r="BPH107" s="4"/>
      <c r="BPI107" s="4"/>
      <c r="BPJ107" s="4"/>
      <c r="BPK107" s="4"/>
      <c r="BPL107" s="4"/>
      <c r="BPM107" s="4"/>
      <c r="BPN107" s="4"/>
      <c r="BPO107" s="4"/>
      <c r="BPP107" s="4"/>
      <c r="BPQ107" s="4"/>
      <c r="BPR107" s="4"/>
      <c r="BPS107" s="4"/>
      <c r="BPT107" s="4"/>
      <c r="BPU107" s="4"/>
      <c r="BPV107" s="4"/>
      <c r="BPW107" s="4"/>
      <c r="BPX107" s="4"/>
      <c r="BPY107" s="4"/>
      <c r="BPZ107" s="4"/>
      <c r="BQA107" s="4"/>
      <c r="BQB107" s="4"/>
      <c r="BQC107" s="4"/>
      <c r="BQD107" s="4"/>
      <c r="BQE107" s="4"/>
      <c r="BQF107" s="4"/>
      <c r="BQG107" s="4"/>
      <c r="BQH107" s="4"/>
      <c r="BQI107" s="4"/>
      <c r="BQJ107" s="4"/>
      <c r="BQK107" s="4"/>
      <c r="BQL107" s="4"/>
      <c r="BQM107" s="4"/>
      <c r="BQN107" s="4"/>
      <c r="BQO107" s="4"/>
      <c r="BQP107" s="4"/>
      <c r="BQQ107" s="4"/>
      <c r="BQR107" s="4"/>
      <c r="BQS107" s="4"/>
      <c r="BQT107" s="4"/>
      <c r="BQU107" s="4"/>
      <c r="BQV107" s="4"/>
      <c r="BQW107" s="4"/>
      <c r="BQX107" s="4"/>
      <c r="BQY107" s="4"/>
      <c r="BQZ107" s="4"/>
      <c r="BRA107" s="4"/>
      <c r="BRB107" s="4"/>
      <c r="BRC107" s="4"/>
      <c r="BRD107" s="4"/>
      <c r="BRE107" s="4"/>
      <c r="BRF107" s="4"/>
      <c r="BRG107" s="4"/>
      <c r="BRH107" s="4"/>
      <c r="BRI107" s="4"/>
      <c r="BRJ107" s="4"/>
      <c r="BRK107" s="4"/>
      <c r="BRL107" s="4"/>
      <c r="BRM107" s="4"/>
      <c r="BRN107" s="4"/>
      <c r="BRO107" s="4"/>
      <c r="BRP107" s="4"/>
      <c r="BRQ107" s="4"/>
      <c r="BRR107" s="4"/>
      <c r="BRS107" s="4"/>
      <c r="BRT107" s="4"/>
      <c r="BRU107" s="4"/>
      <c r="BRV107" s="4"/>
      <c r="BRW107" s="4"/>
      <c r="BRX107" s="4"/>
      <c r="BRY107" s="4"/>
      <c r="BRZ107" s="4"/>
      <c r="BSA107" s="4"/>
      <c r="BSB107" s="4"/>
      <c r="BSC107" s="4"/>
      <c r="BSD107" s="4"/>
      <c r="BSE107" s="4"/>
      <c r="BSF107" s="4"/>
      <c r="BSG107" s="4"/>
      <c r="BSH107" s="4"/>
      <c r="BSI107" s="4"/>
      <c r="BSJ107" s="4"/>
      <c r="BSK107" s="4"/>
      <c r="BSL107" s="4"/>
      <c r="BSM107" s="4"/>
      <c r="BSN107" s="4"/>
      <c r="BSO107" s="4"/>
      <c r="BSP107" s="4"/>
      <c r="BSQ107" s="4"/>
      <c r="BSR107" s="4"/>
      <c r="BSS107" s="4"/>
      <c r="BST107" s="4"/>
      <c r="BSU107" s="4"/>
      <c r="BSV107" s="4"/>
      <c r="BSW107" s="4"/>
      <c r="BSX107" s="4"/>
      <c r="BSY107" s="4"/>
      <c r="BSZ107" s="4"/>
      <c r="BTA107" s="4"/>
      <c r="BTB107" s="4"/>
      <c r="BTC107" s="4"/>
      <c r="BTD107" s="4"/>
      <c r="BTE107" s="4"/>
      <c r="BTF107" s="4"/>
      <c r="BTG107" s="4"/>
      <c r="BTH107" s="4"/>
      <c r="BTI107" s="4"/>
      <c r="BTJ107" s="4"/>
      <c r="BTK107" s="4"/>
      <c r="BTL107" s="4"/>
      <c r="BTM107" s="4"/>
      <c r="BTN107" s="4"/>
      <c r="BTO107" s="4"/>
      <c r="BTP107" s="4"/>
      <c r="BTQ107" s="4"/>
      <c r="BTR107" s="4"/>
      <c r="BTS107" s="4"/>
      <c r="BTT107" s="4"/>
      <c r="BTU107" s="4"/>
      <c r="BTV107" s="4"/>
      <c r="BTW107" s="4"/>
      <c r="BTX107" s="4"/>
      <c r="BTY107" s="4"/>
      <c r="BTZ107" s="4"/>
      <c r="BUA107" s="4"/>
      <c r="BUB107" s="4"/>
      <c r="BUC107" s="4"/>
      <c r="BUD107" s="4"/>
      <c r="BUE107" s="4"/>
      <c r="BUF107" s="4"/>
      <c r="BUG107" s="4"/>
      <c r="BUH107" s="4"/>
      <c r="BUI107" s="4"/>
      <c r="BUJ107" s="4"/>
      <c r="BUK107" s="4"/>
      <c r="BUL107" s="4"/>
      <c r="BUM107" s="4"/>
      <c r="BUN107" s="4"/>
      <c r="BUO107" s="4"/>
      <c r="BUP107" s="4"/>
      <c r="BUQ107" s="4"/>
      <c r="BUR107" s="4"/>
      <c r="BUS107" s="4"/>
      <c r="BUT107" s="4"/>
      <c r="BUU107" s="4"/>
      <c r="BUV107" s="4"/>
      <c r="BUW107" s="4"/>
      <c r="BUX107" s="4"/>
      <c r="BUY107" s="4"/>
      <c r="BUZ107" s="4"/>
      <c r="BVA107" s="4"/>
      <c r="BVB107" s="4"/>
      <c r="BVC107" s="4"/>
      <c r="BVD107" s="4"/>
      <c r="BVE107" s="4"/>
      <c r="BVF107" s="4"/>
      <c r="BVG107" s="4"/>
      <c r="BVH107" s="4"/>
      <c r="BVI107" s="4"/>
      <c r="BVJ107" s="4"/>
      <c r="BVK107" s="4"/>
      <c r="BVL107" s="4"/>
      <c r="BVM107" s="4"/>
      <c r="BVN107" s="4"/>
      <c r="BVO107" s="4"/>
      <c r="BVP107" s="4"/>
      <c r="BVQ107" s="4"/>
      <c r="BVR107" s="4"/>
      <c r="BVS107" s="4"/>
      <c r="BVT107" s="4"/>
      <c r="BVU107" s="4"/>
      <c r="BVV107" s="4"/>
      <c r="BVW107" s="4"/>
      <c r="BVX107" s="4"/>
      <c r="BVY107" s="4"/>
      <c r="BVZ107" s="4"/>
      <c r="BWA107" s="4"/>
      <c r="BWB107" s="4"/>
      <c r="BWC107" s="4"/>
      <c r="BWD107" s="4"/>
      <c r="BWE107" s="4"/>
      <c r="BWF107" s="4"/>
      <c r="BWG107" s="4"/>
      <c r="BWH107" s="4"/>
      <c r="BWI107" s="4"/>
      <c r="BWJ107" s="4"/>
      <c r="BWK107" s="4"/>
      <c r="BWL107" s="4"/>
      <c r="BWM107" s="4"/>
      <c r="BWN107" s="4"/>
      <c r="BWO107" s="4"/>
      <c r="BWP107" s="4"/>
      <c r="BWQ107" s="4"/>
      <c r="BWR107" s="4"/>
      <c r="BWS107" s="4"/>
      <c r="BWT107" s="4"/>
      <c r="BWU107" s="4"/>
      <c r="BWV107" s="4"/>
      <c r="BWW107" s="4"/>
      <c r="BWX107" s="4"/>
      <c r="BWY107" s="4"/>
      <c r="BWZ107" s="4"/>
      <c r="BXA107" s="4"/>
      <c r="BXB107" s="4"/>
      <c r="BXC107" s="4"/>
      <c r="BXD107" s="4"/>
      <c r="BXE107" s="4"/>
      <c r="BXF107" s="4"/>
      <c r="BXG107" s="4"/>
      <c r="BXH107" s="4"/>
      <c r="BXI107" s="4"/>
      <c r="BXJ107" s="4"/>
      <c r="BXK107" s="4"/>
      <c r="BXL107" s="4"/>
      <c r="BXM107" s="4"/>
      <c r="BXN107" s="4"/>
      <c r="BXO107" s="4"/>
      <c r="BXP107" s="4"/>
      <c r="BXQ107" s="4"/>
      <c r="BXR107" s="4"/>
      <c r="BXS107" s="4"/>
      <c r="BXT107" s="4"/>
      <c r="BXU107" s="4"/>
      <c r="BXV107" s="4"/>
      <c r="BXW107" s="4"/>
      <c r="BXX107" s="4"/>
      <c r="BXY107" s="4"/>
      <c r="BXZ107" s="4"/>
      <c r="BYA107" s="4"/>
      <c r="BYB107" s="4"/>
      <c r="BYC107" s="4"/>
      <c r="BYD107" s="4"/>
      <c r="BYE107" s="4"/>
      <c r="BYF107" s="4"/>
      <c r="BYG107" s="4"/>
      <c r="BYH107" s="4"/>
      <c r="BYI107" s="4"/>
      <c r="BYJ107" s="4"/>
      <c r="BYK107" s="4"/>
      <c r="BYL107" s="4"/>
      <c r="BYM107" s="4"/>
      <c r="BYN107" s="4"/>
      <c r="BYO107" s="4"/>
      <c r="BYP107" s="4"/>
      <c r="BYQ107" s="4"/>
      <c r="BYR107" s="4"/>
      <c r="BYS107" s="4"/>
      <c r="BYT107" s="4"/>
      <c r="BYU107" s="4"/>
      <c r="BYV107" s="4"/>
      <c r="BYW107" s="4"/>
      <c r="BYX107" s="4"/>
      <c r="BYY107" s="4"/>
      <c r="BYZ107" s="4"/>
      <c r="BZA107" s="4"/>
      <c r="BZB107" s="4"/>
      <c r="BZC107" s="4"/>
      <c r="BZD107" s="4"/>
      <c r="BZE107" s="4"/>
      <c r="BZF107" s="4"/>
      <c r="BZG107" s="4"/>
      <c r="BZH107" s="4"/>
      <c r="BZI107" s="4"/>
      <c r="BZJ107" s="4"/>
      <c r="BZK107" s="4"/>
      <c r="BZL107" s="4"/>
      <c r="BZM107" s="4"/>
      <c r="BZN107" s="4"/>
      <c r="BZO107" s="4"/>
      <c r="BZP107" s="4"/>
      <c r="BZQ107" s="4"/>
      <c r="BZR107" s="4"/>
      <c r="BZS107" s="4"/>
      <c r="BZT107" s="4"/>
      <c r="BZU107" s="4"/>
      <c r="BZV107" s="4"/>
      <c r="BZW107" s="4"/>
      <c r="BZX107" s="4"/>
      <c r="BZY107" s="4"/>
      <c r="BZZ107" s="4"/>
      <c r="CAA107" s="4"/>
      <c r="CAB107" s="4"/>
      <c r="CAC107" s="4"/>
      <c r="CAD107" s="4"/>
      <c r="CAE107" s="4"/>
      <c r="CAF107" s="4"/>
      <c r="CAG107" s="4"/>
      <c r="CAH107" s="4"/>
      <c r="CAI107" s="4"/>
      <c r="CAJ107" s="4"/>
      <c r="CAK107" s="4"/>
      <c r="CAL107" s="4"/>
      <c r="CAM107" s="4"/>
      <c r="CAN107" s="4"/>
      <c r="CAO107" s="4"/>
      <c r="CAP107" s="4"/>
      <c r="CAQ107" s="4"/>
      <c r="CAR107" s="4"/>
      <c r="CAS107" s="4"/>
      <c r="CAT107" s="4"/>
      <c r="CAU107" s="4"/>
      <c r="CAV107" s="4"/>
      <c r="CAW107" s="4"/>
      <c r="CAX107" s="4"/>
      <c r="CAY107" s="4"/>
      <c r="CAZ107" s="4"/>
      <c r="CBA107" s="4"/>
      <c r="CBB107" s="4"/>
      <c r="CBC107" s="4"/>
      <c r="CBD107" s="4"/>
      <c r="CBE107" s="4"/>
      <c r="CBF107" s="4"/>
      <c r="CBG107" s="4"/>
      <c r="CBH107" s="4"/>
      <c r="CBI107" s="4"/>
      <c r="CBJ107" s="4"/>
      <c r="CBK107" s="4"/>
      <c r="CBL107" s="4"/>
      <c r="CBM107" s="4"/>
      <c r="CBN107" s="4"/>
      <c r="CBO107" s="4"/>
      <c r="CBP107" s="4"/>
      <c r="CBQ107" s="4"/>
      <c r="CBR107" s="4"/>
      <c r="CBS107" s="4"/>
      <c r="CBT107" s="4"/>
      <c r="CBU107" s="4"/>
      <c r="CBV107" s="4"/>
      <c r="CBW107" s="4"/>
      <c r="CBX107" s="4"/>
      <c r="CBY107" s="4"/>
      <c r="CBZ107" s="4"/>
      <c r="CCA107" s="4"/>
      <c r="CCB107" s="4"/>
      <c r="CCC107" s="4"/>
      <c r="CCD107" s="4"/>
      <c r="CCE107" s="4"/>
      <c r="CCF107" s="4"/>
      <c r="CCG107" s="4"/>
      <c r="CCH107" s="4"/>
      <c r="CCI107" s="4"/>
      <c r="CCJ107" s="4"/>
      <c r="CCK107" s="4"/>
      <c r="CCL107" s="4"/>
      <c r="CCM107" s="4"/>
      <c r="CCN107" s="4"/>
      <c r="CCO107" s="4"/>
      <c r="CCP107" s="4"/>
      <c r="CCQ107" s="4"/>
      <c r="CCR107" s="4"/>
      <c r="CCS107" s="4"/>
      <c r="CCT107" s="4"/>
      <c r="CCU107" s="4"/>
      <c r="CCV107" s="4"/>
      <c r="CCW107" s="4"/>
      <c r="CCX107" s="4"/>
      <c r="CCY107" s="4"/>
      <c r="CCZ107" s="4"/>
      <c r="CDA107" s="4"/>
      <c r="CDB107" s="4"/>
      <c r="CDC107" s="4"/>
      <c r="CDD107" s="4"/>
      <c r="CDE107" s="4"/>
      <c r="CDF107" s="4"/>
      <c r="CDG107" s="4"/>
      <c r="CDH107" s="4"/>
      <c r="CDI107" s="4"/>
      <c r="CDJ107" s="4"/>
      <c r="CDK107" s="4"/>
      <c r="CDL107" s="4"/>
      <c r="CDM107" s="4"/>
      <c r="CDN107" s="4"/>
      <c r="CDO107" s="4"/>
      <c r="CDP107" s="4"/>
      <c r="CDQ107" s="4"/>
      <c r="CDR107" s="4"/>
      <c r="CDS107" s="4"/>
      <c r="CDT107" s="4"/>
      <c r="CDU107" s="4"/>
      <c r="CDV107" s="4"/>
      <c r="CDW107" s="4"/>
      <c r="CDX107" s="4"/>
      <c r="CDY107" s="4"/>
      <c r="CDZ107" s="4"/>
      <c r="CEA107" s="4"/>
      <c r="CEB107" s="4"/>
      <c r="CEC107" s="4"/>
      <c r="CED107" s="4"/>
      <c r="CEE107" s="4"/>
      <c r="CEF107" s="4"/>
      <c r="CEG107" s="4"/>
      <c r="CEH107" s="4"/>
      <c r="CEI107" s="4"/>
      <c r="CEJ107" s="4"/>
      <c r="CEK107" s="4"/>
      <c r="CEL107" s="4"/>
      <c r="CEM107" s="4"/>
      <c r="CEN107" s="4"/>
      <c r="CEO107" s="4"/>
      <c r="CEP107" s="4"/>
      <c r="CEQ107" s="4"/>
      <c r="CER107" s="4"/>
      <c r="CES107" s="4"/>
      <c r="CET107" s="4"/>
      <c r="CEU107" s="4"/>
      <c r="CEV107" s="4"/>
      <c r="CEW107" s="4"/>
      <c r="CEX107" s="4"/>
      <c r="CEY107" s="4"/>
      <c r="CEZ107" s="4"/>
      <c r="CFA107" s="4"/>
      <c r="CFB107" s="4"/>
      <c r="CFC107" s="4"/>
      <c r="CFD107" s="4"/>
      <c r="CFE107" s="4"/>
      <c r="CFF107" s="4"/>
      <c r="CFG107" s="4"/>
      <c r="CFH107" s="4"/>
      <c r="CFI107" s="4"/>
      <c r="CFJ107" s="4"/>
      <c r="CFK107" s="4"/>
      <c r="CFL107" s="4"/>
      <c r="CFM107" s="4"/>
      <c r="CFN107" s="4"/>
      <c r="CFO107" s="4"/>
      <c r="CFP107" s="4"/>
      <c r="CFQ107" s="4"/>
      <c r="CFR107" s="4"/>
      <c r="CFS107" s="4"/>
      <c r="CFT107" s="4"/>
      <c r="CFU107" s="4"/>
      <c r="CFV107" s="4"/>
      <c r="CFW107" s="4"/>
      <c r="CFX107" s="4"/>
      <c r="CFY107" s="4"/>
      <c r="CFZ107" s="4"/>
      <c r="CGA107" s="4"/>
      <c r="CGB107" s="4"/>
      <c r="CGC107" s="4"/>
      <c r="CGD107" s="4"/>
      <c r="CGE107" s="4"/>
      <c r="CGF107" s="4"/>
      <c r="CGG107" s="4"/>
      <c r="CGH107" s="4"/>
      <c r="CGI107" s="4"/>
      <c r="CGJ107" s="4"/>
      <c r="CGK107" s="4"/>
      <c r="CGL107" s="4"/>
      <c r="CGM107" s="4"/>
      <c r="CGN107" s="4"/>
      <c r="CGO107" s="4"/>
      <c r="CGP107" s="4"/>
      <c r="CGQ107" s="4"/>
      <c r="CGR107" s="4"/>
      <c r="CGS107" s="4"/>
      <c r="CGT107" s="4"/>
      <c r="CGU107" s="4"/>
      <c r="CGV107" s="4"/>
      <c r="CGW107" s="4"/>
      <c r="CGX107" s="4"/>
      <c r="CGY107" s="4"/>
      <c r="CGZ107" s="4"/>
      <c r="CHA107" s="4"/>
      <c r="CHB107" s="4"/>
      <c r="CHC107" s="4"/>
      <c r="CHD107" s="4"/>
      <c r="CHE107" s="4"/>
      <c r="CHF107" s="4"/>
      <c r="CHG107" s="4"/>
      <c r="CHH107" s="4"/>
      <c r="CHI107" s="4"/>
      <c r="CHJ107" s="4"/>
      <c r="CHK107" s="4"/>
      <c r="CHL107" s="4"/>
      <c r="CHM107" s="4"/>
      <c r="CHN107" s="4"/>
      <c r="CHO107" s="4"/>
      <c r="CHP107" s="4"/>
      <c r="CHQ107" s="4"/>
      <c r="CHR107" s="4"/>
      <c r="CHS107" s="4"/>
      <c r="CHT107" s="4"/>
      <c r="CHU107" s="4"/>
      <c r="CHV107" s="4"/>
      <c r="CHW107" s="4"/>
      <c r="CHX107" s="4"/>
      <c r="CHY107" s="4"/>
      <c r="CHZ107" s="4"/>
      <c r="CIA107" s="4"/>
      <c r="CIB107" s="4"/>
      <c r="CIC107" s="4"/>
      <c r="CID107" s="4"/>
      <c r="CIE107" s="4"/>
      <c r="CIF107" s="4"/>
      <c r="CIG107" s="4"/>
      <c r="CIH107" s="4"/>
      <c r="CII107" s="4"/>
      <c r="CIJ107" s="4"/>
      <c r="CIK107" s="4"/>
      <c r="CIL107" s="4"/>
      <c r="CIM107" s="4"/>
      <c r="CIN107" s="4"/>
      <c r="CIO107" s="4"/>
      <c r="CIP107" s="4"/>
      <c r="CIQ107" s="4"/>
      <c r="CIR107" s="4"/>
      <c r="CIS107" s="4"/>
      <c r="CIT107" s="4"/>
      <c r="CIU107" s="4"/>
      <c r="CIV107" s="4"/>
      <c r="CIW107" s="4"/>
      <c r="CIX107" s="4"/>
      <c r="CIY107" s="4"/>
      <c r="CIZ107" s="4"/>
      <c r="CJA107" s="4"/>
      <c r="CJB107" s="4"/>
      <c r="CJC107" s="4"/>
      <c r="CJD107" s="4"/>
      <c r="CJE107" s="4"/>
      <c r="CJF107" s="4"/>
      <c r="CJG107" s="4"/>
      <c r="CJH107" s="4"/>
      <c r="CJI107" s="4"/>
      <c r="CJJ107" s="4"/>
      <c r="CJK107" s="4"/>
      <c r="CJL107" s="4"/>
      <c r="CJM107" s="4"/>
      <c r="CJN107" s="4"/>
      <c r="CJO107" s="4"/>
      <c r="CJP107" s="4"/>
      <c r="CJQ107" s="4"/>
      <c r="CJR107" s="4"/>
      <c r="CJS107" s="4"/>
      <c r="CJT107" s="4"/>
      <c r="CJU107" s="4"/>
      <c r="CJV107" s="4"/>
      <c r="CJW107" s="4"/>
      <c r="CJX107" s="4"/>
      <c r="CJY107" s="4"/>
      <c r="CJZ107" s="4"/>
      <c r="CKA107" s="4"/>
      <c r="CKB107" s="4"/>
      <c r="CKC107" s="4"/>
      <c r="CKD107" s="4"/>
      <c r="CKE107" s="4"/>
      <c r="CKF107" s="4"/>
      <c r="CKG107" s="4"/>
      <c r="CKH107" s="4"/>
      <c r="CKI107" s="4"/>
      <c r="CKJ107" s="4"/>
      <c r="CKK107" s="4"/>
      <c r="CKL107" s="4"/>
      <c r="CKM107" s="4"/>
      <c r="CKN107" s="4"/>
      <c r="CKO107" s="4"/>
      <c r="CKP107" s="4"/>
      <c r="CKQ107" s="4"/>
      <c r="CKR107" s="4"/>
      <c r="CKS107" s="4"/>
      <c r="CKT107" s="4"/>
      <c r="CKU107" s="4"/>
      <c r="CKV107" s="4"/>
      <c r="CKW107" s="4"/>
      <c r="CKX107" s="4"/>
      <c r="CKY107" s="4"/>
      <c r="CKZ107" s="4"/>
      <c r="CLA107" s="4"/>
      <c r="CLB107" s="4"/>
      <c r="CLC107" s="4"/>
      <c r="CLD107" s="4"/>
      <c r="CLE107" s="4"/>
      <c r="CLF107" s="4"/>
      <c r="CLG107" s="4"/>
      <c r="CLH107" s="4"/>
      <c r="CLI107" s="4"/>
      <c r="CLJ107" s="4"/>
      <c r="CLK107" s="4"/>
      <c r="CLL107" s="4"/>
      <c r="CLM107" s="4"/>
      <c r="CLN107" s="4"/>
      <c r="CLO107" s="4"/>
      <c r="CLP107" s="4"/>
      <c r="CLQ107" s="4"/>
      <c r="CLR107" s="4"/>
      <c r="CLS107" s="4"/>
      <c r="CLT107" s="4"/>
      <c r="CLU107" s="4"/>
      <c r="CLV107" s="4"/>
      <c r="CLW107" s="4"/>
      <c r="CLX107" s="4"/>
      <c r="CLY107" s="4"/>
      <c r="CLZ107" s="4"/>
      <c r="CMA107" s="4"/>
      <c r="CMB107" s="4"/>
      <c r="CMC107" s="4"/>
      <c r="CMD107" s="4"/>
      <c r="CME107" s="4"/>
      <c r="CMF107" s="4"/>
      <c r="CMG107" s="4"/>
      <c r="CMH107" s="4"/>
      <c r="CMI107" s="4"/>
      <c r="CMJ107" s="4"/>
      <c r="CMK107" s="4"/>
      <c r="CML107" s="4"/>
      <c r="CMM107" s="4"/>
      <c r="CMN107" s="4"/>
      <c r="CMO107" s="4"/>
      <c r="CMP107" s="4"/>
      <c r="CMQ107" s="4"/>
      <c r="CMR107" s="4"/>
      <c r="CMS107" s="4"/>
      <c r="CMT107" s="4"/>
      <c r="CMU107" s="4"/>
      <c r="CMV107" s="4"/>
      <c r="CMW107" s="4"/>
      <c r="CMX107" s="4"/>
      <c r="CMY107" s="4"/>
      <c r="CMZ107" s="4"/>
      <c r="CNA107" s="4"/>
      <c r="CNB107" s="4"/>
      <c r="CNC107" s="4"/>
      <c r="CND107" s="4"/>
      <c r="CNE107" s="4"/>
      <c r="CNF107" s="4"/>
      <c r="CNG107" s="4"/>
      <c r="CNH107" s="4"/>
      <c r="CNI107" s="4"/>
      <c r="CNJ107" s="4"/>
      <c r="CNK107" s="4"/>
      <c r="CNL107" s="4"/>
      <c r="CNM107" s="4"/>
      <c r="CNN107" s="4"/>
      <c r="CNO107" s="4"/>
      <c r="CNP107" s="4"/>
      <c r="CNQ107" s="4"/>
      <c r="CNR107" s="4"/>
      <c r="CNS107" s="4"/>
      <c r="CNT107" s="4"/>
      <c r="CNU107" s="4"/>
      <c r="CNV107" s="4"/>
      <c r="CNW107" s="4"/>
      <c r="CNX107" s="4"/>
      <c r="CNY107" s="4"/>
      <c r="CNZ107" s="4"/>
      <c r="COA107" s="4"/>
      <c r="COB107" s="4"/>
      <c r="COC107" s="4"/>
      <c r="COD107" s="4"/>
      <c r="COE107" s="4"/>
      <c r="COF107" s="4"/>
      <c r="COG107" s="4"/>
      <c r="COH107" s="4"/>
      <c r="COI107" s="4"/>
      <c r="COJ107" s="4"/>
      <c r="COK107" s="4"/>
      <c r="COL107" s="4"/>
      <c r="COM107" s="4"/>
      <c r="CON107" s="4"/>
      <c r="COO107" s="4"/>
      <c r="COP107" s="4"/>
      <c r="COQ107" s="4"/>
      <c r="COR107" s="4"/>
      <c r="COS107" s="4"/>
      <c r="COT107" s="4"/>
      <c r="COU107" s="4"/>
      <c r="COV107" s="4"/>
      <c r="COW107" s="4"/>
      <c r="COX107" s="4"/>
      <c r="COY107" s="4"/>
      <c r="COZ107" s="4"/>
      <c r="CPA107" s="4"/>
      <c r="CPB107" s="4"/>
      <c r="CPC107" s="4"/>
      <c r="CPD107" s="4"/>
      <c r="CPE107" s="4"/>
      <c r="CPF107" s="4"/>
      <c r="CPG107" s="4"/>
      <c r="CPH107" s="4"/>
      <c r="CPI107" s="4"/>
      <c r="CPJ107" s="4"/>
      <c r="CPK107" s="4"/>
      <c r="CPL107" s="4"/>
      <c r="CPM107" s="4"/>
      <c r="CPN107" s="4"/>
      <c r="CPO107" s="4"/>
      <c r="CPP107" s="4"/>
      <c r="CPQ107" s="4"/>
      <c r="CPR107" s="4"/>
      <c r="CPS107" s="4"/>
      <c r="CPT107" s="4"/>
      <c r="CPU107" s="4"/>
      <c r="CPV107" s="4"/>
      <c r="CPW107" s="4"/>
      <c r="CPX107" s="4"/>
      <c r="CPY107" s="4"/>
      <c r="CPZ107" s="4"/>
      <c r="CQA107" s="4"/>
      <c r="CQB107" s="4"/>
      <c r="CQC107" s="4"/>
      <c r="CQD107" s="4"/>
      <c r="CQE107" s="4"/>
      <c r="CQF107" s="4"/>
      <c r="CQG107" s="4"/>
      <c r="CQH107" s="4"/>
      <c r="CQI107" s="4"/>
      <c r="CQJ107" s="4"/>
      <c r="CQK107" s="4"/>
      <c r="CQL107" s="4"/>
      <c r="CQM107" s="4"/>
      <c r="CQN107" s="4"/>
      <c r="CQO107" s="4"/>
      <c r="CQP107" s="4"/>
      <c r="CQQ107" s="4"/>
      <c r="CQR107" s="4"/>
      <c r="CQS107" s="4"/>
      <c r="CQT107" s="4"/>
      <c r="CQU107" s="4"/>
      <c r="CQV107" s="4"/>
      <c r="CQW107" s="4"/>
      <c r="CQX107" s="4"/>
      <c r="CQY107" s="4"/>
      <c r="CQZ107" s="4"/>
      <c r="CRA107" s="4"/>
      <c r="CRB107" s="4"/>
      <c r="CRC107" s="4"/>
      <c r="CRD107" s="4"/>
      <c r="CRE107" s="4"/>
      <c r="CRF107" s="4"/>
      <c r="CRG107" s="4"/>
      <c r="CRH107" s="4"/>
      <c r="CRI107" s="4"/>
      <c r="CRJ107" s="4"/>
      <c r="CRK107" s="4"/>
      <c r="CRL107" s="4"/>
      <c r="CRM107" s="4"/>
      <c r="CRN107" s="4"/>
      <c r="CRO107" s="4"/>
      <c r="CRP107" s="4"/>
      <c r="CRQ107" s="4"/>
      <c r="CRR107" s="4"/>
      <c r="CRS107" s="4"/>
      <c r="CRT107" s="4"/>
      <c r="CRU107" s="4"/>
      <c r="CRV107" s="4"/>
      <c r="CRW107" s="4"/>
      <c r="CRX107" s="4"/>
      <c r="CRY107" s="4"/>
      <c r="CRZ107" s="4"/>
      <c r="CSA107" s="4"/>
      <c r="CSB107" s="4"/>
      <c r="CSC107" s="4"/>
      <c r="CSD107" s="4"/>
      <c r="CSE107" s="4"/>
      <c r="CSF107" s="4"/>
      <c r="CSG107" s="4"/>
      <c r="CSH107" s="4"/>
      <c r="CSI107" s="4"/>
      <c r="CSJ107" s="4"/>
      <c r="CSK107" s="4"/>
      <c r="CSL107" s="4"/>
      <c r="CSM107" s="4"/>
      <c r="CSN107" s="4"/>
      <c r="CSO107" s="4"/>
      <c r="CSP107" s="4"/>
      <c r="CSQ107" s="4"/>
      <c r="CSR107" s="4"/>
      <c r="CSS107" s="4"/>
      <c r="CST107" s="4"/>
      <c r="CSU107" s="4"/>
      <c r="CSV107" s="4"/>
      <c r="CSW107" s="4"/>
      <c r="CSX107" s="4"/>
      <c r="CSY107" s="4"/>
      <c r="CSZ107" s="4"/>
      <c r="CTA107" s="4"/>
      <c r="CTB107" s="4"/>
      <c r="CTC107" s="4"/>
      <c r="CTD107" s="4"/>
      <c r="CTE107" s="4"/>
      <c r="CTF107" s="4"/>
      <c r="CTG107" s="4"/>
      <c r="CTH107" s="4"/>
      <c r="CTI107" s="4"/>
      <c r="CTJ107" s="4"/>
      <c r="CTK107" s="4"/>
      <c r="CTL107" s="4"/>
      <c r="CTM107" s="4"/>
      <c r="CTN107" s="4"/>
      <c r="CTO107" s="4"/>
      <c r="CTP107" s="4"/>
      <c r="CTQ107" s="4"/>
      <c r="CTR107" s="4"/>
      <c r="CTS107" s="4"/>
      <c r="CTT107" s="4"/>
      <c r="CTU107" s="4"/>
      <c r="CTV107" s="4"/>
      <c r="CTW107" s="4"/>
      <c r="CTX107" s="4"/>
      <c r="CTY107" s="4"/>
      <c r="CTZ107" s="4"/>
      <c r="CUA107" s="4"/>
      <c r="CUB107" s="4"/>
      <c r="CUC107" s="4"/>
      <c r="CUD107" s="4"/>
      <c r="CUE107" s="4"/>
      <c r="CUF107" s="4"/>
      <c r="CUG107" s="4"/>
      <c r="CUH107" s="4"/>
      <c r="CUI107" s="4"/>
      <c r="CUJ107" s="4"/>
      <c r="CUK107" s="4"/>
      <c r="CUL107" s="4"/>
      <c r="CUM107" s="4"/>
      <c r="CUN107" s="4"/>
      <c r="CUO107" s="4"/>
      <c r="CUP107" s="4"/>
      <c r="CUQ107" s="4"/>
      <c r="CUR107" s="4"/>
      <c r="CUS107" s="4"/>
      <c r="CUT107" s="4"/>
      <c r="CUU107" s="4"/>
      <c r="CUV107" s="4"/>
      <c r="CUW107" s="4"/>
      <c r="CUX107" s="4"/>
      <c r="CUY107" s="4"/>
      <c r="CUZ107" s="4"/>
      <c r="CVA107" s="4"/>
      <c r="CVB107" s="4"/>
      <c r="CVC107" s="4"/>
      <c r="CVD107" s="4"/>
      <c r="CVE107" s="4"/>
      <c r="CVF107" s="4"/>
      <c r="CVG107" s="4"/>
      <c r="CVH107" s="4"/>
      <c r="CVI107" s="4"/>
      <c r="CVJ107" s="4"/>
      <c r="CVK107" s="4"/>
      <c r="CVL107" s="4"/>
      <c r="CVM107" s="4"/>
      <c r="CVN107" s="4"/>
      <c r="CVO107" s="4"/>
      <c r="CVP107" s="4"/>
      <c r="CVQ107" s="4"/>
      <c r="CVR107" s="4"/>
      <c r="CVS107" s="4"/>
      <c r="CVT107" s="4"/>
      <c r="CVU107" s="4"/>
      <c r="CVV107" s="4"/>
      <c r="CVW107" s="4"/>
      <c r="CVX107" s="4"/>
      <c r="CVY107" s="4"/>
      <c r="CVZ107" s="4"/>
      <c r="CWA107" s="4"/>
      <c r="CWB107" s="4"/>
      <c r="CWC107" s="4"/>
      <c r="CWD107" s="4"/>
      <c r="CWE107" s="4"/>
      <c r="CWF107" s="4"/>
      <c r="CWG107" s="4"/>
      <c r="CWH107" s="4"/>
      <c r="CWI107" s="4"/>
      <c r="CWJ107" s="4"/>
      <c r="CWK107" s="4"/>
      <c r="CWL107" s="4"/>
      <c r="CWM107" s="4"/>
      <c r="CWN107" s="4"/>
      <c r="CWO107" s="4"/>
      <c r="CWP107" s="4"/>
      <c r="CWQ107" s="4"/>
      <c r="CWR107" s="4"/>
      <c r="CWS107" s="4"/>
      <c r="CWT107" s="4"/>
      <c r="CWU107" s="4"/>
      <c r="CWV107" s="4"/>
      <c r="CWW107" s="4"/>
      <c r="CWX107" s="4"/>
      <c r="CWY107" s="4"/>
      <c r="CWZ107" s="4"/>
      <c r="CXA107" s="4"/>
      <c r="CXB107" s="4"/>
      <c r="CXC107" s="4"/>
      <c r="CXD107" s="4"/>
      <c r="CXE107" s="4"/>
      <c r="CXF107" s="4"/>
      <c r="CXG107" s="4"/>
      <c r="CXH107" s="4"/>
      <c r="CXI107" s="4"/>
      <c r="CXJ107" s="4"/>
      <c r="CXK107" s="4"/>
      <c r="CXL107" s="4"/>
      <c r="CXM107" s="4"/>
      <c r="CXN107" s="4"/>
      <c r="CXO107" s="4"/>
      <c r="CXP107" s="4"/>
      <c r="CXQ107" s="4"/>
      <c r="CXR107" s="4"/>
      <c r="CXS107" s="4"/>
      <c r="CXT107" s="4"/>
      <c r="CXU107" s="4"/>
      <c r="CXV107" s="4"/>
      <c r="CXW107" s="4"/>
      <c r="CXX107" s="4"/>
      <c r="CXY107" s="4"/>
      <c r="CXZ107" s="4"/>
      <c r="CYA107" s="4"/>
      <c r="CYB107" s="4"/>
      <c r="CYC107" s="4"/>
      <c r="CYD107" s="4"/>
      <c r="CYE107" s="4"/>
      <c r="CYF107" s="4"/>
      <c r="CYG107" s="4"/>
      <c r="CYH107" s="4"/>
      <c r="CYI107" s="4"/>
      <c r="CYJ107" s="4"/>
      <c r="CYK107" s="4"/>
      <c r="CYL107" s="4"/>
      <c r="CYM107" s="4"/>
      <c r="CYN107" s="4"/>
      <c r="CYO107" s="4"/>
      <c r="CYP107" s="4"/>
      <c r="CYQ107" s="4"/>
      <c r="CYR107" s="4"/>
      <c r="CYS107" s="4"/>
      <c r="CYT107" s="4"/>
      <c r="CYU107" s="4"/>
      <c r="CYV107" s="4"/>
      <c r="CYW107" s="4"/>
      <c r="CYX107" s="4"/>
      <c r="CYY107" s="4"/>
      <c r="CYZ107" s="4"/>
      <c r="CZA107" s="4"/>
      <c r="CZB107" s="4"/>
      <c r="CZC107" s="4"/>
      <c r="CZD107" s="4"/>
      <c r="CZE107" s="4"/>
      <c r="CZF107" s="4"/>
      <c r="CZG107" s="4"/>
      <c r="CZH107" s="4"/>
      <c r="CZI107" s="4"/>
      <c r="CZJ107" s="4"/>
      <c r="CZK107" s="4"/>
      <c r="CZL107" s="4"/>
      <c r="CZM107" s="4"/>
      <c r="CZN107" s="4"/>
      <c r="CZO107" s="4"/>
      <c r="CZP107" s="4"/>
      <c r="CZQ107" s="4"/>
      <c r="CZR107" s="4"/>
      <c r="CZS107" s="4"/>
      <c r="CZT107" s="4"/>
      <c r="CZU107" s="4"/>
      <c r="CZV107" s="4"/>
      <c r="CZW107" s="4"/>
      <c r="CZX107" s="4"/>
      <c r="CZY107" s="4"/>
      <c r="CZZ107" s="4"/>
      <c r="DAA107" s="4"/>
      <c r="DAB107" s="4"/>
      <c r="DAC107" s="4"/>
      <c r="DAD107" s="4"/>
      <c r="DAE107" s="4"/>
      <c r="DAF107" s="4"/>
      <c r="DAG107" s="4"/>
      <c r="DAH107" s="4"/>
      <c r="DAI107" s="4"/>
      <c r="DAJ107" s="4"/>
      <c r="DAK107" s="4"/>
      <c r="DAL107" s="4"/>
      <c r="DAM107" s="4"/>
      <c r="DAN107" s="4"/>
      <c r="DAO107" s="4"/>
      <c r="DAP107" s="4"/>
      <c r="DAQ107" s="4"/>
      <c r="DAR107" s="4"/>
      <c r="DAS107" s="4"/>
      <c r="DAT107" s="4"/>
      <c r="DAU107" s="4"/>
      <c r="DAV107" s="4"/>
      <c r="DAW107" s="4"/>
      <c r="DAX107" s="4"/>
      <c r="DAY107" s="4"/>
      <c r="DAZ107" s="4"/>
      <c r="DBA107" s="4"/>
      <c r="DBB107" s="4"/>
      <c r="DBC107" s="4"/>
      <c r="DBD107" s="4"/>
      <c r="DBE107" s="4"/>
      <c r="DBF107" s="4"/>
      <c r="DBG107" s="4"/>
      <c r="DBH107" s="4"/>
      <c r="DBI107" s="4"/>
      <c r="DBJ107" s="4"/>
      <c r="DBK107" s="4"/>
      <c r="DBL107" s="4"/>
      <c r="DBM107" s="4"/>
      <c r="DBN107" s="4"/>
      <c r="DBO107" s="4"/>
      <c r="DBP107" s="4"/>
      <c r="DBQ107" s="4"/>
      <c r="DBR107" s="4"/>
      <c r="DBS107" s="4"/>
      <c r="DBT107" s="4"/>
      <c r="DBU107" s="4"/>
      <c r="DBV107" s="4"/>
      <c r="DBW107" s="4"/>
      <c r="DBX107" s="4"/>
      <c r="DBY107" s="4"/>
      <c r="DBZ107" s="4"/>
      <c r="DCA107" s="4"/>
      <c r="DCB107" s="4"/>
      <c r="DCC107" s="4"/>
      <c r="DCD107" s="4"/>
      <c r="DCE107" s="4"/>
      <c r="DCF107" s="4"/>
      <c r="DCG107" s="4"/>
      <c r="DCH107" s="4"/>
      <c r="DCI107" s="4"/>
      <c r="DCJ107" s="4"/>
      <c r="DCK107" s="4"/>
      <c r="DCL107" s="4"/>
      <c r="DCM107" s="4"/>
      <c r="DCN107" s="4"/>
      <c r="DCO107" s="4"/>
      <c r="DCP107" s="4"/>
      <c r="DCQ107" s="4"/>
      <c r="DCR107" s="4"/>
      <c r="DCS107" s="4"/>
      <c r="DCT107" s="4"/>
      <c r="DCU107" s="4"/>
      <c r="DCV107" s="4"/>
      <c r="DCW107" s="4"/>
      <c r="DCX107" s="4"/>
      <c r="DCY107" s="4"/>
      <c r="DCZ107" s="4"/>
      <c r="DDA107" s="4"/>
      <c r="DDB107" s="4"/>
      <c r="DDC107" s="4"/>
      <c r="DDD107" s="4"/>
      <c r="DDE107" s="4"/>
      <c r="DDF107" s="4"/>
      <c r="DDG107" s="4"/>
      <c r="DDH107" s="4"/>
      <c r="DDI107" s="4"/>
      <c r="DDJ107" s="4"/>
      <c r="DDK107" s="4"/>
      <c r="DDL107" s="4"/>
      <c r="DDM107" s="4"/>
      <c r="DDN107" s="4"/>
      <c r="DDO107" s="4"/>
      <c r="DDP107" s="4"/>
      <c r="DDQ107" s="4"/>
      <c r="DDR107" s="4"/>
      <c r="DDS107" s="4"/>
      <c r="DDT107" s="4"/>
      <c r="DDU107" s="4"/>
      <c r="DDV107" s="4"/>
      <c r="DDW107" s="4"/>
      <c r="DDX107" s="4"/>
      <c r="DDY107" s="4"/>
      <c r="DDZ107" s="4"/>
      <c r="DEA107" s="4"/>
      <c r="DEB107" s="4"/>
      <c r="DEC107" s="4"/>
      <c r="DED107" s="4"/>
      <c r="DEE107" s="4"/>
      <c r="DEF107" s="4"/>
      <c r="DEG107" s="4"/>
      <c r="DEH107" s="4"/>
      <c r="DEI107" s="4"/>
      <c r="DEJ107" s="4"/>
      <c r="DEK107" s="4"/>
      <c r="DEL107" s="4"/>
      <c r="DEM107" s="4"/>
      <c r="DEN107" s="4"/>
      <c r="DEO107" s="4"/>
      <c r="DEP107" s="4"/>
      <c r="DEQ107" s="4"/>
      <c r="DER107" s="4"/>
      <c r="DES107" s="4"/>
      <c r="DET107" s="4"/>
      <c r="DEU107" s="4"/>
      <c r="DEV107" s="4"/>
      <c r="DEW107" s="4"/>
      <c r="DEX107" s="4"/>
      <c r="DEY107" s="4"/>
      <c r="DEZ107" s="4"/>
      <c r="DFA107" s="4"/>
      <c r="DFB107" s="4"/>
      <c r="DFC107" s="4"/>
      <c r="DFD107" s="4"/>
      <c r="DFE107" s="4"/>
      <c r="DFF107" s="4"/>
      <c r="DFG107" s="4"/>
      <c r="DFH107" s="4"/>
      <c r="DFI107" s="4"/>
      <c r="DFJ107" s="4"/>
      <c r="DFK107" s="4"/>
      <c r="DFL107" s="4"/>
      <c r="DFM107" s="4"/>
      <c r="DFN107" s="4"/>
      <c r="DFO107" s="4"/>
      <c r="DFP107" s="4"/>
      <c r="DFQ107" s="4"/>
      <c r="DFR107" s="4"/>
      <c r="DFS107" s="4"/>
      <c r="DFT107" s="4"/>
      <c r="DFU107" s="4"/>
      <c r="DFV107" s="4"/>
      <c r="DFW107" s="4"/>
      <c r="DFX107" s="4"/>
      <c r="DFY107" s="4"/>
      <c r="DFZ107" s="4"/>
      <c r="DGA107" s="4"/>
      <c r="DGB107" s="4"/>
      <c r="DGC107" s="4"/>
      <c r="DGD107" s="4"/>
      <c r="DGE107" s="4"/>
      <c r="DGF107" s="4"/>
      <c r="DGG107" s="4"/>
      <c r="DGH107" s="4"/>
      <c r="DGI107" s="4"/>
      <c r="DGJ107" s="4"/>
      <c r="DGK107" s="4"/>
      <c r="DGL107" s="4"/>
      <c r="DGM107" s="4"/>
      <c r="DGN107" s="4"/>
      <c r="DGO107" s="4"/>
      <c r="DGP107" s="4"/>
      <c r="DGQ107" s="4"/>
      <c r="DGR107" s="4"/>
      <c r="DGS107" s="4"/>
      <c r="DGT107" s="4"/>
      <c r="DGU107" s="4"/>
      <c r="DGV107" s="4"/>
      <c r="DGW107" s="4"/>
      <c r="DGX107" s="4"/>
      <c r="DGY107" s="4"/>
      <c r="DGZ107" s="4"/>
      <c r="DHA107" s="4"/>
      <c r="DHB107" s="4"/>
      <c r="DHC107" s="4"/>
      <c r="DHD107" s="4"/>
      <c r="DHE107" s="4"/>
      <c r="DHF107" s="4"/>
      <c r="DHG107" s="4"/>
      <c r="DHH107" s="4"/>
      <c r="DHI107" s="4"/>
      <c r="DHJ107" s="4"/>
      <c r="DHK107" s="4"/>
      <c r="DHL107" s="4"/>
      <c r="DHM107" s="4"/>
      <c r="DHN107" s="4"/>
      <c r="DHO107" s="4"/>
      <c r="DHP107" s="4"/>
      <c r="DHQ107" s="4"/>
      <c r="DHR107" s="4"/>
      <c r="DHS107" s="4"/>
      <c r="DHT107" s="4"/>
      <c r="DHU107" s="4"/>
      <c r="DHV107" s="4"/>
      <c r="DHW107" s="4"/>
      <c r="DHX107" s="4"/>
      <c r="DHY107" s="4"/>
      <c r="DHZ107" s="4"/>
      <c r="DIA107" s="4"/>
      <c r="DIB107" s="4"/>
      <c r="DIC107" s="4"/>
      <c r="DID107" s="4"/>
      <c r="DIE107" s="4"/>
      <c r="DIF107" s="4"/>
      <c r="DIG107" s="4"/>
      <c r="DIH107" s="4"/>
      <c r="DII107" s="4"/>
      <c r="DIJ107" s="4"/>
      <c r="DIK107" s="4"/>
      <c r="DIL107" s="4"/>
      <c r="DIM107" s="4"/>
      <c r="DIN107" s="4"/>
      <c r="DIO107" s="4"/>
      <c r="DIP107" s="4"/>
      <c r="DIQ107" s="4"/>
      <c r="DIR107" s="4"/>
      <c r="DIS107" s="4"/>
      <c r="DIT107" s="4"/>
      <c r="DIU107" s="4"/>
      <c r="DIV107" s="4"/>
      <c r="DIW107" s="4"/>
      <c r="DIX107" s="4"/>
      <c r="DIY107" s="4"/>
      <c r="DIZ107" s="4"/>
      <c r="DJA107" s="4"/>
      <c r="DJB107" s="4"/>
      <c r="DJC107" s="4"/>
      <c r="DJD107" s="4"/>
      <c r="DJE107" s="4"/>
      <c r="DJF107" s="4"/>
      <c r="DJG107" s="4"/>
      <c r="DJH107" s="4"/>
      <c r="DJI107" s="4"/>
      <c r="DJJ107" s="4"/>
      <c r="DJK107" s="4"/>
      <c r="DJL107" s="4"/>
      <c r="DJM107" s="4"/>
      <c r="DJN107" s="4"/>
      <c r="DJO107" s="4"/>
      <c r="DJP107" s="4"/>
      <c r="DJQ107" s="4"/>
      <c r="DJR107" s="4"/>
      <c r="DJS107" s="4"/>
      <c r="DJT107" s="4"/>
      <c r="DJU107" s="4"/>
      <c r="DJV107" s="4"/>
      <c r="DJW107" s="4"/>
      <c r="DJX107" s="4"/>
      <c r="DJY107" s="4"/>
      <c r="DJZ107" s="4"/>
      <c r="DKA107" s="4"/>
      <c r="DKB107" s="4"/>
      <c r="DKC107" s="4"/>
      <c r="DKD107" s="4"/>
      <c r="DKE107" s="4"/>
      <c r="DKF107" s="4"/>
      <c r="DKG107" s="4"/>
      <c r="DKH107" s="4"/>
      <c r="DKI107" s="4"/>
      <c r="DKJ107" s="4"/>
      <c r="DKK107" s="4"/>
      <c r="DKL107" s="4"/>
      <c r="DKM107" s="4"/>
      <c r="DKN107" s="4"/>
      <c r="DKO107" s="4"/>
      <c r="DKP107" s="4"/>
      <c r="DKQ107" s="4"/>
      <c r="DKR107" s="4"/>
      <c r="DKS107" s="4"/>
      <c r="DKT107" s="4"/>
      <c r="DKU107" s="4"/>
      <c r="DKV107" s="4"/>
      <c r="DKW107" s="4"/>
      <c r="DKX107" s="4"/>
      <c r="DKY107" s="4"/>
      <c r="DKZ107" s="4"/>
      <c r="DLA107" s="4"/>
      <c r="DLB107" s="4"/>
      <c r="DLC107" s="4"/>
      <c r="DLD107" s="4"/>
      <c r="DLE107" s="4"/>
      <c r="DLF107" s="4"/>
      <c r="DLG107" s="4"/>
      <c r="DLH107" s="4"/>
      <c r="DLI107" s="4"/>
      <c r="DLJ107" s="4"/>
      <c r="DLK107" s="4"/>
      <c r="DLL107" s="4"/>
      <c r="DLM107" s="4"/>
      <c r="DLN107" s="4"/>
      <c r="DLO107" s="4"/>
      <c r="DLP107" s="4"/>
      <c r="DLQ107" s="4"/>
      <c r="DLR107" s="4"/>
      <c r="DLS107" s="4"/>
      <c r="DLT107" s="4"/>
      <c r="DLU107" s="4"/>
      <c r="DLV107" s="4"/>
      <c r="DLW107" s="4"/>
      <c r="DLX107" s="4"/>
      <c r="DLY107" s="4"/>
      <c r="DLZ107" s="4"/>
      <c r="DMA107" s="4"/>
      <c r="DMB107" s="4"/>
      <c r="DMC107" s="4"/>
      <c r="DMD107" s="4"/>
      <c r="DME107" s="4"/>
      <c r="DMF107" s="4"/>
      <c r="DMG107" s="4"/>
      <c r="DMH107" s="4"/>
      <c r="DMI107" s="4"/>
      <c r="DMJ107" s="4"/>
      <c r="DMK107" s="4"/>
      <c r="DML107" s="4"/>
      <c r="DMM107" s="4"/>
      <c r="DMN107" s="4"/>
      <c r="DMO107" s="4"/>
      <c r="DMP107" s="4"/>
      <c r="DMQ107" s="4"/>
      <c r="DMR107" s="4"/>
      <c r="DMS107" s="4"/>
      <c r="DMT107" s="4"/>
      <c r="DMU107" s="4"/>
      <c r="DMV107" s="4"/>
      <c r="DMW107" s="4"/>
      <c r="DMX107" s="4"/>
      <c r="DMY107" s="4"/>
      <c r="DMZ107" s="4"/>
      <c r="DNA107" s="4"/>
      <c r="DNB107" s="4"/>
      <c r="DNC107" s="4"/>
      <c r="DND107" s="4"/>
      <c r="DNE107" s="4"/>
      <c r="DNF107" s="4"/>
      <c r="DNG107" s="4"/>
      <c r="DNH107" s="4"/>
      <c r="DNI107" s="4"/>
      <c r="DNJ107" s="4"/>
      <c r="DNK107" s="4"/>
      <c r="DNL107" s="4"/>
      <c r="DNM107" s="4"/>
      <c r="DNN107" s="4"/>
      <c r="DNO107" s="4"/>
      <c r="DNP107" s="4"/>
      <c r="DNQ107" s="4"/>
      <c r="DNR107" s="4"/>
      <c r="DNS107" s="4"/>
      <c r="DNT107" s="4"/>
      <c r="DNU107" s="4"/>
      <c r="DNV107" s="4"/>
      <c r="DNW107" s="4"/>
      <c r="DNX107" s="4"/>
      <c r="DNY107" s="4"/>
      <c r="DNZ107" s="4"/>
      <c r="DOA107" s="4"/>
      <c r="DOB107" s="4"/>
      <c r="DOC107" s="4"/>
      <c r="DOD107" s="4"/>
      <c r="DOE107" s="4"/>
      <c r="DOF107" s="4"/>
      <c r="DOG107" s="4"/>
      <c r="DOH107" s="4"/>
      <c r="DOI107" s="4"/>
      <c r="DOJ107" s="4"/>
      <c r="DOK107" s="4"/>
      <c r="DOL107" s="4"/>
      <c r="DOM107" s="4"/>
      <c r="DON107" s="4"/>
      <c r="DOO107" s="4"/>
      <c r="DOP107" s="4"/>
      <c r="DOQ107" s="4"/>
      <c r="DOR107" s="4"/>
      <c r="DOS107" s="4"/>
      <c r="DOT107" s="4"/>
      <c r="DOU107" s="4"/>
      <c r="DOV107" s="4"/>
      <c r="DOW107" s="4"/>
      <c r="DOX107" s="4"/>
      <c r="DOY107" s="4"/>
      <c r="DOZ107" s="4"/>
      <c r="DPA107" s="4"/>
      <c r="DPB107" s="4"/>
      <c r="DPC107" s="4"/>
      <c r="DPD107" s="4"/>
      <c r="DPE107" s="4"/>
      <c r="DPF107" s="4"/>
      <c r="DPG107" s="4"/>
      <c r="DPH107" s="4"/>
      <c r="DPI107" s="4"/>
      <c r="DPJ107" s="4"/>
      <c r="DPK107" s="4"/>
      <c r="DPL107" s="4"/>
      <c r="DPM107" s="4"/>
      <c r="DPN107" s="4"/>
      <c r="DPO107" s="4"/>
      <c r="DPP107" s="4"/>
      <c r="DPQ107" s="4"/>
      <c r="DPR107" s="4"/>
      <c r="DPS107" s="4"/>
      <c r="DPT107" s="4"/>
      <c r="DPU107" s="4"/>
      <c r="DPV107" s="4"/>
      <c r="DPW107" s="4"/>
      <c r="DPX107" s="4"/>
      <c r="DPY107" s="4"/>
      <c r="DPZ107" s="4"/>
      <c r="DQA107" s="4"/>
      <c r="DQB107" s="4"/>
      <c r="DQC107" s="4"/>
      <c r="DQD107" s="4"/>
      <c r="DQE107" s="4"/>
      <c r="DQF107" s="4"/>
      <c r="DQG107" s="4"/>
      <c r="DQH107" s="4"/>
      <c r="DQI107" s="4"/>
      <c r="DQJ107" s="4"/>
      <c r="DQK107" s="4"/>
      <c r="DQL107" s="4"/>
      <c r="DQM107" s="4"/>
      <c r="DQN107" s="4"/>
      <c r="DQO107" s="4"/>
      <c r="DQP107" s="4"/>
      <c r="DQQ107" s="4"/>
      <c r="DQR107" s="4"/>
      <c r="DQS107" s="4"/>
      <c r="DQT107" s="4"/>
      <c r="DQU107" s="4"/>
      <c r="DQV107" s="4"/>
      <c r="DQW107" s="4"/>
      <c r="DQX107" s="4"/>
      <c r="DQY107" s="4"/>
      <c r="DQZ107" s="4"/>
      <c r="DRA107" s="4"/>
      <c r="DRB107" s="4"/>
      <c r="DRC107" s="4"/>
      <c r="DRD107" s="4"/>
      <c r="DRE107" s="4"/>
      <c r="DRF107" s="4"/>
      <c r="DRG107" s="4"/>
      <c r="DRH107" s="4"/>
      <c r="DRI107" s="4"/>
      <c r="DRJ107" s="4"/>
      <c r="DRK107" s="4"/>
      <c r="DRL107" s="4"/>
      <c r="DRM107" s="4"/>
      <c r="DRN107" s="4"/>
      <c r="DRO107" s="4"/>
      <c r="DRP107" s="4"/>
      <c r="DRQ107" s="4"/>
      <c r="DRR107" s="4"/>
      <c r="DRS107" s="4"/>
      <c r="DRT107" s="4"/>
      <c r="DRU107" s="4"/>
      <c r="DRV107" s="4"/>
      <c r="DRW107" s="4"/>
      <c r="DRX107" s="4"/>
      <c r="DRY107" s="4"/>
      <c r="DRZ107" s="4"/>
      <c r="DSA107" s="4"/>
      <c r="DSB107" s="4"/>
      <c r="DSC107" s="4"/>
      <c r="DSD107" s="4"/>
      <c r="DSE107" s="4"/>
      <c r="DSF107" s="4"/>
      <c r="DSG107" s="4"/>
      <c r="DSH107" s="4"/>
      <c r="DSI107" s="4"/>
      <c r="DSJ107" s="4"/>
      <c r="DSK107" s="4"/>
      <c r="DSL107" s="4"/>
      <c r="DSM107" s="4"/>
      <c r="DSN107" s="4"/>
      <c r="DSO107" s="4"/>
      <c r="DSP107" s="4"/>
      <c r="DSQ107" s="4"/>
      <c r="DSR107" s="4"/>
      <c r="DSS107" s="4"/>
      <c r="DST107" s="4"/>
      <c r="DSU107" s="4"/>
      <c r="DSV107" s="4"/>
      <c r="DSW107" s="4"/>
      <c r="DSX107" s="4"/>
      <c r="DSY107" s="4"/>
      <c r="DSZ107" s="4"/>
      <c r="DTA107" s="4"/>
      <c r="DTB107" s="4"/>
      <c r="DTC107" s="4"/>
      <c r="DTD107" s="4"/>
      <c r="DTE107" s="4"/>
      <c r="DTF107" s="4"/>
      <c r="DTG107" s="4"/>
      <c r="DTH107" s="4"/>
      <c r="DTI107" s="4"/>
      <c r="DTJ107" s="4"/>
      <c r="DTK107" s="4"/>
      <c r="DTL107" s="4"/>
      <c r="DTM107" s="4"/>
      <c r="DTN107" s="4"/>
      <c r="DTO107" s="4"/>
      <c r="DTP107" s="4"/>
      <c r="DTQ107" s="4"/>
      <c r="DTR107" s="4"/>
      <c r="DTS107" s="4"/>
      <c r="DTT107" s="4"/>
      <c r="DTU107" s="4"/>
      <c r="DTV107" s="4"/>
      <c r="DTW107" s="4"/>
      <c r="DTX107" s="4"/>
      <c r="DTY107" s="4"/>
      <c r="DTZ107" s="4"/>
      <c r="DUA107" s="4"/>
      <c r="DUB107" s="4"/>
      <c r="DUC107" s="4"/>
      <c r="DUD107" s="4"/>
      <c r="DUE107" s="4"/>
      <c r="DUF107" s="4"/>
      <c r="DUG107" s="4"/>
      <c r="DUH107" s="4"/>
      <c r="DUI107" s="4"/>
      <c r="DUJ107" s="4"/>
      <c r="DUK107" s="4"/>
      <c r="DUL107" s="4"/>
      <c r="DUM107" s="4"/>
      <c r="DUN107" s="4"/>
      <c r="DUO107" s="4"/>
      <c r="DUP107" s="4"/>
      <c r="DUQ107" s="4"/>
      <c r="DUR107" s="4"/>
      <c r="DUS107" s="4"/>
      <c r="DUT107" s="4"/>
      <c r="DUU107" s="4"/>
      <c r="DUV107" s="4"/>
      <c r="DUW107" s="4"/>
      <c r="DUX107" s="4"/>
      <c r="DUY107" s="4"/>
      <c r="DUZ107" s="4"/>
      <c r="DVA107" s="4"/>
      <c r="DVB107" s="4"/>
      <c r="DVC107" s="4"/>
      <c r="DVD107" s="4"/>
      <c r="DVE107" s="4"/>
      <c r="DVF107" s="4"/>
      <c r="DVG107" s="4"/>
      <c r="DVH107" s="4"/>
      <c r="DVI107" s="4"/>
      <c r="DVJ107" s="4"/>
      <c r="DVK107" s="4"/>
      <c r="DVL107" s="4"/>
      <c r="DVM107" s="4"/>
      <c r="DVN107" s="4"/>
      <c r="DVO107" s="4"/>
      <c r="DVP107" s="4"/>
      <c r="DVQ107" s="4"/>
      <c r="DVR107" s="4"/>
      <c r="DVS107" s="4"/>
      <c r="DVT107" s="4"/>
      <c r="DVU107" s="4"/>
      <c r="DVV107" s="4"/>
      <c r="DVW107" s="4"/>
      <c r="DVX107" s="4"/>
      <c r="DVY107" s="4"/>
      <c r="DVZ107" s="4"/>
      <c r="DWA107" s="4"/>
      <c r="DWB107" s="4"/>
      <c r="DWC107" s="4"/>
      <c r="DWD107" s="4"/>
      <c r="DWE107" s="4"/>
      <c r="DWF107" s="4"/>
      <c r="DWG107" s="4"/>
      <c r="DWH107" s="4"/>
      <c r="DWI107" s="4"/>
      <c r="DWJ107" s="4"/>
      <c r="DWK107" s="4"/>
      <c r="DWL107" s="4"/>
      <c r="DWM107" s="4"/>
      <c r="DWN107" s="4"/>
      <c r="DWO107" s="4"/>
      <c r="DWP107" s="4"/>
      <c r="DWQ107" s="4"/>
      <c r="DWR107" s="4"/>
      <c r="DWS107" s="4"/>
      <c r="DWT107" s="4"/>
      <c r="DWU107" s="4"/>
      <c r="DWV107" s="4"/>
      <c r="DWW107" s="4"/>
      <c r="DWX107" s="4"/>
      <c r="DWY107" s="4"/>
      <c r="DWZ107" s="4"/>
      <c r="DXA107" s="4"/>
      <c r="DXB107" s="4"/>
      <c r="DXC107" s="4"/>
      <c r="DXD107" s="4"/>
      <c r="DXE107" s="4"/>
      <c r="DXF107" s="4"/>
      <c r="DXG107" s="4"/>
      <c r="DXH107" s="4"/>
      <c r="DXI107" s="4"/>
      <c r="DXJ107" s="4"/>
      <c r="DXK107" s="4"/>
      <c r="DXL107" s="4"/>
      <c r="DXM107" s="4"/>
      <c r="DXN107" s="4"/>
      <c r="DXO107" s="4"/>
      <c r="DXP107" s="4"/>
      <c r="DXQ107" s="4"/>
      <c r="DXR107" s="4"/>
      <c r="DXS107" s="4"/>
      <c r="DXT107" s="4"/>
      <c r="DXU107" s="4"/>
      <c r="DXV107" s="4"/>
      <c r="DXW107" s="4"/>
      <c r="DXX107" s="4"/>
      <c r="DXY107" s="4"/>
      <c r="DXZ107" s="4"/>
      <c r="DYA107" s="4"/>
      <c r="DYB107" s="4"/>
      <c r="DYC107" s="4"/>
      <c r="DYD107" s="4"/>
      <c r="DYE107" s="4"/>
      <c r="DYF107" s="4"/>
      <c r="DYG107" s="4"/>
      <c r="DYH107" s="4"/>
      <c r="DYI107" s="4"/>
      <c r="DYJ107" s="4"/>
      <c r="DYK107" s="4"/>
      <c r="DYL107" s="4"/>
      <c r="DYM107" s="4"/>
      <c r="DYN107" s="4"/>
      <c r="DYO107" s="4"/>
      <c r="DYP107" s="4"/>
      <c r="DYQ107" s="4"/>
      <c r="DYR107" s="4"/>
      <c r="DYS107" s="4"/>
      <c r="DYT107" s="4"/>
      <c r="DYU107" s="4"/>
      <c r="DYV107" s="4"/>
      <c r="DYW107" s="4"/>
      <c r="DYX107" s="4"/>
      <c r="DYY107" s="4"/>
      <c r="DYZ107" s="4"/>
      <c r="DZA107" s="4"/>
      <c r="DZB107" s="4"/>
      <c r="DZC107" s="4"/>
      <c r="DZD107" s="4"/>
      <c r="DZE107" s="4"/>
      <c r="DZF107" s="4"/>
      <c r="DZG107" s="4"/>
      <c r="DZH107" s="4"/>
      <c r="DZI107" s="4"/>
      <c r="DZJ107" s="4"/>
      <c r="DZK107" s="4"/>
      <c r="DZL107" s="4"/>
      <c r="DZM107" s="4"/>
      <c r="DZN107" s="4"/>
      <c r="DZO107" s="4"/>
      <c r="DZP107" s="4"/>
      <c r="DZQ107" s="4"/>
      <c r="DZR107" s="4"/>
      <c r="DZS107" s="4"/>
      <c r="DZT107" s="4"/>
      <c r="DZU107" s="4"/>
      <c r="DZV107" s="4"/>
      <c r="DZW107" s="4"/>
      <c r="DZX107" s="4"/>
      <c r="DZY107" s="4"/>
      <c r="DZZ107" s="4"/>
      <c r="EAA107" s="4"/>
      <c r="EAB107" s="4"/>
      <c r="EAC107" s="4"/>
      <c r="EAD107" s="4"/>
      <c r="EAE107" s="4"/>
      <c r="EAF107" s="4"/>
      <c r="EAG107" s="4"/>
      <c r="EAH107" s="4"/>
      <c r="EAI107" s="4"/>
      <c r="EAJ107" s="4"/>
      <c r="EAK107" s="4"/>
      <c r="EAL107" s="4"/>
      <c r="EAM107" s="4"/>
      <c r="EAN107" s="4"/>
      <c r="EAO107" s="4"/>
      <c r="EAP107" s="4"/>
      <c r="EAQ107" s="4"/>
      <c r="EAR107" s="4"/>
      <c r="EAS107" s="4"/>
      <c r="EAT107" s="4"/>
      <c r="EAU107" s="4"/>
      <c r="EAV107" s="4"/>
      <c r="EAW107" s="4"/>
      <c r="EAX107" s="4"/>
      <c r="EAY107" s="4"/>
      <c r="EAZ107" s="4"/>
      <c r="EBA107" s="4"/>
      <c r="EBB107" s="4"/>
      <c r="EBC107" s="4"/>
      <c r="EBD107" s="4"/>
      <c r="EBE107" s="4"/>
      <c r="EBF107" s="4"/>
      <c r="EBG107" s="4"/>
      <c r="EBH107" s="4"/>
      <c r="EBI107" s="4"/>
      <c r="EBJ107" s="4"/>
      <c r="EBK107" s="4"/>
      <c r="EBL107" s="4"/>
      <c r="EBM107" s="4"/>
      <c r="EBN107" s="4"/>
      <c r="EBO107" s="4"/>
      <c r="EBP107" s="4"/>
      <c r="EBQ107" s="4"/>
      <c r="EBR107" s="4"/>
      <c r="EBS107" s="4"/>
      <c r="EBT107" s="4"/>
      <c r="EBU107" s="4"/>
      <c r="EBV107" s="4"/>
      <c r="EBW107" s="4"/>
      <c r="EBX107" s="4"/>
      <c r="EBY107" s="4"/>
      <c r="EBZ107" s="4"/>
      <c r="ECA107" s="4"/>
      <c r="ECB107" s="4"/>
      <c r="ECC107" s="4"/>
      <c r="ECD107" s="4"/>
      <c r="ECE107" s="4"/>
      <c r="ECF107" s="4"/>
      <c r="ECG107" s="4"/>
      <c r="ECH107" s="4"/>
      <c r="ECI107" s="4"/>
      <c r="ECJ107" s="4"/>
      <c r="ECK107" s="4"/>
      <c r="ECL107" s="4"/>
      <c r="ECM107" s="4"/>
      <c r="ECN107" s="4"/>
      <c r="ECO107" s="4"/>
      <c r="ECP107" s="4"/>
      <c r="ECQ107" s="4"/>
      <c r="ECR107" s="4"/>
      <c r="ECS107" s="4"/>
      <c r="ECT107" s="4"/>
      <c r="ECU107" s="4"/>
      <c r="ECV107" s="4"/>
      <c r="ECW107" s="4"/>
      <c r="ECX107" s="4"/>
      <c r="ECY107" s="4"/>
      <c r="ECZ107" s="4"/>
      <c r="EDA107" s="4"/>
      <c r="EDB107" s="4"/>
      <c r="EDC107" s="4"/>
      <c r="EDD107" s="4"/>
      <c r="EDE107" s="4"/>
      <c r="EDF107" s="4"/>
      <c r="EDG107" s="4"/>
      <c r="EDH107" s="4"/>
      <c r="EDI107" s="4"/>
      <c r="EDJ107" s="4"/>
      <c r="EDK107" s="4"/>
      <c r="EDL107" s="4"/>
      <c r="EDM107" s="4"/>
      <c r="EDN107" s="4"/>
      <c r="EDO107" s="4"/>
      <c r="EDP107" s="4"/>
      <c r="EDQ107" s="4"/>
      <c r="EDR107" s="4"/>
      <c r="EDS107" s="4"/>
      <c r="EDT107" s="4"/>
      <c r="EDU107" s="4"/>
      <c r="EDV107" s="4"/>
      <c r="EDW107" s="4"/>
      <c r="EDX107" s="4"/>
      <c r="EDY107" s="4"/>
      <c r="EDZ107" s="4"/>
      <c r="EEA107" s="4"/>
      <c r="EEB107" s="4"/>
      <c r="EEC107" s="4"/>
      <c r="EED107" s="4"/>
      <c r="EEE107" s="4"/>
      <c r="EEF107" s="4"/>
      <c r="EEG107" s="4"/>
      <c r="EEH107" s="4"/>
      <c r="EEI107" s="4"/>
      <c r="EEJ107" s="4"/>
      <c r="EEK107" s="4"/>
      <c r="EEL107" s="4"/>
      <c r="EEM107" s="4"/>
      <c r="EEN107" s="4"/>
      <c r="EEO107" s="4"/>
      <c r="EEP107" s="4"/>
      <c r="EEQ107" s="4"/>
      <c r="EER107" s="4"/>
      <c r="EES107" s="4"/>
      <c r="EET107" s="4"/>
      <c r="EEU107" s="4"/>
      <c r="EEV107" s="4"/>
      <c r="EEW107" s="4"/>
      <c r="EEX107" s="4"/>
      <c r="EEY107" s="4"/>
      <c r="EEZ107" s="4"/>
      <c r="EFA107" s="4"/>
      <c r="EFB107" s="4"/>
      <c r="EFC107" s="4"/>
      <c r="EFD107" s="4"/>
      <c r="EFE107" s="4"/>
      <c r="EFF107" s="4"/>
      <c r="EFG107" s="4"/>
      <c r="EFH107" s="4"/>
      <c r="EFI107" s="4"/>
      <c r="EFJ107" s="4"/>
      <c r="EFK107" s="4"/>
      <c r="EFL107" s="4"/>
      <c r="EFM107" s="4"/>
      <c r="EFN107" s="4"/>
      <c r="EFO107" s="4"/>
      <c r="EFP107" s="4"/>
      <c r="EFQ107" s="4"/>
      <c r="EFR107" s="4"/>
      <c r="EFS107" s="4"/>
      <c r="EFT107" s="4"/>
      <c r="EFU107" s="4"/>
      <c r="EFV107" s="4"/>
      <c r="EFW107" s="4"/>
      <c r="EFX107" s="4"/>
      <c r="EFY107" s="4"/>
      <c r="EFZ107" s="4"/>
      <c r="EGA107" s="4"/>
      <c r="EGB107" s="4"/>
      <c r="EGC107" s="4"/>
      <c r="EGD107" s="4"/>
      <c r="EGE107" s="4"/>
      <c r="EGF107" s="4"/>
      <c r="EGG107" s="4"/>
      <c r="EGH107" s="4"/>
      <c r="EGI107" s="4"/>
      <c r="EGJ107" s="4"/>
      <c r="EGK107" s="4"/>
      <c r="EGL107" s="4"/>
      <c r="EGM107" s="4"/>
      <c r="EGN107" s="4"/>
      <c r="EGO107" s="4"/>
      <c r="EGP107" s="4"/>
      <c r="EGQ107" s="4"/>
      <c r="EGR107" s="4"/>
      <c r="EGS107" s="4"/>
      <c r="EGT107" s="4"/>
      <c r="EGU107" s="4"/>
      <c r="EGV107" s="4"/>
      <c r="EGW107" s="4"/>
      <c r="EGX107" s="4"/>
      <c r="EGY107" s="4"/>
      <c r="EGZ107" s="4"/>
      <c r="EHA107" s="4"/>
      <c r="EHB107" s="4"/>
      <c r="EHC107" s="4"/>
      <c r="EHD107" s="4"/>
      <c r="EHE107" s="4"/>
      <c r="EHF107" s="4"/>
      <c r="EHG107" s="4"/>
      <c r="EHH107" s="4"/>
      <c r="EHI107" s="4"/>
      <c r="EHJ107" s="4"/>
      <c r="EHK107" s="4"/>
      <c r="EHL107" s="4"/>
      <c r="EHM107" s="4"/>
      <c r="EHN107" s="4"/>
      <c r="EHO107" s="4"/>
      <c r="EHP107" s="4"/>
      <c r="EHQ107" s="4"/>
      <c r="EHR107" s="4"/>
      <c r="EHS107" s="4"/>
      <c r="EHT107" s="4"/>
      <c r="EHU107" s="4"/>
      <c r="EHV107" s="4"/>
      <c r="EHW107" s="4"/>
      <c r="EHX107" s="4"/>
      <c r="EHY107" s="4"/>
      <c r="EHZ107" s="4"/>
      <c r="EIA107" s="4"/>
      <c r="EIB107" s="4"/>
      <c r="EIC107" s="4"/>
      <c r="EID107" s="4"/>
      <c r="EIE107" s="4"/>
      <c r="EIF107" s="4"/>
      <c r="EIG107" s="4"/>
      <c r="EIH107" s="4"/>
      <c r="EII107" s="4"/>
      <c r="EIJ107" s="4"/>
      <c r="EIK107" s="4"/>
      <c r="EIL107" s="4"/>
      <c r="EIM107" s="4"/>
      <c r="EIN107" s="4"/>
      <c r="EIO107" s="4"/>
      <c r="EIP107" s="4"/>
      <c r="EIQ107" s="4"/>
      <c r="EIR107" s="4"/>
      <c r="EIS107" s="4"/>
      <c r="EIT107" s="4"/>
      <c r="EIU107" s="4"/>
      <c r="EIV107" s="4"/>
      <c r="EIW107" s="4"/>
      <c r="EIX107" s="4"/>
      <c r="EIY107" s="4"/>
      <c r="EIZ107" s="4"/>
      <c r="EJA107" s="4"/>
      <c r="EJB107" s="4"/>
      <c r="EJC107" s="4"/>
      <c r="EJD107" s="4"/>
      <c r="EJE107" s="4"/>
      <c r="EJF107" s="4"/>
      <c r="EJG107" s="4"/>
      <c r="EJH107" s="4"/>
      <c r="EJI107" s="4"/>
      <c r="EJJ107" s="4"/>
      <c r="EJK107" s="4"/>
      <c r="EJL107" s="4"/>
      <c r="EJM107" s="4"/>
      <c r="EJN107" s="4"/>
      <c r="EJO107" s="4"/>
      <c r="EJP107" s="4"/>
      <c r="EJQ107" s="4"/>
      <c r="EJR107" s="4"/>
      <c r="EJS107" s="4"/>
      <c r="EJT107" s="4"/>
      <c r="EJU107" s="4"/>
      <c r="EJV107" s="4"/>
      <c r="EJW107" s="4"/>
      <c r="EJX107" s="4"/>
      <c r="EJY107" s="4"/>
      <c r="EJZ107" s="4"/>
      <c r="EKA107" s="4"/>
      <c r="EKB107" s="4"/>
      <c r="EKC107" s="4"/>
      <c r="EKD107" s="4"/>
      <c r="EKE107" s="4"/>
      <c r="EKF107" s="4"/>
      <c r="EKG107" s="4"/>
      <c r="EKH107" s="4"/>
      <c r="EKI107" s="4"/>
      <c r="EKJ107" s="4"/>
      <c r="EKK107" s="4"/>
      <c r="EKL107" s="4"/>
      <c r="EKM107" s="4"/>
      <c r="EKN107" s="4"/>
      <c r="EKO107" s="4"/>
      <c r="EKP107" s="4"/>
      <c r="EKQ107" s="4"/>
      <c r="EKR107" s="4"/>
      <c r="EKS107" s="4"/>
      <c r="EKT107" s="4"/>
      <c r="EKU107" s="4"/>
      <c r="EKV107" s="4"/>
      <c r="EKW107" s="4"/>
      <c r="EKX107" s="4"/>
      <c r="EKY107" s="4"/>
      <c r="EKZ107" s="4"/>
      <c r="ELA107" s="4"/>
      <c r="ELB107" s="4"/>
      <c r="ELC107" s="4"/>
      <c r="ELD107" s="4"/>
      <c r="ELE107" s="4"/>
      <c r="ELF107" s="4"/>
      <c r="ELG107" s="4"/>
      <c r="ELH107" s="4"/>
      <c r="ELI107" s="4"/>
      <c r="ELJ107" s="4"/>
      <c r="ELK107" s="4"/>
      <c r="ELL107" s="4"/>
      <c r="ELM107" s="4"/>
      <c r="ELN107" s="4"/>
      <c r="ELO107" s="4"/>
      <c r="ELP107" s="4"/>
      <c r="ELQ107" s="4"/>
      <c r="ELR107" s="4"/>
      <c r="ELS107" s="4"/>
      <c r="ELT107" s="4"/>
      <c r="ELU107" s="4"/>
      <c r="ELV107" s="4"/>
      <c r="ELW107" s="4"/>
      <c r="ELX107" s="4"/>
      <c r="ELY107" s="4"/>
      <c r="ELZ107" s="4"/>
      <c r="EMA107" s="4"/>
      <c r="EMB107" s="4"/>
      <c r="EMC107" s="4"/>
      <c r="EMD107" s="4"/>
      <c r="EME107" s="4"/>
      <c r="EMF107" s="4"/>
      <c r="EMG107" s="4"/>
      <c r="EMH107" s="4"/>
      <c r="EMI107" s="4"/>
      <c r="EMJ107" s="4"/>
      <c r="EMK107" s="4"/>
      <c r="EML107" s="4"/>
      <c r="EMM107" s="4"/>
      <c r="EMN107" s="4"/>
      <c r="EMO107" s="4"/>
      <c r="EMP107" s="4"/>
      <c r="EMQ107" s="4"/>
      <c r="EMR107" s="4"/>
      <c r="EMS107" s="4"/>
      <c r="EMT107" s="4"/>
      <c r="EMU107" s="4"/>
      <c r="EMV107" s="4"/>
      <c r="EMW107" s="4"/>
      <c r="EMX107" s="4"/>
      <c r="EMY107" s="4"/>
      <c r="EMZ107" s="4"/>
      <c r="ENA107" s="4"/>
      <c r="ENB107" s="4"/>
      <c r="ENC107" s="4"/>
      <c r="END107" s="4"/>
      <c r="ENE107" s="4"/>
      <c r="ENF107" s="4"/>
      <c r="ENG107" s="4"/>
      <c r="ENH107" s="4"/>
      <c r="ENI107" s="4"/>
      <c r="ENJ107" s="4"/>
      <c r="ENK107" s="4"/>
      <c r="ENL107" s="4"/>
      <c r="ENM107" s="4"/>
      <c r="ENN107" s="4"/>
      <c r="ENO107" s="4"/>
      <c r="ENP107" s="4"/>
      <c r="ENQ107" s="4"/>
      <c r="ENR107" s="4"/>
      <c r="ENS107" s="4"/>
      <c r="ENT107" s="4"/>
      <c r="ENU107" s="4"/>
      <c r="ENV107" s="4"/>
      <c r="ENW107" s="4"/>
      <c r="ENX107" s="4"/>
      <c r="ENY107" s="4"/>
      <c r="ENZ107" s="4"/>
      <c r="EOA107" s="4"/>
      <c r="EOB107" s="4"/>
      <c r="EOC107" s="4"/>
      <c r="EOD107" s="4"/>
      <c r="EOE107" s="4"/>
      <c r="EOF107" s="4"/>
      <c r="EOG107" s="4"/>
      <c r="EOH107" s="4"/>
      <c r="EOI107" s="4"/>
      <c r="EOJ107" s="4"/>
      <c r="EOK107" s="4"/>
      <c r="EOL107" s="4"/>
      <c r="EOM107" s="4"/>
      <c r="EON107" s="4"/>
      <c r="EOO107" s="4"/>
      <c r="EOP107" s="4"/>
      <c r="EOQ107" s="4"/>
      <c r="EOR107" s="4"/>
      <c r="EOS107" s="4"/>
      <c r="EOT107" s="4"/>
      <c r="EOU107" s="4"/>
      <c r="EOV107" s="4"/>
      <c r="EOW107" s="4"/>
      <c r="EOX107" s="4"/>
      <c r="EOY107" s="4"/>
      <c r="EOZ107" s="4"/>
      <c r="EPA107" s="4"/>
      <c r="EPB107" s="4"/>
      <c r="EPC107" s="4"/>
      <c r="EPD107" s="4"/>
      <c r="EPE107" s="4"/>
      <c r="EPF107" s="4"/>
      <c r="EPG107" s="4"/>
      <c r="EPH107" s="4"/>
      <c r="EPI107" s="4"/>
      <c r="EPJ107" s="4"/>
      <c r="EPK107" s="4"/>
      <c r="EPL107" s="4"/>
      <c r="EPM107" s="4"/>
      <c r="EPN107" s="4"/>
      <c r="EPO107" s="4"/>
      <c r="EPP107" s="4"/>
      <c r="EPQ107" s="4"/>
      <c r="EPR107" s="4"/>
      <c r="EPS107" s="4"/>
      <c r="EPT107" s="4"/>
      <c r="EPU107" s="4"/>
      <c r="EPV107" s="4"/>
      <c r="EPW107" s="4"/>
      <c r="EPX107" s="4"/>
      <c r="EPY107" s="4"/>
      <c r="EPZ107" s="4"/>
      <c r="EQA107" s="4"/>
      <c r="EQB107" s="4"/>
      <c r="EQC107" s="4"/>
      <c r="EQD107" s="4"/>
      <c r="EQE107" s="4"/>
      <c r="EQF107" s="4"/>
      <c r="EQG107" s="4"/>
      <c r="EQH107" s="4"/>
      <c r="EQI107" s="4"/>
      <c r="EQJ107" s="4"/>
      <c r="EQK107" s="4"/>
      <c r="EQL107" s="4"/>
      <c r="EQM107" s="4"/>
      <c r="EQN107" s="4"/>
      <c r="EQO107" s="4"/>
      <c r="EQP107" s="4"/>
      <c r="EQQ107" s="4"/>
      <c r="EQR107" s="4"/>
      <c r="EQS107" s="4"/>
      <c r="EQT107" s="4"/>
      <c r="EQU107" s="4"/>
      <c r="EQV107" s="4"/>
      <c r="EQW107" s="4"/>
      <c r="EQX107" s="4"/>
      <c r="EQY107" s="4"/>
      <c r="EQZ107" s="4"/>
      <c r="ERA107" s="4"/>
      <c r="ERB107" s="4"/>
      <c r="ERC107" s="4"/>
      <c r="ERD107" s="4"/>
      <c r="ERE107" s="4"/>
      <c r="ERF107" s="4"/>
      <c r="ERG107" s="4"/>
      <c r="ERH107" s="4"/>
      <c r="ERI107" s="4"/>
      <c r="ERJ107" s="4"/>
      <c r="ERK107" s="4"/>
      <c r="ERL107" s="4"/>
      <c r="ERM107" s="4"/>
      <c r="ERN107" s="4"/>
      <c r="ERO107" s="4"/>
      <c r="ERP107" s="4"/>
      <c r="ERQ107" s="4"/>
      <c r="ERR107" s="4"/>
      <c r="ERS107" s="4"/>
      <c r="ERT107" s="4"/>
      <c r="ERU107" s="4"/>
      <c r="ERV107" s="4"/>
      <c r="ERW107" s="4"/>
      <c r="ERX107" s="4"/>
      <c r="ERY107" s="4"/>
      <c r="ERZ107" s="4"/>
      <c r="ESA107" s="4"/>
      <c r="ESB107" s="4"/>
      <c r="ESC107" s="4"/>
      <c r="ESD107" s="4"/>
      <c r="ESE107" s="4"/>
      <c r="ESF107" s="4"/>
      <c r="ESG107" s="4"/>
      <c r="ESH107" s="4"/>
      <c r="ESI107" s="4"/>
      <c r="ESJ107" s="4"/>
      <c r="ESK107" s="4"/>
      <c r="ESL107" s="4"/>
      <c r="ESM107" s="4"/>
      <c r="ESN107" s="4"/>
      <c r="ESO107" s="4"/>
      <c r="ESP107" s="4"/>
      <c r="ESQ107" s="4"/>
      <c r="ESR107" s="4"/>
      <c r="ESS107" s="4"/>
      <c r="EST107" s="4"/>
      <c r="ESU107" s="4"/>
      <c r="ESV107" s="4"/>
      <c r="ESW107" s="4"/>
      <c r="ESX107" s="4"/>
      <c r="ESY107" s="4"/>
      <c r="ESZ107" s="4"/>
      <c r="ETA107" s="4"/>
      <c r="ETB107" s="4"/>
      <c r="ETC107" s="4"/>
      <c r="ETD107" s="4"/>
      <c r="ETE107" s="4"/>
      <c r="ETF107" s="4"/>
      <c r="ETG107" s="4"/>
      <c r="ETH107" s="4"/>
      <c r="ETI107" s="4"/>
      <c r="ETJ107" s="4"/>
      <c r="ETK107" s="4"/>
      <c r="ETL107" s="4"/>
      <c r="ETM107" s="4"/>
      <c r="ETN107" s="4"/>
      <c r="ETO107" s="4"/>
      <c r="ETP107" s="4"/>
      <c r="ETQ107" s="4"/>
      <c r="ETR107" s="4"/>
      <c r="ETS107" s="4"/>
      <c r="ETT107" s="4"/>
      <c r="ETU107" s="4"/>
      <c r="ETV107" s="4"/>
      <c r="ETW107" s="4"/>
      <c r="ETX107" s="4"/>
      <c r="ETY107" s="4"/>
      <c r="ETZ107" s="4"/>
      <c r="EUA107" s="4"/>
      <c r="EUB107" s="4"/>
      <c r="EUC107" s="4"/>
      <c r="EUD107" s="4"/>
      <c r="EUE107" s="4"/>
      <c r="EUF107" s="4"/>
      <c r="EUG107" s="4"/>
      <c r="EUH107" s="4"/>
      <c r="EUI107" s="4"/>
      <c r="EUJ107" s="4"/>
      <c r="EUK107" s="4"/>
      <c r="EUL107" s="4"/>
      <c r="EUM107" s="4"/>
      <c r="EUN107" s="4"/>
      <c r="EUO107" s="4"/>
      <c r="EUP107" s="4"/>
      <c r="EUQ107" s="4"/>
      <c r="EUR107" s="4"/>
      <c r="EUS107" s="4"/>
      <c r="EUT107" s="4"/>
      <c r="EUU107" s="4"/>
      <c r="EUV107" s="4"/>
      <c r="EUW107" s="4"/>
      <c r="EUX107" s="4"/>
      <c r="EUY107" s="4"/>
      <c r="EUZ107" s="4"/>
      <c r="EVA107" s="4"/>
      <c r="EVB107" s="4"/>
      <c r="EVC107" s="4"/>
      <c r="EVD107" s="4"/>
      <c r="EVE107" s="4"/>
      <c r="EVF107" s="4"/>
      <c r="EVG107" s="4"/>
      <c r="EVH107" s="4"/>
      <c r="EVI107" s="4"/>
      <c r="EVJ107" s="4"/>
      <c r="EVK107" s="4"/>
      <c r="EVL107" s="4"/>
      <c r="EVM107" s="4"/>
      <c r="EVN107" s="4"/>
      <c r="EVO107" s="4"/>
      <c r="EVP107" s="4"/>
      <c r="EVQ107" s="4"/>
      <c r="EVR107" s="4"/>
      <c r="EVS107" s="4"/>
      <c r="EVT107" s="4"/>
      <c r="EVU107" s="4"/>
      <c r="EVV107" s="4"/>
      <c r="EVW107" s="4"/>
      <c r="EVX107" s="4"/>
      <c r="EVY107" s="4"/>
      <c r="EVZ107" s="4"/>
      <c r="EWA107" s="4"/>
      <c r="EWB107" s="4"/>
      <c r="EWC107" s="4"/>
      <c r="EWD107" s="4"/>
      <c r="EWE107" s="4"/>
      <c r="EWF107" s="4"/>
      <c r="EWG107" s="4"/>
      <c r="EWH107" s="4"/>
      <c r="EWI107" s="4"/>
      <c r="EWJ107" s="4"/>
      <c r="EWK107" s="4"/>
      <c r="EWL107" s="4"/>
      <c r="EWM107" s="4"/>
      <c r="EWN107" s="4"/>
      <c r="EWO107" s="4"/>
      <c r="EWP107" s="4"/>
      <c r="EWQ107" s="4"/>
      <c r="EWR107" s="4"/>
      <c r="EWS107" s="4"/>
      <c r="EWT107" s="4"/>
      <c r="EWU107" s="4"/>
      <c r="EWV107" s="4"/>
      <c r="EWW107" s="4"/>
      <c r="EWX107" s="4"/>
      <c r="EWY107" s="4"/>
      <c r="EWZ107" s="4"/>
      <c r="EXA107" s="4"/>
      <c r="EXB107" s="4"/>
      <c r="EXC107" s="4"/>
      <c r="EXD107" s="4"/>
      <c r="EXE107" s="4"/>
      <c r="EXF107" s="4"/>
      <c r="EXG107" s="4"/>
      <c r="EXH107" s="4"/>
      <c r="EXI107" s="4"/>
      <c r="EXJ107" s="4"/>
      <c r="EXK107" s="4"/>
      <c r="EXL107" s="4"/>
      <c r="EXM107" s="4"/>
      <c r="EXN107" s="4"/>
      <c r="EXO107" s="4"/>
      <c r="EXP107" s="4"/>
      <c r="EXQ107" s="4"/>
      <c r="EXR107" s="4"/>
      <c r="EXS107" s="4"/>
      <c r="EXT107" s="4"/>
      <c r="EXU107" s="4"/>
      <c r="EXV107" s="4"/>
      <c r="EXW107" s="4"/>
      <c r="EXX107" s="4"/>
      <c r="EXY107" s="4"/>
      <c r="EXZ107" s="4"/>
      <c r="EYA107" s="4"/>
      <c r="EYB107" s="4"/>
      <c r="EYC107" s="4"/>
      <c r="EYD107" s="4"/>
      <c r="EYE107" s="4"/>
      <c r="EYF107" s="4"/>
      <c r="EYG107" s="4"/>
      <c r="EYH107" s="4"/>
      <c r="EYI107" s="4"/>
      <c r="EYJ107" s="4"/>
      <c r="EYK107" s="4"/>
      <c r="EYL107" s="4"/>
      <c r="EYM107" s="4"/>
      <c r="EYN107" s="4"/>
      <c r="EYO107" s="4"/>
      <c r="EYP107" s="4"/>
      <c r="EYQ107" s="4"/>
      <c r="EYR107" s="4"/>
      <c r="EYS107" s="4"/>
      <c r="EYT107" s="4"/>
      <c r="EYU107" s="4"/>
      <c r="EYV107" s="4"/>
      <c r="EYW107" s="4"/>
      <c r="EYX107" s="4"/>
      <c r="EYY107" s="4"/>
      <c r="EYZ107" s="4"/>
      <c r="EZA107" s="4"/>
      <c r="EZB107" s="4"/>
      <c r="EZC107" s="4"/>
      <c r="EZD107" s="4"/>
      <c r="EZE107" s="4"/>
      <c r="EZF107" s="4"/>
      <c r="EZG107" s="4"/>
      <c r="EZH107" s="4"/>
      <c r="EZI107" s="4"/>
      <c r="EZJ107" s="4"/>
      <c r="EZK107" s="4"/>
      <c r="EZL107" s="4"/>
      <c r="EZM107" s="4"/>
      <c r="EZN107" s="4"/>
      <c r="EZO107" s="4"/>
      <c r="EZP107" s="4"/>
      <c r="EZQ107" s="4"/>
      <c r="EZR107" s="4"/>
      <c r="EZS107" s="4"/>
      <c r="EZT107" s="4"/>
      <c r="EZU107" s="4"/>
      <c r="EZV107" s="4"/>
      <c r="EZW107" s="4"/>
      <c r="EZX107" s="4"/>
      <c r="EZY107" s="4"/>
      <c r="EZZ107" s="4"/>
      <c r="FAA107" s="4"/>
      <c r="FAB107" s="4"/>
      <c r="FAC107" s="4"/>
      <c r="FAD107" s="4"/>
      <c r="FAE107" s="4"/>
      <c r="FAF107" s="4"/>
      <c r="FAG107" s="4"/>
      <c r="FAH107" s="4"/>
      <c r="FAI107" s="4"/>
      <c r="FAJ107" s="4"/>
      <c r="FAK107" s="4"/>
      <c r="FAL107" s="4"/>
      <c r="FAM107" s="4"/>
      <c r="FAN107" s="4"/>
      <c r="FAO107" s="4"/>
      <c r="FAP107" s="4"/>
      <c r="FAQ107" s="4"/>
      <c r="FAR107" s="4"/>
      <c r="FAS107" s="4"/>
      <c r="FAT107" s="4"/>
      <c r="FAU107" s="4"/>
      <c r="FAV107" s="4"/>
      <c r="FAW107" s="4"/>
      <c r="FAX107" s="4"/>
      <c r="FAY107" s="4"/>
      <c r="FAZ107" s="4"/>
      <c r="FBA107" s="4"/>
      <c r="FBB107" s="4"/>
      <c r="FBC107" s="4"/>
      <c r="FBD107" s="4"/>
      <c r="FBE107" s="4"/>
      <c r="FBF107" s="4"/>
      <c r="FBG107" s="4"/>
      <c r="FBH107" s="4"/>
      <c r="FBI107" s="4"/>
      <c r="FBJ107" s="4"/>
      <c r="FBK107" s="4"/>
      <c r="FBL107" s="4"/>
      <c r="FBM107" s="4"/>
      <c r="FBN107" s="4"/>
      <c r="FBO107" s="4"/>
      <c r="FBP107" s="4"/>
      <c r="FBQ107" s="4"/>
      <c r="FBR107" s="4"/>
      <c r="FBS107" s="4"/>
      <c r="FBT107" s="4"/>
      <c r="FBU107" s="4"/>
      <c r="FBV107" s="4"/>
      <c r="FBW107" s="4"/>
      <c r="FBX107" s="4"/>
      <c r="FBY107" s="4"/>
      <c r="FBZ107" s="4"/>
      <c r="FCA107" s="4"/>
      <c r="FCB107" s="4"/>
      <c r="FCC107" s="4"/>
      <c r="FCD107" s="4"/>
      <c r="FCE107" s="4"/>
      <c r="FCF107" s="4"/>
      <c r="FCG107" s="4"/>
      <c r="FCH107" s="4"/>
      <c r="FCI107" s="4"/>
      <c r="FCJ107" s="4"/>
      <c r="FCK107" s="4"/>
      <c r="FCL107" s="4"/>
      <c r="FCM107" s="4"/>
      <c r="FCN107" s="4"/>
      <c r="FCO107" s="4"/>
      <c r="FCP107" s="4"/>
      <c r="FCQ107" s="4"/>
      <c r="FCR107" s="4"/>
      <c r="FCS107" s="4"/>
      <c r="FCT107" s="4"/>
      <c r="FCU107" s="4"/>
      <c r="FCV107" s="4"/>
      <c r="FCW107" s="4"/>
      <c r="FCX107" s="4"/>
      <c r="FCY107" s="4"/>
      <c r="FCZ107" s="4"/>
      <c r="FDA107" s="4"/>
      <c r="FDB107" s="4"/>
      <c r="FDC107" s="4"/>
      <c r="FDD107" s="4"/>
      <c r="FDE107" s="4"/>
      <c r="FDF107" s="4"/>
      <c r="FDG107" s="4"/>
      <c r="FDH107" s="4"/>
      <c r="FDI107" s="4"/>
      <c r="FDJ107" s="4"/>
      <c r="FDK107" s="4"/>
      <c r="FDL107" s="4"/>
      <c r="FDM107" s="4"/>
      <c r="FDN107" s="4"/>
      <c r="FDO107" s="4"/>
      <c r="FDP107" s="4"/>
      <c r="FDQ107" s="4"/>
      <c r="FDR107" s="4"/>
      <c r="FDS107" s="4"/>
      <c r="FDT107" s="4"/>
      <c r="FDU107" s="4"/>
      <c r="FDV107" s="4"/>
      <c r="FDW107" s="4"/>
      <c r="FDX107" s="4"/>
      <c r="FDY107" s="4"/>
      <c r="FDZ107" s="4"/>
      <c r="FEA107" s="4"/>
      <c r="FEB107" s="4"/>
      <c r="FEC107" s="4"/>
      <c r="FED107" s="4"/>
      <c r="FEE107" s="4"/>
      <c r="FEF107" s="4"/>
      <c r="FEG107" s="4"/>
      <c r="FEH107" s="4"/>
      <c r="FEI107" s="4"/>
      <c r="FEJ107" s="4"/>
      <c r="FEK107" s="4"/>
      <c r="FEL107" s="4"/>
      <c r="FEM107" s="4"/>
      <c r="FEN107" s="4"/>
      <c r="FEO107" s="4"/>
      <c r="FEP107" s="4"/>
      <c r="FEQ107" s="4"/>
      <c r="FER107" s="4"/>
      <c r="FES107" s="4"/>
      <c r="FET107" s="4"/>
      <c r="FEU107" s="4"/>
      <c r="FEV107" s="4"/>
      <c r="FEW107" s="4"/>
      <c r="FEX107" s="4"/>
      <c r="FEY107" s="4"/>
      <c r="FEZ107" s="4"/>
      <c r="FFA107" s="4"/>
      <c r="FFB107" s="4"/>
      <c r="FFC107" s="4"/>
      <c r="FFD107" s="4"/>
      <c r="FFE107" s="4"/>
      <c r="FFF107" s="4"/>
      <c r="FFG107" s="4"/>
      <c r="FFH107" s="4"/>
      <c r="FFI107" s="4"/>
      <c r="FFJ107" s="4"/>
      <c r="FFK107" s="4"/>
      <c r="FFL107" s="4"/>
      <c r="FFM107" s="4"/>
      <c r="FFN107" s="4"/>
      <c r="FFO107" s="4"/>
      <c r="FFP107" s="4"/>
      <c r="FFQ107" s="4"/>
      <c r="FFR107" s="4"/>
      <c r="FFS107" s="4"/>
      <c r="FFT107" s="4"/>
      <c r="FFU107" s="4"/>
      <c r="FFV107" s="4"/>
      <c r="FFW107" s="4"/>
      <c r="FFX107" s="4"/>
      <c r="FFY107" s="4"/>
      <c r="FFZ107" s="4"/>
      <c r="FGA107" s="4"/>
      <c r="FGB107" s="4"/>
      <c r="FGC107" s="4"/>
      <c r="FGD107" s="4"/>
      <c r="FGE107" s="4"/>
      <c r="FGF107" s="4"/>
      <c r="FGG107" s="4"/>
      <c r="FGH107" s="4"/>
      <c r="FGI107" s="4"/>
      <c r="FGJ107" s="4"/>
      <c r="FGK107" s="4"/>
      <c r="FGL107" s="4"/>
      <c r="FGM107" s="4"/>
      <c r="FGN107" s="4"/>
      <c r="FGO107" s="4"/>
      <c r="FGP107" s="4"/>
      <c r="FGQ107" s="4"/>
      <c r="FGR107" s="4"/>
      <c r="FGS107" s="4"/>
      <c r="FGT107" s="4"/>
      <c r="FGU107" s="4"/>
      <c r="FGV107" s="4"/>
      <c r="FGW107" s="4"/>
      <c r="FGX107" s="4"/>
      <c r="FGY107" s="4"/>
      <c r="FGZ107" s="4"/>
      <c r="FHA107" s="4"/>
      <c r="FHB107" s="4"/>
      <c r="FHC107" s="4"/>
      <c r="FHD107" s="4"/>
      <c r="FHE107" s="4"/>
      <c r="FHF107" s="4"/>
      <c r="FHG107" s="4"/>
      <c r="FHH107" s="4"/>
      <c r="FHI107" s="4"/>
      <c r="FHJ107" s="4"/>
      <c r="FHK107" s="4"/>
      <c r="FHL107" s="4"/>
      <c r="FHM107" s="4"/>
      <c r="FHN107" s="4"/>
      <c r="FHO107" s="4"/>
      <c r="FHP107" s="4"/>
      <c r="FHQ107" s="4"/>
      <c r="FHR107" s="4"/>
      <c r="FHS107" s="4"/>
      <c r="FHT107" s="4"/>
      <c r="FHU107" s="4"/>
      <c r="FHV107" s="4"/>
      <c r="FHW107" s="4"/>
      <c r="FHX107" s="4"/>
      <c r="FHY107" s="4"/>
      <c r="FHZ107" s="4"/>
      <c r="FIA107" s="4"/>
      <c r="FIB107" s="4"/>
      <c r="FIC107" s="4"/>
      <c r="FID107" s="4"/>
      <c r="FIE107" s="4"/>
      <c r="FIF107" s="4"/>
      <c r="FIG107" s="4"/>
      <c r="FIH107" s="4"/>
      <c r="FII107" s="4"/>
      <c r="FIJ107" s="4"/>
      <c r="FIK107" s="4"/>
      <c r="FIL107" s="4"/>
      <c r="FIM107" s="4"/>
      <c r="FIN107" s="4"/>
      <c r="FIO107" s="4"/>
      <c r="FIP107" s="4"/>
      <c r="FIQ107" s="4"/>
      <c r="FIR107" s="4"/>
      <c r="FIS107" s="4"/>
      <c r="FIT107" s="4"/>
      <c r="FIU107" s="4"/>
      <c r="FIV107" s="4"/>
      <c r="FIW107" s="4"/>
      <c r="FIX107" s="4"/>
      <c r="FIY107" s="4"/>
      <c r="FIZ107" s="4"/>
      <c r="FJA107" s="4"/>
      <c r="FJB107" s="4"/>
      <c r="FJC107" s="4"/>
      <c r="FJD107" s="4"/>
      <c r="FJE107" s="4"/>
      <c r="FJF107" s="4"/>
      <c r="FJG107" s="4"/>
      <c r="FJH107" s="4"/>
      <c r="FJI107" s="4"/>
      <c r="FJJ107" s="4"/>
      <c r="FJK107" s="4"/>
      <c r="FJL107" s="4"/>
      <c r="FJM107" s="4"/>
      <c r="FJN107" s="4"/>
      <c r="FJO107" s="4"/>
      <c r="FJP107" s="4"/>
      <c r="FJQ107" s="4"/>
      <c r="FJR107" s="4"/>
      <c r="FJS107" s="4"/>
      <c r="FJT107" s="4"/>
      <c r="FJU107" s="4"/>
      <c r="FJV107" s="4"/>
      <c r="FJW107" s="4"/>
      <c r="FJX107" s="4"/>
      <c r="FJY107" s="4"/>
      <c r="FJZ107" s="4"/>
      <c r="FKA107" s="4"/>
      <c r="FKB107" s="4"/>
      <c r="FKC107" s="4"/>
      <c r="FKD107" s="4"/>
      <c r="FKE107" s="4"/>
      <c r="FKF107" s="4"/>
      <c r="FKG107" s="4"/>
      <c r="FKH107" s="4"/>
      <c r="FKI107" s="4"/>
      <c r="FKJ107" s="4"/>
      <c r="FKK107" s="4"/>
      <c r="FKL107" s="4"/>
      <c r="FKM107" s="4"/>
      <c r="FKN107" s="4"/>
      <c r="FKO107" s="4"/>
      <c r="FKP107" s="4"/>
      <c r="FKQ107" s="4"/>
      <c r="FKR107" s="4"/>
      <c r="FKS107" s="4"/>
      <c r="FKT107" s="4"/>
      <c r="FKU107" s="4"/>
      <c r="FKV107" s="4"/>
      <c r="FKW107" s="4"/>
      <c r="FKX107" s="4"/>
      <c r="FKY107" s="4"/>
      <c r="FKZ107" s="4"/>
      <c r="FLA107" s="4"/>
      <c r="FLB107" s="4"/>
      <c r="FLC107" s="4"/>
      <c r="FLD107" s="4"/>
      <c r="FLE107" s="4"/>
      <c r="FLF107" s="4"/>
      <c r="FLG107" s="4"/>
      <c r="FLH107" s="4"/>
      <c r="FLI107" s="4"/>
      <c r="FLJ107" s="4"/>
      <c r="FLK107" s="4"/>
      <c r="FLL107" s="4"/>
      <c r="FLM107" s="4"/>
      <c r="FLN107" s="4"/>
      <c r="FLO107" s="4"/>
      <c r="FLP107" s="4"/>
      <c r="FLQ107" s="4"/>
      <c r="FLR107" s="4"/>
      <c r="FLS107" s="4"/>
      <c r="FLT107" s="4"/>
      <c r="FLU107" s="4"/>
      <c r="FLV107" s="4"/>
      <c r="FLW107" s="4"/>
      <c r="FLX107" s="4"/>
      <c r="FLY107" s="4"/>
      <c r="FLZ107" s="4"/>
      <c r="FMA107" s="4"/>
      <c r="FMB107" s="4"/>
      <c r="FMC107" s="4"/>
      <c r="FMD107" s="4"/>
      <c r="FME107" s="4"/>
      <c r="FMF107" s="4"/>
      <c r="FMG107" s="4"/>
      <c r="FMH107" s="4"/>
      <c r="FMI107" s="4"/>
      <c r="FMJ107" s="4"/>
      <c r="FMK107" s="4"/>
      <c r="FML107" s="4"/>
      <c r="FMM107" s="4"/>
      <c r="FMN107" s="4"/>
      <c r="FMO107" s="4"/>
      <c r="FMP107" s="4"/>
      <c r="FMQ107" s="4"/>
      <c r="FMR107" s="4"/>
      <c r="FMS107" s="4"/>
      <c r="FMT107" s="4"/>
      <c r="FMU107" s="4"/>
      <c r="FMV107" s="4"/>
      <c r="FMW107" s="4"/>
      <c r="FMX107" s="4"/>
      <c r="FMY107" s="4"/>
      <c r="FMZ107" s="4"/>
      <c r="FNA107" s="4"/>
      <c r="FNB107" s="4"/>
      <c r="FNC107" s="4"/>
      <c r="FND107" s="4"/>
      <c r="FNE107" s="4"/>
      <c r="FNF107" s="4"/>
      <c r="FNG107" s="4"/>
      <c r="FNH107" s="4"/>
      <c r="FNI107" s="4"/>
      <c r="FNJ107" s="4"/>
      <c r="FNK107" s="4"/>
      <c r="FNL107" s="4"/>
      <c r="FNM107" s="4"/>
      <c r="FNN107" s="4"/>
      <c r="FNO107" s="4"/>
      <c r="FNP107" s="4"/>
      <c r="FNQ107" s="4"/>
      <c r="FNR107" s="4"/>
      <c r="FNS107" s="4"/>
      <c r="FNT107" s="4"/>
      <c r="FNU107" s="4"/>
      <c r="FNV107" s="4"/>
      <c r="FNW107" s="4"/>
      <c r="FNX107" s="4"/>
      <c r="FNY107" s="4"/>
      <c r="FNZ107" s="4"/>
      <c r="FOA107" s="4"/>
      <c r="FOB107" s="4"/>
      <c r="FOC107" s="4"/>
      <c r="FOD107" s="4"/>
      <c r="FOE107" s="4"/>
      <c r="FOF107" s="4"/>
      <c r="FOG107" s="4"/>
      <c r="FOH107" s="4"/>
      <c r="FOI107" s="4"/>
      <c r="FOJ107" s="4"/>
      <c r="FOK107" s="4"/>
      <c r="FOL107" s="4"/>
      <c r="FOM107" s="4"/>
      <c r="FON107" s="4"/>
      <c r="FOO107" s="4"/>
      <c r="FOP107" s="4"/>
      <c r="FOQ107" s="4"/>
      <c r="FOR107" s="4"/>
      <c r="FOS107" s="4"/>
      <c r="FOT107" s="4"/>
      <c r="FOU107" s="4"/>
      <c r="FOV107" s="4"/>
      <c r="FOW107" s="4"/>
      <c r="FOX107" s="4"/>
      <c r="FOY107" s="4"/>
      <c r="FOZ107" s="4"/>
      <c r="FPA107" s="4"/>
      <c r="FPB107" s="4"/>
      <c r="FPC107" s="4"/>
      <c r="FPD107" s="4"/>
      <c r="FPE107" s="4"/>
      <c r="FPF107" s="4"/>
      <c r="FPG107" s="4"/>
      <c r="FPH107" s="4"/>
      <c r="FPI107" s="4"/>
      <c r="FPJ107" s="4"/>
      <c r="FPK107" s="4"/>
      <c r="FPL107" s="4"/>
      <c r="FPM107" s="4"/>
      <c r="FPN107" s="4"/>
      <c r="FPO107" s="4"/>
      <c r="FPP107" s="4"/>
      <c r="FPQ107" s="4"/>
      <c r="FPR107" s="4"/>
      <c r="FPS107" s="4"/>
      <c r="FPT107" s="4"/>
      <c r="FPU107" s="4"/>
      <c r="FPV107" s="4"/>
      <c r="FPW107" s="4"/>
      <c r="FPX107" s="4"/>
      <c r="FPY107" s="4"/>
      <c r="FPZ107" s="4"/>
      <c r="FQA107" s="4"/>
      <c r="FQB107" s="4"/>
      <c r="FQC107" s="4"/>
      <c r="FQD107" s="4"/>
      <c r="FQE107" s="4"/>
      <c r="FQF107" s="4"/>
      <c r="FQG107" s="4"/>
      <c r="FQH107" s="4"/>
      <c r="FQI107" s="4"/>
      <c r="FQJ107" s="4"/>
      <c r="FQK107" s="4"/>
      <c r="FQL107" s="4"/>
      <c r="FQM107" s="4"/>
      <c r="FQN107" s="4"/>
      <c r="FQO107" s="4"/>
      <c r="FQP107" s="4"/>
      <c r="FQQ107" s="4"/>
      <c r="FQR107" s="4"/>
      <c r="FQS107" s="4"/>
      <c r="FQT107" s="4"/>
      <c r="FQU107" s="4"/>
      <c r="FQV107" s="4"/>
      <c r="FQW107" s="4"/>
      <c r="FQX107" s="4"/>
      <c r="FQY107" s="4"/>
      <c r="FQZ107" s="4"/>
      <c r="FRA107" s="4"/>
      <c r="FRB107" s="4"/>
      <c r="FRC107" s="4"/>
      <c r="FRD107" s="4"/>
      <c r="FRE107" s="4"/>
      <c r="FRF107" s="4"/>
      <c r="FRG107" s="4"/>
      <c r="FRH107" s="4"/>
      <c r="FRI107" s="4"/>
      <c r="FRJ107" s="4"/>
      <c r="FRK107" s="4"/>
      <c r="FRL107" s="4"/>
      <c r="FRM107" s="4"/>
      <c r="FRN107" s="4"/>
      <c r="FRO107" s="4"/>
      <c r="FRP107" s="4"/>
      <c r="FRQ107" s="4"/>
      <c r="FRR107" s="4"/>
      <c r="FRS107" s="4"/>
      <c r="FRT107" s="4"/>
      <c r="FRU107" s="4"/>
      <c r="FRV107" s="4"/>
      <c r="FRW107" s="4"/>
      <c r="FRX107" s="4"/>
      <c r="FRY107" s="4"/>
      <c r="FRZ107" s="4"/>
      <c r="FSA107" s="4"/>
      <c r="FSB107" s="4"/>
      <c r="FSC107" s="4"/>
      <c r="FSD107" s="4"/>
      <c r="FSE107" s="4"/>
      <c r="FSF107" s="4"/>
      <c r="FSG107" s="4"/>
      <c r="FSH107" s="4"/>
      <c r="FSI107" s="4"/>
      <c r="FSJ107" s="4"/>
      <c r="FSK107" s="4"/>
      <c r="FSL107" s="4"/>
      <c r="FSM107" s="4"/>
      <c r="FSN107" s="4"/>
      <c r="FSO107" s="4"/>
      <c r="FSP107" s="4"/>
      <c r="FSQ107" s="4"/>
      <c r="FSR107" s="4"/>
      <c r="FSS107" s="4"/>
      <c r="FST107" s="4"/>
      <c r="FSU107" s="4"/>
      <c r="FSV107" s="4"/>
      <c r="FSW107" s="4"/>
      <c r="FSX107" s="4"/>
      <c r="FSY107" s="4"/>
      <c r="FSZ107" s="4"/>
      <c r="FTA107" s="4"/>
      <c r="FTB107" s="4"/>
      <c r="FTC107" s="4"/>
      <c r="FTD107" s="4"/>
      <c r="FTE107" s="4"/>
      <c r="FTF107" s="4"/>
      <c r="FTG107" s="4"/>
      <c r="FTH107" s="4"/>
      <c r="FTI107" s="4"/>
      <c r="FTJ107" s="4"/>
      <c r="FTK107" s="4"/>
      <c r="FTL107" s="4"/>
      <c r="FTM107" s="4"/>
      <c r="FTN107" s="4"/>
      <c r="FTO107" s="4"/>
      <c r="FTP107" s="4"/>
      <c r="FTQ107" s="4"/>
      <c r="FTR107" s="4"/>
      <c r="FTS107" s="4"/>
      <c r="FTT107" s="4"/>
      <c r="FTU107" s="4"/>
      <c r="FTV107" s="4"/>
      <c r="FTW107" s="4"/>
      <c r="FTX107" s="4"/>
      <c r="FTY107" s="4"/>
      <c r="FTZ107" s="4"/>
      <c r="FUA107" s="4"/>
      <c r="FUB107" s="4"/>
      <c r="FUC107" s="4"/>
      <c r="FUD107" s="4"/>
      <c r="FUE107" s="4"/>
      <c r="FUF107" s="4"/>
      <c r="FUG107" s="4"/>
      <c r="FUH107" s="4"/>
      <c r="FUI107" s="4"/>
      <c r="FUJ107" s="4"/>
      <c r="FUK107" s="4"/>
      <c r="FUL107" s="4"/>
      <c r="FUM107" s="4"/>
      <c r="FUN107" s="4"/>
      <c r="FUO107" s="4"/>
      <c r="FUP107" s="4"/>
      <c r="FUQ107" s="4"/>
      <c r="FUR107" s="4"/>
      <c r="FUS107" s="4"/>
      <c r="FUT107" s="4"/>
      <c r="FUU107" s="4"/>
      <c r="FUV107" s="4"/>
      <c r="FUW107" s="4"/>
      <c r="FUX107" s="4"/>
      <c r="FUY107" s="4"/>
      <c r="FUZ107" s="4"/>
      <c r="FVA107" s="4"/>
      <c r="FVB107" s="4"/>
      <c r="FVC107" s="4"/>
      <c r="FVD107" s="4"/>
      <c r="FVE107" s="4"/>
      <c r="FVF107" s="4"/>
      <c r="FVG107" s="4"/>
      <c r="FVH107" s="4"/>
      <c r="FVI107" s="4"/>
      <c r="FVJ107" s="4"/>
      <c r="FVK107" s="4"/>
      <c r="FVL107" s="4"/>
      <c r="FVM107" s="4"/>
      <c r="FVN107" s="4"/>
      <c r="FVO107" s="4"/>
      <c r="FVP107" s="4"/>
      <c r="FVQ107" s="4"/>
      <c r="FVR107" s="4"/>
      <c r="FVS107" s="4"/>
      <c r="FVT107" s="4"/>
      <c r="FVU107" s="4"/>
      <c r="FVV107" s="4"/>
      <c r="FVW107" s="4"/>
      <c r="FVX107" s="4"/>
      <c r="FVY107" s="4"/>
      <c r="FVZ107" s="4"/>
      <c r="FWA107" s="4"/>
      <c r="FWB107" s="4"/>
      <c r="FWC107" s="4"/>
      <c r="FWD107" s="4"/>
      <c r="FWE107" s="4"/>
      <c r="FWF107" s="4"/>
      <c r="FWG107" s="4"/>
      <c r="FWH107" s="4"/>
      <c r="FWI107" s="4"/>
      <c r="FWJ107" s="4"/>
      <c r="FWK107" s="4"/>
      <c r="FWL107" s="4"/>
      <c r="FWM107" s="4"/>
      <c r="FWN107" s="4"/>
      <c r="FWO107" s="4"/>
      <c r="FWP107" s="4"/>
      <c r="FWQ107" s="4"/>
      <c r="FWR107" s="4"/>
      <c r="FWS107" s="4"/>
      <c r="FWT107" s="4"/>
      <c r="FWU107" s="4"/>
      <c r="FWV107" s="4"/>
      <c r="FWW107" s="4"/>
      <c r="FWX107" s="4"/>
      <c r="FWY107" s="4"/>
      <c r="FWZ107" s="4"/>
      <c r="FXA107" s="4"/>
      <c r="FXB107" s="4"/>
      <c r="FXC107" s="4"/>
      <c r="FXD107" s="4"/>
      <c r="FXE107" s="4"/>
      <c r="FXF107" s="4"/>
      <c r="FXG107" s="4"/>
      <c r="FXH107" s="4"/>
      <c r="FXI107" s="4"/>
      <c r="FXJ107" s="4"/>
      <c r="FXK107" s="4"/>
      <c r="FXL107" s="4"/>
      <c r="FXM107" s="4"/>
      <c r="FXN107" s="4"/>
      <c r="FXO107" s="4"/>
      <c r="FXP107" s="4"/>
      <c r="FXQ107" s="4"/>
      <c r="FXR107" s="4"/>
      <c r="FXS107" s="4"/>
      <c r="FXT107" s="4"/>
      <c r="FXU107" s="4"/>
      <c r="FXV107" s="4"/>
      <c r="FXW107" s="4"/>
      <c r="FXX107" s="4"/>
      <c r="FXY107" s="4"/>
      <c r="FXZ107" s="4"/>
      <c r="FYA107" s="4"/>
      <c r="FYB107" s="4"/>
      <c r="FYC107" s="4"/>
      <c r="FYD107" s="4"/>
      <c r="FYE107" s="4"/>
      <c r="FYF107" s="4"/>
      <c r="FYG107" s="4"/>
      <c r="FYH107" s="4"/>
      <c r="FYI107" s="4"/>
      <c r="FYJ107" s="4"/>
      <c r="FYK107" s="4"/>
      <c r="FYL107" s="4"/>
      <c r="FYM107" s="4"/>
      <c r="FYN107" s="4"/>
      <c r="FYO107" s="4"/>
      <c r="FYP107" s="4"/>
      <c r="FYQ107" s="4"/>
      <c r="FYR107" s="4"/>
      <c r="FYS107" s="4"/>
      <c r="FYT107" s="4"/>
      <c r="FYU107" s="4"/>
      <c r="FYV107" s="4"/>
      <c r="FYW107" s="4"/>
      <c r="FYX107" s="4"/>
      <c r="FYY107" s="4"/>
      <c r="FYZ107" s="4"/>
      <c r="FZA107" s="4"/>
      <c r="FZB107" s="4"/>
      <c r="FZC107" s="4"/>
      <c r="FZD107" s="4"/>
      <c r="FZE107" s="4"/>
      <c r="FZF107" s="4"/>
      <c r="FZG107" s="4"/>
      <c r="FZH107" s="4"/>
      <c r="FZI107" s="4"/>
      <c r="FZJ107" s="4"/>
      <c r="FZK107" s="4"/>
      <c r="FZL107" s="4"/>
      <c r="FZM107" s="4"/>
      <c r="FZN107" s="4"/>
      <c r="FZO107" s="4"/>
      <c r="FZP107" s="4"/>
      <c r="FZQ107" s="4"/>
      <c r="FZR107" s="4"/>
      <c r="FZS107" s="4"/>
      <c r="FZT107" s="4"/>
      <c r="FZU107" s="4"/>
      <c r="FZV107" s="4"/>
      <c r="FZW107" s="4"/>
      <c r="FZX107" s="4"/>
      <c r="FZY107" s="4"/>
      <c r="FZZ107" s="4"/>
      <c r="GAA107" s="4"/>
      <c r="GAB107" s="4"/>
      <c r="GAC107" s="4"/>
      <c r="GAD107" s="4"/>
      <c r="GAE107" s="4"/>
      <c r="GAF107" s="4"/>
      <c r="GAG107" s="4"/>
      <c r="GAH107" s="4"/>
      <c r="GAI107" s="4"/>
      <c r="GAJ107" s="4"/>
      <c r="GAK107" s="4"/>
      <c r="GAL107" s="4"/>
      <c r="GAM107" s="4"/>
      <c r="GAN107" s="4"/>
      <c r="GAO107" s="4"/>
      <c r="GAP107" s="4"/>
      <c r="GAQ107" s="4"/>
      <c r="GAR107" s="4"/>
      <c r="GAS107" s="4"/>
      <c r="GAT107" s="4"/>
      <c r="GAU107" s="4"/>
      <c r="GAV107" s="4"/>
      <c r="GAW107" s="4"/>
      <c r="GAX107" s="4"/>
      <c r="GAY107" s="4"/>
      <c r="GAZ107" s="4"/>
      <c r="GBA107" s="4"/>
      <c r="GBB107" s="4"/>
      <c r="GBC107" s="4"/>
      <c r="GBD107" s="4"/>
      <c r="GBE107" s="4"/>
      <c r="GBF107" s="4"/>
      <c r="GBG107" s="4"/>
      <c r="GBH107" s="4"/>
      <c r="GBI107" s="4"/>
      <c r="GBJ107" s="4"/>
      <c r="GBK107" s="4"/>
      <c r="GBL107" s="4"/>
      <c r="GBM107" s="4"/>
      <c r="GBN107" s="4"/>
      <c r="GBO107" s="4"/>
      <c r="GBP107" s="4"/>
      <c r="GBQ107" s="4"/>
      <c r="GBR107" s="4"/>
      <c r="GBS107" s="4"/>
      <c r="GBT107" s="4"/>
      <c r="GBU107" s="4"/>
      <c r="GBV107" s="4"/>
      <c r="GBW107" s="4"/>
      <c r="GBX107" s="4"/>
      <c r="GBY107" s="4"/>
      <c r="GBZ107" s="4"/>
      <c r="GCA107" s="4"/>
      <c r="GCB107" s="4"/>
      <c r="GCC107" s="4"/>
      <c r="GCD107" s="4"/>
      <c r="GCE107" s="4"/>
      <c r="GCF107" s="4"/>
      <c r="GCG107" s="4"/>
      <c r="GCH107" s="4"/>
      <c r="GCI107" s="4"/>
      <c r="GCJ107" s="4"/>
      <c r="GCK107" s="4"/>
      <c r="GCL107" s="4"/>
      <c r="GCM107" s="4"/>
      <c r="GCN107" s="4"/>
      <c r="GCO107" s="4"/>
      <c r="GCP107" s="4"/>
      <c r="GCQ107" s="4"/>
      <c r="GCR107" s="4"/>
      <c r="GCS107" s="4"/>
      <c r="GCT107" s="4"/>
      <c r="GCU107" s="4"/>
      <c r="GCV107" s="4"/>
      <c r="GCW107" s="4"/>
      <c r="GCX107" s="4"/>
      <c r="GCY107" s="4"/>
      <c r="GCZ107" s="4"/>
      <c r="GDA107" s="4"/>
      <c r="GDB107" s="4"/>
      <c r="GDC107" s="4"/>
      <c r="GDD107" s="4"/>
      <c r="GDE107" s="4"/>
      <c r="GDF107" s="4"/>
      <c r="GDG107" s="4"/>
      <c r="GDH107" s="4"/>
      <c r="GDI107" s="4"/>
      <c r="GDJ107" s="4"/>
      <c r="GDK107" s="4"/>
      <c r="GDL107" s="4"/>
      <c r="GDM107" s="4"/>
      <c r="GDN107" s="4"/>
      <c r="GDO107" s="4"/>
      <c r="GDP107" s="4"/>
      <c r="GDQ107" s="4"/>
      <c r="GDR107" s="4"/>
      <c r="GDS107" s="4"/>
      <c r="GDT107" s="4"/>
      <c r="GDU107" s="4"/>
      <c r="GDV107" s="4"/>
      <c r="GDW107" s="4"/>
      <c r="GDX107" s="4"/>
      <c r="GDY107" s="4"/>
      <c r="GDZ107" s="4"/>
      <c r="GEA107" s="4"/>
      <c r="GEB107" s="4"/>
      <c r="GEC107" s="4"/>
      <c r="GED107" s="4"/>
      <c r="GEE107" s="4"/>
      <c r="GEF107" s="4"/>
      <c r="GEG107" s="4"/>
      <c r="GEH107" s="4"/>
      <c r="GEI107" s="4"/>
      <c r="GEJ107" s="4"/>
      <c r="GEK107" s="4"/>
      <c r="GEL107" s="4"/>
      <c r="GEM107" s="4"/>
      <c r="GEN107" s="4"/>
      <c r="GEO107" s="4"/>
      <c r="GEP107" s="4"/>
      <c r="GEQ107" s="4"/>
      <c r="GER107" s="4"/>
      <c r="GES107" s="4"/>
      <c r="GET107" s="4"/>
      <c r="GEU107" s="4"/>
      <c r="GEV107" s="4"/>
      <c r="GEW107" s="4"/>
      <c r="GEX107" s="4"/>
      <c r="GEY107" s="4"/>
      <c r="GEZ107" s="4"/>
      <c r="GFA107" s="4"/>
      <c r="GFB107" s="4"/>
      <c r="GFC107" s="4"/>
      <c r="GFD107" s="4"/>
      <c r="GFE107" s="4"/>
      <c r="GFF107" s="4"/>
      <c r="GFG107" s="4"/>
      <c r="GFH107" s="4"/>
      <c r="GFI107" s="4"/>
      <c r="GFJ107" s="4"/>
      <c r="GFK107" s="4"/>
      <c r="GFL107" s="4"/>
      <c r="GFM107" s="4"/>
      <c r="GFN107" s="4"/>
      <c r="GFO107" s="4"/>
      <c r="GFP107" s="4"/>
      <c r="GFQ107" s="4"/>
      <c r="GFR107" s="4"/>
      <c r="GFS107" s="4"/>
      <c r="GFT107" s="4"/>
      <c r="GFU107" s="4"/>
      <c r="GFV107" s="4"/>
      <c r="GFW107" s="4"/>
      <c r="GFX107" s="4"/>
      <c r="GFY107" s="4"/>
      <c r="GFZ107" s="4"/>
      <c r="GGA107" s="4"/>
      <c r="GGB107" s="4"/>
      <c r="GGC107" s="4"/>
      <c r="GGD107" s="4"/>
      <c r="GGE107" s="4"/>
      <c r="GGF107" s="4"/>
      <c r="GGG107" s="4"/>
      <c r="GGH107" s="4"/>
      <c r="GGI107" s="4"/>
      <c r="GGJ107" s="4"/>
      <c r="GGK107" s="4"/>
      <c r="GGL107" s="4"/>
      <c r="GGM107" s="4"/>
      <c r="GGN107" s="4"/>
      <c r="GGO107" s="4"/>
      <c r="GGP107" s="4"/>
      <c r="GGQ107" s="4"/>
      <c r="GGR107" s="4"/>
      <c r="GGS107" s="4"/>
      <c r="GGT107" s="4"/>
      <c r="GGU107" s="4"/>
      <c r="GGV107" s="4"/>
      <c r="GGW107" s="4"/>
      <c r="GGX107" s="4"/>
      <c r="GGY107" s="4"/>
      <c r="GGZ107" s="4"/>
      <c r="GHA107" s="4"/>
      <c r="GHB107" s="4"/>
      <c r="GHC107" s="4"/>
      <c r="GHD107" s="4"/>
      <c r="GHE107" s="4"/>
      <c r="GHF107" s="4"/>
      <c r="GHG107" s="4"/>
      <c r="GHH107" s="4"/>
      <c r="GHI107" s="4"/>
      <c r="GHJ107" s="4"/>
      <c r="GHK107" s="4"/>
      <c r="GHL107" s="4"/>
      <c r="GHM107" s="4"/>
      <c r="GHN107" s="4"/>
      <c r="GHO107" s="4"/>
      <c r="GHP107" s="4"/>
      <c r="GHQ107" s="4"/>
      <c r="GHR107" s="4"/>
      <c r="GHS107" s="4"/>
      <c r="GHT107" s="4"/>
      <c r="GHU107" s="4"/>
      <c r="GHV107" s="4"/>
      <c r="GHW107" s="4"/>
      <c r="GHX107" s="4"/>
      <c r="GHY107" s="4"/>
      <c r="GHZ107" s="4"/>
      <c r="GIA107" s="4"/>
      <c r="GIB107" s="4"/>
      <c r="GIC107" s="4"/>
      <c r="GID107" s="4"/>
      <c r="GIE107" s="4"/>
      <c r="GIF107" s="4"/>
      <c r="GIG107" s="4"/>
      <c r="GIH107" s="4"/>
      <c r="GII107" s="4"/>
      <c r="GIJ107" s="4"/>
      <c r="GIK107" s="4"/>
      <c r="GIL107" s="4"/>
      <c r="GIM107" s="4"/>
      <c r="GIN107" s="4"/>
      <c r="GIO107" s="4"/>
      <c r="GIP107" s="4"/>
      <c r="GIQ107" s="4"/>
      <c r="GIR107" s="4"/>
      <c r="GIS107" s="4"/>
      <c r="GIT107" s="4"/>
      <c r="GIU107" s="4"/>
      <c r="GIV107" s="4"/>
      <c r="GIW107" s="4"/>
      <c r="GIX107" s="4"/>
      <c r="GIY107" s="4"/>
      <c r="GIZ107" s="4"/>
      <c r="GJA107" s="4"/>
      <c r="GJB107" s="4"/>
      <c r="GJC107" s="4"/>
      <c r="GJD107" s="4"/>
      <c r="GJE107" s="4"/>
      <c r="GJF107" s="4"/>
      <c r="GJG107" s="4"/>
      <c r="GJH107" s="4"/>
      <c r="GJI107" s="4"/>
      <c r="GJJ107" s="4"/>
      <c r="GJK107" s="4"/>
      <c r="GJL107" s="4"/>
      <c r="GJM107" s="4"/>
      <c r="GJN107" s="4"/>
      <c r="GJO107" s="4"/>
      <c r="GJP107" s="4"/>
      <c r="GJQ107" s="4"/>
      <c r="GJR107" s="4"/>
      <c r="GJS107" s="4"/>
      <c r="GJT107" s="4"/>
      <c r="GJU107" s="4"/>
      <c r="GJV107" s="4"/>
      <c r="GJW107" s="4"/>
      <c r="GJX107" s="4"/>
      <c r="GJY107" s="4"/>
      <c r="GJZ107" s="4"/>
      <c r="GKA107" s="4"/>
      <c r="GKB107" s="4"/>
      <c r="GKC107" s="4"/>
      <c r="GKD107" s="4"/>
      <c r="GKE107" s="4"/>
      <c r="GKF107" s="4"/>
      <c r="GKG107" s="4"/>
      <c r="GKH107" s="4"/>
      <c r="GKI107" s="4"/>
      <c r="GKJ107" s="4"/>
      <c r="GKK107" s="4"/>
      <c r="GKL107" s="4"/>
      <c r="GKM107" s="4"/>
      <c r="GKN107" s="4"/>
      <c r="GKO107" s="4"/>
      <c r="GKP107" s="4"/>
      <c r="GKQ107" s="4"/>
      <c r="GKR107" s="4"/>
      <c r="GKS107" s="4"/>
      <c r="GKT107" s="4"/>
      <c r="GKU107" s="4"/>
      <c r="GKV107" s="4"/>
      <c r="GKW107" s="4"/>
      <c r="GKX107" s="4"/>
      <c r="GKY107" s="4"/>
      <c r="GKZ107" s="4"/>
      <c r="GLA107" s="4"/>
      <c r="GLB107" s="4"/>
      <c r="GLC107" s="4"/>
      <c r="GLD107" s="4"/>
      <c r="GLE107" s="4"/>
      <c r="GLF107" s="4"/>
      <c r="GLG107" s="4"/>
      <c r="GLH107" s="4"/>
      <c r="GLI107" s="4"/>
      <c r="GLJ107" s="4"/>
      <c r="GLK107" s="4"/>
      <c r="GLL107" s="4"/>
      <c r="GLM107" s="4"/>
      <c r="GLN107" s="4"/>
      <c r="GLO107" s="4"/>
      <c r="GLP107" s="4"/>
      <c r="GLQ107" s="4"/>
      <c r="GLR107" s="4"/>
      <c r="GLS107" s="4"/>
      <c r="GLT107" s="4"/>
      <c r="GLU107" s="4"/>
      <c r="GLV107" s="4"/>
      <c r="GLW107" s="4"/>
      <c r="GLX107" s="4"/>
      <c r="GLY107" s="4"/>
      <c r="GLZ107" s="4"/>
      <c r="GMA107" s="4"/>
      <c r="GMB107" s="4"/>
      <c r="GMC107" s="4"/>
      <c r="GMD107" s="4"/>
      <c r="GME107" s="4"/>
      <c r="GMF107" s="4"/>
      <c r="GMG107" s="4"/>
      <c r="GMH107" s="4"/>
      <c r="GMI107" s="4"/>
      <c r="GMJ107" s="4"/>
      <c r="GMK107" s="4"/>
      <c r="GML107" s="4"/>
      <c r="GMM107" s="4"/>
      <c r="GMN107" s="4"/>
      <c r="GMO107" s="4"/>
      <c r="GMP107" s="4"/>
      <c r="GMQ107" s="4"/>
      <c r="GMR107" s="4"/>
      <c r="GMS107" s="4"/>
      <c r="GMT107" s="4"/>
      <c r="GMU107" s="4"/>
      <c r="GMV107" s="4"/>
      <c r="GMW107" s="4"/>
      <c r="GMX107" s="4"/>
      <c r="GMY107" s="4"/>
      <c r="GMZ107" s="4"/>
      <c r="GNA107" s="4"/>
      <c r="GNB107" s="4"/>
      <c r="GNC107" s="4"/>
      <c r="GND107" s="4"/>
      <c r="GNE107" s="4"/>
      <c r="GNF107" s="4"/>
      <c r="GNG107" s="4"/>
      <c r="GNH107" s="4"/>
      <c r="GNI107" s="4"/>
      <c r="GNJ107" s="4"/>
      <c r="GNK107" s="4"/>
      <c r="GNL107" s="4"/>
      <c r="GNM107" s="4"/>
      <c r="GNN107" s="4"/>
      <c r="GNO107" s="4"/>
      <c r="GNP107" s="4"/>
      <c r="GNQ107" s="4"/>
      <c r="GNR107" s="4"/>
      <c r="GNS107" s="4"/>
      <c r="GNT107" s="4"/>
      <c r="GNU107" s="4"/>
      <c r="GNV107" s="4"/>
      <c r="GNW107" s="4"/>
      <c r="GNX107" s="4"/>
      <c r="GNY107" s="4"/>
      <c r="GNZ107" s="4"/>
      <c r="GOA107" s="4"/>
      <c r="GOB107" s="4"/>
      <c r="GOC107" s="4"/>
      <c r="GOD107" s="4"/>
      <c r="GOE107" s="4"/>
      <c r="GOF107" s="4"/>
      <c r="GOG107" s="4"/>
      <c r="GOH107" s="4"/>
      <c r="GOI107" s="4"/>
      <c r="GOJ107" s="4"/>
      <c r="GOK107" s="4"/>
      <c r="GOL107" s="4"/>
      <c r="GOM107" s="4"/>
      <c r="GON107" s="4"/>
      <c r="GOO107" s="4"/>
      <c r="GOP107" s="4"/>
      <c r="GOQ107" s="4"/>
      <c r="GOR107" s="4"/>
      <c r="GOS107" s="4"/>
      <c r="GOT107" s="4"/>
      <c r="GOU107" s="4"/>
      <c r="GOV107" s="4"/>
      <c r="GOW107" s="4"/>
      <c r="GOX107" s="4"/>
      <c r="GOY107" s="4"/>
      <c r="GOZ107" s="4"/>
      <c r="GPA107" s="4"/>
      <c r="GPB107" s="4"/>
      <c r="GPC107" s="4"/>
      <c r="GPD107" s="4"/>
      <c r="GPE107" s="4"/>
      <c r="GPF107" s="4"/>
      <c r="GPG107" s="4"/>
      <c r="GPH107" s="4"/>
      <c r="GPI107" s="4"/>
      <c r="GPJ107" s="4"/>
      <c r="GPK107" s="4"/>
      <c r="GPL107" s="4"/>
      <c r="GPM107" s="4"/>
      <c r="GPN107" s="4"/>
      <c r="GPO107" s="4"/>
      <c r="GPP107" s="4"/>
      <c r="GPQ107" s="4"/>
      <c r="GPR107" s="4"/>
      <c r="GPS107" s="4"/>
      <c r="GPT107" s="4"/>
      <c r="GPU107" s="4"/>
      <c r="GPV107" s="4"/>
      <c r="GPW107" s="4"/>
      <c r="GPX107" s="4"/>
      <c r="GPY107" s="4"/>
      <c r="GPZ107" s="4"/>
      <c r="GQA107" s="4"/>
      <c r="GQB107" s="4"/>
      <c r="GQC107" s="4"/>
      <c r="GQD107" s="4"/>
      <c r="GQE107" s="4"/>
      <c r="GQF107" s="4"/>
      <c r="GQG107" s="4"/>
      <c r="GQH107" s="4"/>
      <c r="GQI107" s="4"/>
      <c r="GQJ107" s="4"/>
      <c r="GQK107" s="4"/>
      <c r="GQL107" s="4"/>
      <c r="GQM107" s="4"/>
      <c r="GQN107" s="4"/>
      <c r="GQO107" s="4"/>
      <c r="GQP107" s="4"/>
      <c r="GQQ107" s="4"/>
      <c r="GQR107" s="4"/>
      <c r="GQS107" s="4"/>
      <c r="GQT107" s="4"/>
      <c r="GQU107" s="4"/>
      <c r="GQV107" s="4"/>
      <c r="GQW107" s="4"/>
      <c r="GQX107" s="4"/>
      <c r="GQY107" s="4"/>
      <c r="GQZ107" s="4"/>
      <c r="GRA107" s="4"/>
      <c r="GRB107" s="4"/>
      <c r="GRC107" s="4"/>
      <c r="GRD107" s="4"/>
      <c r="GRE107" s="4"/>
      <c r="GRF107" s="4"/>
      <c r="GRG107" s="4"/>
      <c r="GRH107" s="4"/>
      <c r="GRI107" s="4"/>
      <c r="GRJ107" s="4"/>
      <c r="GRK107" s="4"/>
      <c r="GRL107" s="4"/>
      <c r="GRM107" s="4"/>
      <c r="GRN107" s="4"/>
      <c r="GRO107" s="4"/>
      <c r="GRP107" s="4"/>
      <c r="GRQ107" s="4"/>
      <c r="GRR107" s="4"/>
      <c r="GRS107" s="4"/>
      <c r="GRT107" s="4"/>
      <c r="GRU107" s="4"/>
      <c r="GRV107" s="4"/>
      <c r="GRW107" s="4"/>
      <c r="GRX107" s="4"/>
      <c r="GRY107" s="4"/>
      <c r="GRZ107" s="4"/>
      <c r="GSA107" s="4"/>
      <c r="GSB107" s="4"/>
      <c r="GSC107" s="4"/>
      <c r="GSD107" s="4"/>
      <c r="GSE107" s="4"/>
      <c r="GSF107" s="4"/>
      <c r="GSG107" s="4"/>
      <c r="GSH107" s="4"/>
      <c r="GSI107" s="4"/>
      <c r="GSJ107" s="4"/>
      <c r="GSK107" s="4"/>
      <c r="GSL107" s="4"/>
      <c r="GSM107" s="4"/>
      <c r="GSN107" s="4"/>
      <c r="GSO107" s="4"/>
      <c r="GSP107" s="4"/>
      <c r="GSQ107" s="4"/>
      <c r="GSR107" s="4"/>
      <c r="GSS107" s="4"/>
      <c r="GST107" s="4"/>
      <c r="GSU107" s="4"/>
      <c r="GSV107" s="4"/>
      <c r="GSW107" s="4"/>
      <c r="GSX107" s="4"/>
      <c r="GSY107" s="4"/>
      <c r="GSZ107" s="4"/>
      <c r="GTA107" s="4"/>
      <c r="GTB107" s="4"/>
      <c r="GTC107" s="4"/>
      <c r="GTD107" s="4"/>
      <c r="GTE107" s="4"/>
      <c r="GTF107" s="4"/>
      <c r="GTG107" s="4"/>
      <c r="GTH107" s="4"/>
      <c r="GTI107" s="4"/>
      <c r="GTJ107" s="4"/>
      <c r="GTK107" s="4"/>
      <c r="GTL107" s="4"/>
      <c r="GTM107" s="4"/>
      <c r="GTN107" s="4"/>
      <c r="GTO107" s="4"/>
      <c r="GTP107" s="4"/>
      <c r="GTQ107" s="4"/>
      <c r="GTR107" s="4"/>
      <c r="GTS107" s="4"/>
      <c r="GTT107" s="4"/>
      <c r="GTU107" s="4"/>
      <c r="GTV107" s="4"/>
      <c r="GTW107" s="4"/>
      <c r="GTX107" s="4"/>
      <c r="GTY107" s="4"/>
      <c r="GTZ107" s="4"/>
      <c r="GUA107" s="4"/>
      <c r="GUB107" s="4"/>
      <c r="GUC107" s="4"/>
      <c r="GUD107" s="4"/>
      <c r="GUE107" s="4"/>
      <c r="GUF107" s="4"/>
      <c r="GUG107" s="4"/>
      <c r="GUH107" s="4"/>
      <c r="GUI107" s="4"/>
      <c r="GUJ107" s="4"/>
      <c r="GUK107" s="4"/>
      <c r="GUL107" s="4"/>
      <c r="GUM107" s="4"/>
      <c r="GUN107" s="4"/>
      <c r="GUO107" s="4"/>
      <c r="GUP107" s="4"/>
      <c r="GUQ107" s="4"/>
      <c r="GUR107" s="4"/>
      <c r="GUS107" s="4"/>
      <c r="GUT107" s="4"/>
      <c r="GUU107" s="4"/>
      <c r="GUV107" s="4"/>
      <c r="GUW107" s="4"/>
      <c r="GUX107" s="4"/>
      <c r="GUY107" s="4"/>
      <c r="GUZ107" s="4"/>
      <c r="GVA107" s="4"/>
      <c r="GVB107" s="4"/>
      <c r="GVC107" s="4"/>
      <c r="GVD107" s="4"/>
      <c r="GVE107" s="4"/>
      <c r="GVF107" s="4"/>
      <c r="GVG107" s="4"/>
      <c r="GVH107" s="4"/>
      <c r="GVI107" s="4"/>
      <c r="GVJ107" s="4"/>
      <c r="GVK107" s="4"/>
      <c r="GVL107" s="4"/>
      <c r="GVM107" s="4"/>
      <c r="GVN107" s="4"/>
      <c r="GVO107" s="4"/>
      <c r="GVP107" s="4"/>
      <c r="GVQ107" s="4"/>
      <c r="GVR107" s="4"/>
      <c r="GVS107" s="4"/>
      <c r="GVT107" s="4"/>
      <c r="GVU107" s="4"/>
      <c r="GVV107" s="4"/>
      <c r="GVW107" s="4"/>
      <c r="GVX107" s="4"/>
      <c r="GVY107" s="4"/>
      <c r="GVZ107" s="4"/>
      <c r="GWA107" s="4"/>
      <c r="GWB107" s="4"/>
      <c r="GWC107" s="4"/>
      <c r="GWD107" s="4"/>
      <c r="GWE107" s="4"/>
      <c r="GWF107" s="4"/>
      <c r="GWG107" s="4"/>
      <c r="GWH107" s="4"/>
      <c r="GWI107" s="4"/>
      <c r="GWJ107" s="4"/>
      <c r="GWK107" s="4"/>
      <c r="GWL107" s="4"/>
      <c r="GWM107" s="4"/>
      <c r="GWN107" s="4"/>
      <c r="GWO107" s="4"/>
      <c r="GWP107" s="4"/>
      <c r="GWQ107" s="4"/>
      <c r="GWR107" s="4"/>
      <c r="GWS107" s="4"/>
      <c r="GWT107" s="4"/>
      <c r="GWU107" s="4"/>
      <c r="GWV107" s="4"/>
      <c r="GWW107" s="4"/>
      <c r="GWX107" s="4"/>
      <c r="GWY107" s="4"/>
      <c r="GWZ107" s="4"/>
      <c r="GXA107" s="4"/>
      <c r="GXB107" s="4"/>
      <c r="GXC107" s="4"/>
      <c r="GXD107" s="4"/>
      <c r="GXE107" s="4"/>
      <c r="GXF107" s="4"/>
      <c r="GXG107" s="4"/>
      <c r="GXH107" s="4"/>
      <c r="GXI107" s="4"/>
      <c r="GXJ107" s="4"/>
      <c r="GXK107" s="4"/>
      <c r="GXL107" s="4"/>
      <c r="GXM107" s="4"/>
      <c r="GXN107" s="4"/>
      <c r="GXO107" s="4"/>
      <c r="GXP107" s="4"/>
      <c r="GXQ107" s="4"/>
      <c r="GXR107" s="4"/>
      <c r="GXS107" s="4"/>
      <c r="GXT107" s="4"/>
      <c r="GXU107" s="4"/>
      <c r="GXV107" s="4"/>
      <c r="GXW107" s="4"/>
      <c r="GXX107" s="4"/>
      <c r="GXY107" s="4"/>
      <c r="GXZ107" s="4"/>
      <c r="GYA107" s="4"/>
      <c r="GYB107" s="4"/>
      <c r="GYC107" s="4"/>
      <c r="GYD107" s="4"/>
      <c r="GYE107" s="4"/>
      <c r="GYF107" s="4"/>
      <c r="GYG107" s="4"/>
      <c r="GYH107" s="4"/>
      <c r="GYI107" s="4"/>
      <c r="GYJ107" s="4"/>
      <c r="GYK107" s="4"/>
      <c r="GYL107" s="4"/>
      <c r="GYM107" s="4"/>
      <c r="GYN107" s="4"/>
      <c r="GYO107" s="4"/>
      <c r="GYP107" s="4"/>
      <c r="GYQ107" s="4"/>
      <c r="GYR107" s="4"/>
      <c r="GYS107" s="4"/>
      <c r="GYT107" s="4"/>
      <c r="GYU107" s="4"/>
      <c r="GYV107" s="4"/>
      <c r="GYW107" s="4"/>
      <c r="GYX107" s="4"/>
      <c r="GYY107" s="4"/>
      <c r="GYZ107" s="4"/>
      <c r="GZA107" s="4"/>
      <c r="GZB107" s="4"/>
      <c r="GZC107" s="4"/>
      <c r="GZD107" s="4"/>
      <c r="GZE107" s="4"/>
      <c r="GZF107" s="4"/>
      <c r="GZG107" s="4"/>
      <c r="GZH107" s="4"/>
      <c r="GZI107" s="4"/>
      <c r="GZJ107" s="4"/>
      <c r="GZK107" s="4"/>
      <c r="GZL107" s="4"/>
      <c r="GZM107" s="4"/>
      <c r="GZN107" s="4"/>
      <c r="GZO107" s="4"/>
      <c r="GZP107" s="4"/>
      <c r="GZQ107" s="4"/>
      <c r="GZR107" s="4"/>
      <c r="GZS107" s="4"/>
      <c r="GZT107" s="4"/>
      <c r="GZU107" s="4"/>
      <c r="GZV107" s="4"/>
      <c r="GZW107" s="4"/>
      <c r="GZX107" s="4"/>
      <c r="GZY107" s="4"/>
      <c r="GZZ107" s="4"/>
      <c r="HAA107" s="4"/>
      <c r="HAB107" s="4"/>
      <c r="HAC107" s="4"/>
      <c r="HAD107" s="4"/>
      <c r="HAE107" s="4"/>
      <c r="HAF107" s="4"/>
      <c r="HAG107" s="4"/>
      <c r="HAH107" s="4"/>
      <c r="HAI107" s="4"/>
      <c r="HAJ107" s="4"/>
      <c r="HAK107" s="4"/>
      <c r="HAL107" s="4"/>
      <c r="HAM107" s="4"/>
      <c r="HAN107" s="4"/>
      <c r="HAO107" s="4"/>
      <c r="HAP107" s="4"/>
      <c r="HAQ107" s="4"/>
      <c r="HAR107" s="4"/>
      <c r="HAS107" s="4"/>
      <c r="HAT107" s="4"/>
      <c r="HAU107" s="4"/>
      <c r="HAV107" s="4"/>
      <c r="HAW107" s="4"/>
      <c r="HAX107" s="4"/>
      <c r="HAY107" s="4"/>
      <c r="HAZ107" s="4"/>
      <c r="HBA107" s="4"/>
      <c r="HBB107" s="4"/>
      <c r="HBC107" s="4"/>
      <c r="HBD107" s="4"/>
      <c r="HBE107" s="4"/>
      <c r="HBF107" s="4"/>
      <c r="HBG107" s="4"/>
      <c r="HBH107" s="4"/>
      <c r="HBI107" s="4"/>
      <c r="HBJ107" s="4"/>
      <c r="HBK107" s="4"/>
      <c r="HBL107" s="4"/>
      <c r="HBM107" s="4"/>
      <c r="HBN107" s="4"/>
      <c r="HBO107" s="4"/>
      <c r="HBP107" s="4"/>
      <c r="HBQ107" s="4"/>
      <c r="HBR107" s="4"/>
      <c r="HBS107" s="4"/>
      <c r="HBT107" s="4"/>
      <c r="HBU107" s="4"/>
      <c r="HBV107" s="4"/>
      <c r="HBW107" s="4"/>
      <c r="HBX107" s="4"/>
      <c r="HBY107" s="4"/>
      <c r="HBZ107" s="4"/>
      <c r="HCA107" s="4"/>
      <c r="HCB107" s="4"/>
      <c r="HCC107" s="4"/>
      <c r="HCD107" s="4"/>
      <c r="HCE107" s="4"/>
      <c r="HCF107" s="4"/>
      <c r="HCG107" s="4"/>
      <c r="HCH107" s="4"/>
      <c r="HCI107" s="4"/>
      <c r="HCJ107" s="4"/>
      <c r="HCK107" s="4"/>
      <c r="HCL107" s="4"/>
      <c r="HCM107" s="4"/>
      <c r="HCN107" s="4"/>
      <c r="HCO107" s="4"/>
      <c r="HCP107" s="4"/>
      <c r="HCQ107" s="4"/>
      <c r="HCR107" s="4"/>
      <c r="HCS107" s="4"/>
      <c r="HCT107" s="4"/>
      <c r="HCU107" s="4"/>
      <c r="HCV107" s="4"/>
      <c r="HCW107" s="4"/>
      <c r="HCX107" s="4"/>
      <c r="HCY107" s="4"/>
      <c r="HCZ107" s="4"/>
      <c r="HDA107" s="4"/>
      <c r="HDB107" s="4"/>
      <c r="HDC107" s="4"/>
      <c r="HDD107" s="4"/>
      <c r="HDE107" s="4"/>
      <c r="HDF107" s="4"/>
      <c r="HDG107" s="4"/>
      <c r="HDH107" s="4"/>
      <c r="HDI107" s="4"/>
      <c r="HDJ107" s="4"/>
      <c r="HDK107" s="4"/>
      <c r="HDL107" s="4"/>
      <c r="HDM107" s="4"/>
      <c r="HDN107" s="4"/>
      <c r="HDO107" s="4"/>
      <c r="HDP107" s="4"/>
      <c r="HDQ107" s="4"/>
      <c r="HDR107" s="4"/>
      <c r="HDS107" s="4"/>
      <c r="HDT107" s="4"/>
      <c r="HDU107" s="4"/>
      <c r="HDV107" s="4"/>
      <c r="HDW107" s="4"/>
      <c r="HDX107" s="4"/>
      <c r="HDY107" s="4"/>
      <c r="HDZ107" s="4"/>
      <c r="HEA107" s="4"/>
      <c r="HEB107" s="4"/>
      <c r="HEC107" s="4"/>
      <c r="HED107" s="4"/>
      <c r="HEE107" s="4"/>
      <c r="HEF107" s="4"/>
      <c r="HEG107" s="4"/>
      <c r="HEH107" s="4"/>
      <c r="HEI107" s="4"/>
      <c r="HEJ107" s="4"/>
      <c r="HEK107" s="4"/>
      <c r="HEL107" s="4"/>
      <c r="HEM107" s="4"/>
      <c r="HEN107" s="4"/>
      <c r="HEO107" s="4"/>
      <c r="HEP107" s="4"/>
      <c r="HEQ107" s="4"/>
      <c r="HER107" s="4"/>
      <c r="HES107" s="4"/>
      <c r="HET107" s="4"/>
      <c r="HEU107" s="4"/>
      <c r="HEV107" s="4"/>
      <c r="HEW107" s="4"/>
      <c r="HEX107" s="4"/>
      <c r="HEY107" s="4"/>
      <c r="HEZ107" s="4"/>
      <c r="HFA107" s="4"/>
      <c r="HFB107" s="4"/>
      <c r="HFC107" s="4"/>
      <c r="HFD107" s="4"/>
      <c r="HFE107" s="4"/>
      <c r="HFF107" s="4"/>
      <c r="HFG107" s="4"/>
      <c r="HFH107" s="4"/>
      <c r="HFI107" s="4"/>
      <c r="HFJ107" s="4"/>
      <c r="HFK107" s="4"/>
      <c r="HFL107" s="4"/>
      <c r="HFM107" s="4"/>
      <c r="HFN107" s="4"/>
      <c r="HFO107" s="4"/>
      <c r="HFP107" s="4"/>
      <c r="HFQ107" s="4"/>
      <c r="HFR107" s="4"/>
      <c r="HFS107" s="4"/>
      <c r="HFT107" s="4"/>
      <c r="HFU107" s="4"/>
      <c r="HFV107" s="4"/>
      <c r="HFW107" s="4"/>
      <c r="HFX107" s="4"/>
      <c r="HFY107" s="4"/>
      <c r="HFZ107" s="4"/>
      <c r="HGA107" s="4"/>
      <c r="HGB107" s="4"/>
      <c r="HGC107" s="4"/>
      <c r="HGD107" s="4"/>
      <c r="HGE107" s="4"/>
      <c r="HGF107" s="4"/>
      <c r="HGG107" s="4"/>
      <c r="HGH107" s="4"/>
      <c r="HGI107" s="4"/>
      <c r="HGJ107" s="4"/>
      <c r="HGK107" s="4"/>
      <c r="HGL107" s="4"/>
      <c r="HGM107" s="4"/>
      <c r="HGN107" s="4"/>
      <c r="HGO107" s="4"/>
      <c r="HGP107" s="4"/>
      <c r="HGQ107" s="4"/>
      <c r="HGR107" s="4"/>
      <c r="HGS107" s="4"/>
      <c r="HGT107" s="4"/>
      <c r="HGU107" s="4"/>
      <c r="HGV107" s="4"/>
      <c r="HGW107" s="4"/>
      <c r="HGX107" s="4"/>
      <c r="HGY107" s="4"/>
      <c r="HGZ107" s="4"/>
      <c r="HHA107" s="4"/>
      <c r="HHB107" s="4"/>
      <c r="HHC107" s="4"/>
      <c r="HHD107" s="4"/>
      <c r="HHE107" s="4"/>
      <c r="HHF107" s="4"/>
      <c r="HHG107" s="4"/>
      <c r="HHH107" s="4"/>
      <c r="HHI107" s="4"/>
      <c r="HHJ107" s="4"/>
      <c r="HHK107" s="4"/>
      <c r="HHL107" s="4"/>
      <c r="HHM107" s="4"/>
      <c r="HHN107" s="4"/>
      <c r="HHO107" s="4"/>
      <c r="HHP107" s="4"/>
      <c r="HHQ107" s="4"/>
      <c r="HHR107" s="4"/>
      <c r="HHS107" s="4"/>
      <c r="HHT107" s="4"/>
      <c r="HHU107" s="4"/>
      <c r="HHV107" s="4"/>
      <c r="HHW107" s="4"/>
      <c r="HHX107" s="4"/>
      <c r="HHY107" s="4"/>
      <c r="HHZ107" s="4"/>
      <c r="HIA107" s="4"/>
      <c r="HIB107" s="4"/>
      <c r="HIC107" s="4"/>
      <c r="HID107" s="4"/>
      <c r="HIE107" s="4"/>
      <c r="HIF107" s="4"/>
      <c r="HIG107" s="4"/>
      <c r="HIH107" s="4"/>
      <c r="HII107" s="4"/>
      <c r="HIJ107" s="4"/>
      <c r="HIK107" s="4"/>
      <c r="HIL107" s="4"/>
      <c r="HIM107" s="4"/>
      <c r="HIN107" s="4"/>
      <c r="HIO107" s="4"/>
      <c r="HIP107" s="4"/>
      <c r="HIQ107" s="4"/>
      <c r="HIR107" s="4"/>
      <c r="HIS107" s="4"/>
      <c r="HIT107" s="4"/>
      <c r="HIU107" s="4"/>
      <c r="HIV107" s="4"/>
      <c r="HIW107" s="4"/>
      <c r="HIX107" s="4"/>
      <c r="HIY107" s="4"/>
      <c r="HIZ107" s="4"/>
      <c r="HJA107" s="4"/>
      <c r="HJB107" s="4"/>
      <c r="HJC107" s="4"/>
      <c r="HJD107" s="4"/>
      <c r="HJE107" s="4"/>
      <c r="HJF107" s="4"/>
      <c r="HJG107" s="4"/>
      <c r="HJH107" s="4"/>
      <c r="HJI107" s="4"/>
      <c r="HJJ107" s="4"/>
      <c r="HJK107" s="4"/>
      <c r="HJL107" s="4"/>
      <c r="HJM107" s="4"/>
      <c r="HJN107" s="4"/>
      <c r="HJO107" s="4"/>
      <c r="HJP107" s="4"/>
      <c r="HJQ107" s="4"/>
      <c r="HJR107" s="4"/>
      <c r="HJS107" s="4"/>
      <c r="HJT107" s="4"/>
      <c r="HJU107" s="4"/>
      <c r="HJV107" s="4"/>
      <c r="HJW107" s="4"/>
      <c r="HJX107" s="4"/>
      <c r="HJY107" s="4"/>
      <c r="HJZ107" s="4"/>
      <c r="HKA107" s="4"/>
      <c r="HKB107" s="4"/>
      <c r="HKC107" s="4"/>
      <c r="HKD107" s="4"/>
      <c r="HKE107" s="4"/>
      <c r="HKF107" s="4"/>
      <c r="HKG107" s="4"/>
      <c r="HKH107" s="4"/>
      <c r="HKI107" s="4"/>
      <c r="HKJ107" s="4"/>
      <c r="HKK107" s="4"/>
      <c r="HKL107" s="4"/>
      <c r="HKM107" s="4"/>
      <c r="HKN107" s="4"/>
      <c r="HKO107" s="4"/>
      <c r="HKP107" s="4"/>
      <c r="HKQ107" s="4"/>
      <c r="HKR107" s="4"/>
      <c r="HKS107" s="4"/>
      <c r="HKT107" s="4"/>
      <c r="HKU107" s="4"/>
      <c r="HKV107" s="4"/>
      <c r="HKW107" s="4"/>
      <c r="HKX107" s="4"/>
      <c r="HKY107" s="4"/>
      <c r="HKZ107" s="4"/>
      <c r="HLA107" s="4"/>
      <c r="HLB107" s="4"/>
      <c r="HLC107" s="4"/>
      <c r="HLD107" s="4"/>
      <c r="HLE107" s="4"/>
      <c r="HLF107" s="4"/>
      <c r="HLG107" s="4"/>
      <c r="HLH107" s="4"/>
      <c r="HLI107" s="4"/>
      <c r="HLJ107" s="4"/>
      <c r="HLK107" s="4"/>
      <c r="HLL107" s="4"/>
      <c r="HLM107" s="4"/>
      <c r="HLN107" s="4"/>
      <c r="HLO107" s="4"/>
      <c r="HLP107" s="4"/>
      <c r="HLQ107" s="4"/>
      <c r="HLR107" s="4"/>
      <c r="HLS107" s="4"/>
      <c r="HLT107" s="4"/>
      <c r="HLU107" s="4"/>
      <c r="HLV107" s="4"/>
      <c r="HLW107" s="4"/>
      <c r="HLX107" s="4"/>
      <c r="HLY107" s="4"/>
      <c r="HLZ107" s="4"/>
      <c r="HMA107" s="4"/>
      <c r="HMB107" s="4"/>
      <c r="HMC107" s="4"/>
      <c r="HMD107" s="4"/>
      <c r="HME107" s="4"/>
      <c r="HMF107" s="4"/>
      <c r="HMG107" s="4"/>
      <c r="HMH107" s="4"/>
      <c r="HMI107" s="4"/>
      <c r="HMJ107" s="4"/>
      <c r="HMK107" s="4"/>
      <c r="HML107" s="4"/>
      <c r="HMM107" s="4"/>
      <c r="HMN107" s="4"/>
      <c r="HMO107" s="4"/>
      <c r="HMP107" s="4"/>
      <c r="HMQ107" s="4"/>
      <c r="HMR107" s="4"/>
      <c r="HMS107" s="4"/>
      <c r="HMT107" s="4"/>
      <c r="HMU107" s="4"/>
      <c r="HMV107" s="4"/>
      <c r="HMW107" s="4"/>
      <c r="HMX107" s="4"/>
      <c r="HMY107" s="4"/>
      <c r="HMZ107" s="4"/>
      <c r="HNA107" s="4"/>
      <c r="HNB107" s="4"/>
      <c r="HNC107" s="4"/>
      <c r="HND107" s="4"/>
      <c r="HNE107" s="4"/>
      <c r="HNF107" s="4"/>
      <c r="HNG107" s="4"/>
      <c r="HNH107" s="4"/>
      <c r="HNI107" s="4"/>
      <c r="HNJ107" s="4"/>
      <c r="HNK107" s="4"/>
      <c r="HNL107" s="4"/>
      <c r="HNM107" s="4"/>
      <c r="HNN107" s="4"/>
      <c r="HNO107" s="4"/>
      <c r="HNP107" s="4"/>
      <c r="HNQ107" s="4"/>
      <c r="HNR107" s="4"/>
      <c r="HNS107" s="4"/>
      <c r="HNT107" s="4"/>
      <c r="HNU107" s="4"/>
      <c r="HNV107" s="4"/>
      <c r="HNW107" s="4"/>
      <c r="HNX107" s="4"/>
      <c r="HNY107" s="4"/>
      <c r="HNZ107" s="4"/>
      <c r="HOA107" s="4"/>
      <c r="HOB107" s="4"/>
      <c r="HOC107" s="4"/>
      <c r="HOD107" s="4"/>
      <c r="HOE107" s="4"/>
      <c r="HOF107" s="4"/>
      <c r="HOG107" s="4"/>
      <c r="HOH107" s="4"/>
      <c r="HOI107" s="4"/>
      <c r="HOJ107" s="4"/>
      <c r="HOK107" s="4"/>
      <c r="HOL107" s="4"/>
      <c r="HOM107" s="4"/>
      <c r="HON107" s="4"/>
      <c r="HOO107" s="4"/>
      <c r="HOP107" s="4"/>
      <c r="HOQ107" s="4"/>
      <c r="HOR107" s="4"/>
      <c r="HOS107" s="4"/>
      <c r="HOT107" s="4"/>
      <c r="HOU107" s="4"/>
      <c r="HOV107" s="4"/>
      <c r="HOW107" s="4"/>
      <c r="HOX107" s="4"/>
      <c r="HOY107" s="4"/>
      <c r="HOZ107" s="4"/>
      <c r="HPA107" s="4"/>
      <c r="HPB107" s="4"/>
      <c r="HPC107" s="4"/>
      <c r="HPD107" s="4"/>
      <c r="HPE107" s="4"/>
      <c r="HPF107" s="4"/>
      <c r="HPG107" s="4"/>
      <c r="HPH107" s="4"/>
      <c r="HPI107" s="4"/>
      <c r="HPJ107" s="4"/>
      <c r="HPK107" s="4"/>
      <c r="HPL107" s="4"/>
      <c r="HPM107" s="4"/>
      <c r="HPN107" s="4"/>
      <c r="HPO107" s="4"/>
      <c r="HPP107" s="4"/>
      <c r="HPQ107" s="4"/>
      <c r="HPR107" s="4"/>
      <c r="HPS107" s="4"/>
      <c r="HPT107" s="4"/>
      <c r="HPU107" s="4"/>
      <c r="HPV107" s="4"/>
      <c r="HPW107" s="4"/>
      <c r="HPX107" s="4"/>
      <c r="HPY107" s="4"/>
      <c r="HPZ107" s="4"/>
      <c r="HQA107" s="4"/>
      <c r="HQB107" s="4"/>
      <c r="HQC107" s="4"/>
      <c r="HQD107" s="4"/>
      <c r="HQE107" s="4"/>
      <c r="HQF107" s="4"/>
      <c r="HQG107" s="4"/>
      <c r="HQH107" s="4"/>
      <c r="HQI107" s="4"/>
      <c r="HQJ107" s="4"/>
      <c r="HQK107" s="4"/>
      <c r="HQL107" s="4"/>
      <c r="HQM107" s="4"/>
      <c r="HQN107" s="4"/>
      <c r="HQO107" s="4"/>
      <c r="HQP107" s="4"/>
      <c r="HQQ107" s="4"/>
      <c r="HQR107" s="4"/>
      <c r="HQS107" s="4"/>
      <c r="HQT107" s="4"/>
      <c r="HQU107" s="4"/>
      <c r="HQV107" s="4"/>
      <c r="HQW107" s="4"/>
      <c r="HQX107" s="4"/>
      <c r="HQY107" s="4"/>
      <c r="HQZ107" s="4"/>
      <c r="HRA107" s="4"/>
      <c r="HRB107" s="4"/>
      <c r="HRC107" s="4"/>
      <c r="HRD107" s="4"/>
      <c r="HRE107" s="4"/>
      <c r="HRF107" s="4"/>
      <c r="HRG107" s="4"/>
      <c r="HRH107" s="4"/>
      <c r="HRI107" s="4"/>
      <c r="HRJ107" s="4"/>
      <c r="HRK107" s="4"/>
      <c r="HRL107" s="4"/>
      <c r="HRM107" s="4"/>
      <c r="HRN107" s="4"/>
      <c r="HRO107" s="4"/>
      <c r="HRP107" s="4"/>
      <c r="HRQ107" s="4"/>
      <c r="HRR107" s="4"/>
      <c r="HRS107" s="4"/>
      <c r="HRT107" s="4"/>
      <c r="HRU107" s="4"/>
      <c r="HRV107" s="4"/>
      <c r="HRW107" s="4"/>
      <c r="HRX107" s="4"/>
      <c r="HRY107" s="4"/>
      <c r="HRZ107" s="4"/>
      <c r="HSA107" s="4"/>
      <c r="HSB107" s="4"/>
      <c r="HSC107" s="4"/>
      <c r="HSD107" s="4"/>
      <c r="HSE107" s="4"/>
      <c r="HSF107" s="4"/>
      <c r="HSG107" s="4"/>
      <c r="HSH107" s="4"/>
      <c r="HSI107" s="4"/>
      <c r="HSJ107" s="4"/>
      <c r="HSK107" s="4"/>
      <c r="HSL107" s="4"/>
      <c r="HSM107" s="4"/>
      <c r="HSN107" s="4"/>
      <c r="HSO107" s="4"/>
      <c r="HSP107" s="4"/>
      <c r="HSQ107" s="4"/>
      <c r="HSR107" s="4"/>
      <c r="HSS107" s="4"/>
      <c r="HST107" s="4"/>
      <c r="HSU107" s="4"/>
      <c r="HSV107" s="4"/>
      <c r="HSW107" s="4"/>
      <c r="HSX107" s="4"/>
      <c r="HSY107" s="4"/>
      <c r="HSZ107" s="4"/>
      <c r="HTA107" s="4"/>
      <c r="HTB107" s="4"/>
      <c r="HTC107" s="4"/>
      <c r="HTD107" s="4"/>
      <c r="HTE107" s="4"/>
      <c r="HTF107" s="4"/>
      <c r="HTG107" s="4"/>
      <c r="HTH107" s="4"/>
      <c r="HTI107" s="4"/>
      <c r="HTJ107" s="4"/>
      <c r="HTK107" s="4"/>
      <c r="HTL107" s="4"/>
      <c r="HTM107" s="4"/>
      <c r="HTN107" s="4"/>
      <c r="HTO107" s="4"/>
      <c r="HTP107" s="4"/>
      <c r="HTQ107" s="4"/>
      <c r="HTR107" s="4"/>
      <c r="HTS107" s="4"/>
      <c r="HTT107" s="4"/>
      <c r="HTU107" s="4"/>
      <c r="HTV107" s="4"/>
      <c r="HTW107" s="4"/>
      <c r="HTX107" s="4"/>
      <c r="HTY107" s="4"/>
      <c r="HTZ107" s="4"/>
      <c r="HUA107" s="4"/>
      <c r="HUB107" s="4"/>
      <c r="HUC107" s="4"/>
      <c r="HUD107" s="4"/>
      <c r="HUE107" s="4"/>
      <c r="HUF107" s="4"/>
      <c r="HUG107" s="4"/>
      <c r="HUH107" s="4"/>
      <c r="HUI107" s="4"/>
      <c r="HUJ107" s="4"/>
      <c r="HUK107" s="4"/>
      <c r="HUL107" s="4"/>
      <c r="HUM107" s="4"/>
      <c r="HUN107" s="4"/>
      <c r="HUO107" s="4"/>
      <c r="HUP107" s="4"/>
      <c r="HUQ107" s="4"/>
      <c r="HUR107" s="4"/>
      <c r="HUS107" s="4"/>
      <c r="HUT107" s="4"/>
      <c r="HUU107" s="4"/>
      <c r="HUV107" s="4"/>
      <c r="HUW107" s="4"/>
      <c r="HUX107" s="4"/>
      <c r="HUY107" s="4"/>
      <c r="HUZ107" s="4"/>
      <c r="HVA107" s="4"/>
      <c r="HVB107" s="4"/>
      <c r="HVC107" s="4"/>
      <c r="HVD107" s="4"/>
      <c r="HVE107" s="4"/>
      <c r="HVF107" s="4"/>
      <c r="HVG107" s="4"/>
      <c r="HVH107" s="4"/>
      <c r="HVI107" s="4"/>
      <c r="HVJ107" s="4"/>
      <c r="HVK107" s="4"/>
      <c r="HVL107" s="4"/>
      <c r="HVM107" s="4"/>
      <c r="HVN107" s="4"/>
      <c r="HVO107" s="4"/>
      <c r="HVP107" s="4"/>
      <c r="HVQ107" s="4"/>
      <c r="HVR107" s="4"/>
      <c r="HVS107" s="4"/>
      <c r="HVT107" s="4"/>
      <c r="HVU107" s="4"/>
      <c r="HVV107" s="4"/>
      <c r="HVW107" s="4"/>
      <c r="HVX107" s="4"/>
      <c r="HVY107" s="4"/>
      <c r="HVZ107" s="4"/>
      <c r="HWA107" s="4"/>
      <c r="HWB107" s="4"/>
      <c r="HWC107" s="4"/>
      <c r="HWD107" s="4"/>
      <c r="HWE107" s="4"/>
      <c r="HWF107" s="4"/>
      <c r="HWG107" s="4"/>
      <c r="HWH107" s="4"/>
      <c r="HWI107" s="4"/>
      <c r="HWJ107" s="4"/>
      <c r="HWK107" s="4"/>
      <c r="HWL107" s="4"/>
      <c r="HWM107" s="4"/>
      <c r="HWN107" s="4"/>
      <c r="HWO107" s="4"/>
      <c r="HWP107" s="4"/>
      <c r="HWQ107" s="4"/>
      <c r="HWR107" s="4"/>
      <c r="HWS107" s="4"/>
      <c r="HWT107" s="4"/>
      <c r="HWU107" s="4"/>
      <c r="HWV107" s="4"/>
      <c r="HWW107" s="4"/>
      <c r="HWX107" s="4"/>
      <c r="HWY107" s="4"/>
      <c r="HWZ107" s="4"/>
      <c r="HXA107" s="4"/>
      <c r="HXB107" s="4"/>
      <c r="HXC107" s="4"/>
      <c r="HXD107" s="4"/>
      <c r="HXE107" s="4"/>
      <c r="HXF107" s="4"/>
      <c r="HXG107" s="4"/>
      <c r="HXH107" s="4"/>
      <c r="HXI107" s="4"/>
      <c r="HXJ107" s="4"/>
      <c r="HXK107" s="4"/>
      <c r="HXL107" s="4"/>
      <c r="HXM107" s="4"/>
      <c r="HXN107" s="4"/>
      <c r="HXO107" s="4"/>
      <c r="HXP107" s="4"/>
      <c r="HXQ107" s="4"/>
      <c r="HXR107" s="4"/>
      <c r="HXS107" s="4"/>
      <c r="HXT107" s="4"/>
      <c r="HXU107" s="4"/>
      <c r="HXV107" s="4"/>
      <c r="HXW107" s="4"/>
      <c r="HXX107" s="4"/>
      <c r="HXY107" s="4"/>
      <c r="HXZ107" s="4"/>
      <c r="HYA107" s="4"/>
      <c r="HYB107" s="4"/>
      <c r="HYC107" s="4"/>
      <c r="HYD107" s="4"/>
      <c r="HYE107" s="4"/>
      <c r="HYF107" s="4"/>
      <c r="HYG107" s="4"/>
      <c r="HYH107" s="4"/>
      <c r="HYI107" s="4"/>
      <c r="HYJ107" s="4"/>
      <c r="HYK107" s="4"/>
      <c r="HYL107" s="4"/>
      <c r="HYM107" s="4"/>
      <c r="HYN107" s="4"/>
      <c r="HYO107" s="4"/>
      <c r="HYP107" s="4"/>
      <c r="HYQ107" s="4"/>
      <c r="HYR107" s="4"/>
      <c r="HYS107" s="4"/>
      <c r="HYT107" s="4"/>
      <c r="HYU107" s="4"/>
      <c r="HYV107" s="4"/>
      <c r="HYW107" s="4"/>
      <c r="HYX107" s="4"/>
      <c r="HYY107" s="4"/>
      <c r="HYZ107" s="4"/>
      <c r="HZA107" s="4"/>
      <c r="HZB107" s="4"/>
      <c r="HZC107" s="4"/>
      <c r="HZD107" s="4"/>
      <c r="HZE107" s="4"/>
      <c r="HZF107" s="4"/>
      <c r="HZG107" s="4"/>
      <c r="HZH107" s="4"/>
      <c r="HZI107" s="4"/>
      <c r="HZJ107" s="4"/>
      <c r="HZK107" s="4"/>
      <c r="HZL107" s="4"/>
      <c r="HZM107" s="4"/>
      <c r="HZN107" s="4"/>
      <c r="HZO107" s="4"/>
      <c r="HZP107" s="4"/>
      <c r="HZQ107" s="4"/>
      <c r="HZR107" s="4"/>
      <c r="HZS107" s="4"/>
      <c r="HZT107" s="4"/>
      <c r="HZU107" s="4"/>
      <c r="HZV107" s="4"/>
      <c r="HZW107" s="4"/>
      <c r="HZX107" s="4"/>
      <c r="HZY107" s="4"/>
      <c r="HZZ107" s="4"/>
      <c r="IAA107" s="4"/>
      <c r="IAB107" s="4"/>
      <c r="IAC107" s="4"/>
      <c r="IAD107" s="4"/>
      <c r="IAE107" s="4"/>
      <c r="IAF107" s="4"/>
      <c r="IAG107" s="4"/>
      <c r="IAH107" s="4"/>
      <c r="IAI107" s="4"/>
      <c r="IAJ107" s="4"/>
      <c r="IAK107" s="4"/>
      <c r="IAL107" s="4"/>
      <c r="IAM107" s="4"/>
      <c r="IAN107" s="4"/>
      <c r="IAO107" s="4"/>
      <c r="IAP107" s="4"/>
      <c r="IAQ107" s="4"/>
      <c r="IAR107" s="4"/>
      <c r="IAS107" s="4"/>
      <c r="IAT107" s="4"/>
      <c r="IAU107" s="4"/>
      <c r="IAV107" s="4"/>
      <c r="IAW107" s="4"/>
      <c r="IAX107" s="4"/>
      <c r="IAY107" s="4"/>
      <c r="IAZ107" s="4"/>
      <c r="IBA107" s="4"/>
      <c r="IBB107" s="4"/>
      <c r="IBC107" s="4"/>
      <c r="IBD107" s="4"/>
      <c r="IBE107" s="4"/>
      <c r="IBF107" s="4"/>
      <c r="IBG107" s="4"/>
      <c r="IBH107" s="4"/>
      <c r="IBI107" s="4"/>
      <c r="IBJ107" s="4"/>
      <c r="IBK107" s="4"/>
      <c r="IBL107" s="4"/>
      <c r="IBM107" s="4"/>
      <c r="IBN107" s="4"/>
      <c r="IBO107" s="4"/>
      <c r="IBP107" s="4"/>
      <c r="IBQ107" s="4"/>
      <c r="IBR107" s="4"/>
      <c r="IBS107" s="4"/>
      <c r="IBT107" s="4"/>
      <c r="IBU107" s="4"/>
      <c r="IBV107" s="4"/>
      <c r="IBW107" s="4"/>
      <c r="IBX107" s="4"/>
      <c r="IBY107" s="4"/>
      <c r="IBZ107" s="4"/>
      <c r="ICA107" s="4"/>
      <c r="ICB107" s="4"/>
      <c r="ICC107" s="4"/>
      <c r="ICD107" s="4"/>
      <c r="ICE107" s="4"/>
      <c r="ICF107" s="4"/>
      <c r="ICG107" s="4"/>
      <c r="ICH107" s="4"/>
      <c r="ICI107" s="4"/>
      <c r="ICJ107" s="4"/>
      <c r="ICK107" s="4"/>
      <c r="ICL107" s="4"/>
      <c r="ICM107" s="4"/>
      <c r="ICN107" s="4"/>
      <c r="ICO107" s="4"/>
      <c r="ICP107" s="4"/>
      <c r="ICQ107" s="4"/>
      <c r="ICR107" s="4"/>
      <c r="ICS107" s="4"/>
      <c r="ICT107" s="4"/>
      <c r="ICU107" s="4"/>
      <c r="ICV107" s="4"/>
      <c r="ICW107" s="4"/>
      <c r="ICX107" s="4"/>
      <c r="ICY107" s="4"/>
      <c r="ICZ107" s="4"/>
      <c r="IDA107" s="4"/>
      <c r="IDB107" s="4"/>
      <c r="IDC107" s="4"/>
      <c r="IDD107" s="4"/>
      <c r="IDE107" s="4"/>
      <c r="IDF107" s="4"/>
      <c r="IDG107" s="4"/>
      <c r="IDH107" s="4"/>
      <c r="IDI107" s="4"/>
      <c r="IDJ107" s="4"/>
      <c r="IDK107" s="4"/>
      <c r="IDL107" s="4"/>
      <c r="IDM107" s="4"/>
      <c r="IDN107" s="4"/>
      <c r="IDO107" s="4"/>
      <c r="IDP107" s="4"/>
      <c r="IDQ107" s="4"/>
      <c r="IDR107" s="4"/>
      <c r="IDS107" s="4"/>
      <c r="IDT107" s="4"/>
      <c r="IDU107" s="4"/>
      <c r="IDV107" s="4"/>
      <c r="IDW107" s="4"/>
      <c r="IDX107" s="4"/>
      <c r="IDY107" s="4"/>
      <c r="IDZ107" s="4"/>
      <c r="IEA107" s="4"/>
      <c r="IEB107" s="4"/>
      <c r="IEC107" s="4"/>
      <c r="IED107" s="4"/>
      <c r="IEE107" s="4"/>
      <c r="IEF107" s="4"/>
      <c r="IEG107" s="4"/>
      <c r="IEH107" s="4"/>
      <c r="IEI107" s="4"/>
      <c r="IEJ107" s="4"/>
      <c r="IEK107" s="4"/>
      <c r="IEL107" s="4"/>
      <c r="IEM107" s="4"/>
      <c r="IEN107" s="4"/>
      <c r="IEO107" s="4"/>
      <c r="IEP107" s="4"/>
      <c r="IEQ107" s="4"/>
      <c r="IER107" s="4"/>
      <c r="IES107" s="4"/>
      <c r="IET107" s="4"/>
      <c r="IEU107" s="4"/>
      <c r="IEV107" s="4"/>
      <c r="IEW107" s="4"/>
      <c r="IEX107" s="4"/>
      <c r="IEY107" s="4"/>
      <c r="IEZ107" s="4"/>
      <c r="IFA107" s="4"/>
      <c r="IFB107" s="4"/>
      <c r="IFC107" s="4"/>
      <c r="IFD107" s="4"/>
      <c r="IFE107" s="4"/>
      <c r="IFF107" s="4"/>
      <c r="IFG107" s="4"/>
      <c r="IFH107" s="4"/>
      <c r="IFI107" s="4"/>
      <c r="IFJ107" s="4"/>
      <c r="IFK107" s="4"/>
      <c r="IFL107" s="4"/>
      <c r="IFM107" s="4"/>
      <c r="IFN107" s="4"/>
      <c r="IFO107" s="4"/>
      <c r="IFP107" s="4"/>
      <c r="IFQ107" s="4"/>
      <c r="IFR107" s="4"/>
      <c r="IFS107" s="4"/>
      <c r="IFT107" s="4"/>
      <c r="IFU107" s="4"/>
      <c r="IFV107" s="4"/>
      <c r="IFW107" s="4"/>
      <c r="IFX107" s="4"/>
      <c r="IFY107" s="4"/>
      <c r="IFZ107" s="4"/>
      <c r="IGA107" s="4"/>
      <c r="IGB107" s="4"/>
      <c r="IGC107" s="4"/>
      <c r="IGD107" s="4"/>
      <c r="IGE107" s="4"/>
      <c r="IGF107" s="4"/>
      <c r="IGG107" s="4"/>
      <c r="IGH107" s="4"/>
      <c r="IGI107" s="4"/>
      <c r="IGJ107" s="4"/>
      <c r="IGK107" s="4"/>
      <c r="IGL107" s="4"/>
      <c r="IGM107" s="4"/>
      <c r="IGN107" s="4"/>
      <c r="IGO107" s="4"/>
      <c r="IGP107" s="4"/>
      <c r="IGQ107" s="4"/>
      <c r="IGR107" s="4"/>
      <c r="IGS107" s="4"/>
      <c r="IGT107" s="4"/>
      <c r="IGU107" s="4"/>
      <c r="IGV107" s="4"/>
      <c r="IGW107" s="4"/>
      <c r="IGX107" s="4"/>
      <c r="IGY107" s="4"/>
      <c r="IGZ107" s="4"/>
      <c r="IHA107" s="4"/>
      <c r="IHB107" s="4"/>
      <c r="IHC107" s="4"/>
      <c r="IHD107" s="4"/>
      <c r="IHE107" s="4"/>
      <c r="IHF107" s="4"/>
      <c r="IHG107" s="4"/>
      <c r="IHH107" s="4"/>
      <c r="IHI107" s="4"/>
      <c r="IHJ107" s="4"/>
      <c r="IHK107" s="4"/>
      <c r="IHL107" s="4"/>
      <c r="IHM107" s="4"/>
      <c r="IHN107" s="4"/>
      <c r="IHO107" s="4"/>
      <c r="IHP107" s="4"/>
      <c r="IHQ107" s="4"/>
      <c r="IHR107" s="4"/>
      <c r="IHS107" s="4"/>
      <c r="IHT107" s="4"/>
      <c r="IHU107" s="4"/>
      <c r="IHV107" s="4"/>
      <c r="IHW107" s="4"/>
      <c r="IHX107" s="4"/>
      <c r="IHY107" s="4"/>
      <c r="IHZ107" s="4"/>
      <c r="IIA107" s="4"/>
      <c r="IIB107" s="4"/>
      <c r="IIC107" s="4"/>
      <c r="IID107" s="4"/>
      <c r="IIE107" s="4"/>
      <c r="IIF107" s="4"/>
      <c r="IIG107" s="4"/>
      <c r="IIH107" s="4"/>
      <c r="III107" s="4"/>
      <c r="IIJ107" s="4"/>
      <c r="IIK107" s="4"/>
      <c r="IIL107" s="4"/>
      <c r="IIM107" s="4"/>
      <c r="IIN107" s="4"/>
      <c r="IIO107" s="4"/>
      <c r="IIP107" s="4"/>
      <c r="IIQ107" s="4"/>
      <c r="IIR107" s="4"/>
      <c r="IIS107" s="4"/>
      <c r="IIT107" s="4"/>
      <c r="IIU107" s="4"/>
      <c r="IIV107" s="4"/>
      <c r="IIW107" s="4"/>
      <c r="IIX107" s="4"/>
      <c r="IIY107" s="4"/>
      <c r="IIZ107" s="4"/>
      <c r="IJA107" s="4"/>
      <c r="IJB107" s="4"/>
      <c r="IJC107" s="4"/>
      <c r="IJD107" s="4"/>
      <c r="IJE107" s="4"/>
      <c r="IJF107" s="4"/>
      <c r="IJG107" s="4"/>
      <c r="IJH107" s="4"/>
      <c r="IJI107" s="4"/>
      <c r="IJJ107" s="4"/>
      <c r="IJK107" s="4"/>
      <c r="IJL107" s="4"/>
      <c r="IJM107" s="4"/>
      <c r="IJN107" s="4"/>
      <c r="IJO107" s="4"/>
      <c r="IJP107" s="4"/>
      <c r="IJQ107" s="4"/>
      <c r="IJR107" s="4"/>
      <c r="IJS107" s="4"/>
      <c r="IJT107" s="4"/>
      <c r="IJU107" s="4"/>
      <c r="IJV107" s="4"/>
      <c r="IJW107" s="4"/>
      <c r="IJX107" s="4"/>
      <c r="IJY107" s="4"/>
      <c r="IJZ107" s="4"/>
      <c r="IKA107" s="4"/>
      <c r="IKB107" s="4"/>
      <c r="IKC107" s="4"/>
      <c r="IKD107" s="4"/>
      <c r="IKE107" s="4"/>
      <c r="IKF107" s="4"/>
      <c r="IKG107" s="4"/>
      <c r="IKH107" s="4"/>
      <c r="IKI107" s="4"/>
      <c r="IKJ107" s="4"/>
      <c r="IKK107" s="4"/>
      <c r="IKL107" s="4"/>
      <c r="IKM107" s="4"/>
      <c r="IKN107" s="4"/>
      <c r="IKO107" s="4"/>
      <c r="IKP107" s="4"/>
      <c r="IKQ107" s="4"/>
      <c r="IKR107" s="4"/>
      <c r="IKS107" s="4"/>
      <c r="IKT107" s="4"/>
      <c r="IKU107" s="4"/>
      <c r="IKV107" s="4"/>
      <c r="IKW107" s="4"/>
      <c r="IKX107" s="4"/>
      <c r="IKY107" s="4"/>
      <c r="IKZ107" s="4"/>
      <c r="ILA107" s="4"/>
      <c r="ILB107" s="4"/>
      <c r="ILC107" s="4"/>
      <c r="ILD107" s="4"/>
      <c r="ILE107" s="4"/>
      <c r="ILF107" s="4"/>
      <c r="ILG107" s="4"/>
      <c r="ILH107" s="4"/>
      <c r="ILI107" s="4"/>
      <c r="ILJ107" s="4"/>
      <c r="ILK107" s="4"/>
      <c r="ILL107" s="4"/>
      <c r="ILM107" s="4"/>
      <c r="ILN107" s="4"/>
      <c r="ILO107" s="4"/>
      <c r="ILP107" s="4"/>
      <c r="ILQ107" s="4"/>
      <c r="ILR107" s="4"/>
      <c r="ILS107" s="4"/>
      <c r="ILT107" s="4"/>
      <c r="ILU107" s="4"/>
      <c r="ILV107" s="4"/>
      <c r="ILW107" s="4"/>
      <c r="ILX107" s="4"/>
      <c r="ILY107" s="4"/>
      <c r="ILZ107" s="4"/>
      <c r="IMA107" s="4"/>
      <c r="IMB107" s="4"/>
      <c r="IMC107" s="4"/>
      <c r="IMD107" s="4"/>
      <c r="IME107" s="4"/>
      <c r="IMF107" s="4"/>
      <c r="IMG107" s="4"/>
      <c r="IMH107" s="4"/>
      <c r="IMI107" s="4"/>
      <c r="IMJ107" s="4"/>
      <c r="IMK107" s="4"/>
      <c r="IML107" s="4"/>
      <c r="IMM107" s="4"/>
      <c r="IMN107" s="4"/>
      <c r="IMO107" s="4"/>
      <c r="IMP107" s="4"/>
      <c r="IMQ107" s="4"/>
      <c r="IMR107" s="4"/>
      <c r="IMS107" s="4"/>
      <c r="IMT107" s="4"/>
      <c r="IMU107" s="4"/>
      <c r="IMV107" s="4"/>
      <c r="IMW107" s="4"/>
      <c r="IMX107" s="4"/>
      <c r="IMY107" s="4"/>
      <c r="IMZ107" s="4"/>
      <c r="INA107" s="4"/>
      <c r="INB107" s="4"/>
      <c r="INC107" s="4"/>
      <c r="IND107" s="4"/>
      <c r="INE107" s="4"/>
      <c r="INF107" s="4"/>
      <c r="ING107" s="4"/>
      <c r="INH107" s="4"/>
      <c r="INI107" s="4"/>
      <c r="INJ107" s="4"/>
      <c r="INK107" s="4"/>
      <c r="INL107" s="4"/>
      <c r="INM107" s="4"/>
      <c r="INN107" s="4"/>
      <c r="INO107" s="4"/>
      <c r="INP107" s="4"/>
      <c r="INQ107" s="4"/>
      <c r="INR107" s="4"/>
      <c r="INS107" s="4"/>
      <c r="INT107" s="4"/>
      <c r="INU107" s="4"/>
      <c r="INV107" s="4"/>
      <c r="INW107" s="4"/>
      <c r="INX107" s="4"/>
      <c r="INY107" s="4"/>
      <c r="INZ107" s="4"/>
      <c r="IOA107" s="4"/>
      <c r="IOB107" s="4"/>
      <c r="IOC107" s="4"/>
      <c r="IOD107" s="4"/>
      <c r="IOE107" s="4"/>
      <c r="IOF107" s="4"/>
      <c r="IOG107" s="4"/>
      <c r="IOH107" s="4"/>
      <c r="IOI107" s="4"/>
      <c r="IOJ107" s="4"/>
      <c r="IOK107" s="4"/>
      <c r="IOL107" s="4"/>
      <c r="IOM107" s="4"/>
      <c r="ION107" s="4"/>
      <c r="IOO107" s="4"/>
      <c r="IOP107" s="4"/>
      <c r="IOQ107" s="4"/>
      <c r="IOR107" s="4"/>
      <c r="IOS107" s="4"/>
      <c r="IOT107" s="4"/>
      <c r="IOU107" s="4"/>
      <c r="IOV107" s="4"/>
      <c r="IOW107" s="4"/>
      <c r="IOX107" s="4"/>
      <c r="IOY107" s="4"/>
      <c r="IOZ107" s="4"/>
      <c r="IPA107" s="4"/>
      <c r="IPB107" s="4"/>
      <c r="IPC107" s="4"/>
      <c r="IPD107" s="4"/>
      <c r="IPE107" s="4"/>
      <c r="IPF107" s="4"/>
      <c r="IPG107" s="4"/>
      <c r="IPH107" s="4"/>
      <c r="IPI107" s="4"/>
      <c r="IPJ107" s="4"/>
      <c r="IPK107" s="4"/>
      <c r="IPL107" s="4"/>
      <c r="IPM107" s="4"/>
      <c r="IPN107" s="4"/>
      <c r="IPO107" s="4"/>
      <c r="IPP107" s="4"/>
      <c r="IPQ107" s="4"/>
      <c r="IPR107" s="4"/>
      <c r="IPS107" s="4"/>
      <c r="IPT107" s="4"/>
      <c r="IPU107" s="4"/>
      <c r="IPV107" s="4"/>
      <c r="IPW107" s="4"/>
      <c r="IPX107" s="4"/>
      <c r="IPY107" s="4"/>
      <c r="IPZ107" s="4"/>
      <c r="IQA107" s="4"/>
      <c r="IQB107" s="4"/>
      <c r="IQC107" s="4"/>
      <c r="IQD107" s="4"/>
      <c r="IQE107" s="4"/>
      <c r="IQF107" s="4"/>
      <c r="IQG107" s="4"/>
      <c r="IQH107" s="4"/>
      <c r="IQI107" s="4"/>
      <c r="IQJ107" s="4"/>
      <c r="IQK107" s="4"/>
      <c r="IQL107" s="4"/>
      <c r="IQM107" s="4"/>
      <c r="IQN107" s="4"/>
      <c r="IQO107" s="4"/>
      <c r="IQP107" s="4"/>
      <c r="IQQ107" s="4"/>
      <c r="IQR107" s="4"/>
      <c r="IQS107" s="4"/>
      <c r="IQT107" s="4"/>
      <c r="IQU107" s="4"/>
      <c r="IQV107" s="4"/>
      <c r="IQW107" s="4"/>
      <c r="IQX107" s="4"/>
      <c r="IQY107" s="4"/>
      <c r="IQZ107" s="4"/>
      <c r="IRA107" s="4"/>
      <c r="IRB107" s="4"/>
      <c r="IRC107" s="4"/>
      <c r="IRD107" s="4"/>
      <c r="IRE107" s="4"/>
      <c r="IRF107" s="4"/>
      <c r="IRG107" s="4"/>
      <c r="IRH107" s="4"/>
      <c r="IRI107" s="4"/>
      <c r="IRJ107" s="4"/>
      <c r="IRK107" s="4"/>
      <c r="IRL107" s="4"/>
      <c r="IRM107" s="4"/>
      <c r="IRN107" s="4"/>
      <c r="IRO107" s="4"/>
      <c r="IRP107" s="4"/>
      <c r="IRQ107" s="4"/>
      <c r="IRR107" s="4"/>
      <c r="IRS107" s="4"/>
      <c r="IRT107" s="4"/>
      <c r="IRU107" s="4"/>
      <c r="IRV107" s="4"/>
      <c r="IRW107" s="4"/>
      <c r="IRX107" s="4"/>
      <c r="IRY107" s="4"/>
      <c r="IRZ107" s="4"/>
      <c r="ISA107" s="4"/>
      <c r="ISB107" s="4"/>
      <c r="ISC107" s="4"/>
      <c r="ISD107" s="4"/>
      <c r="ISE107" s="4"/>
      <c r="ISF107" s="4"/>
      <c r="ISG107" s="4"/>
      <c r="ISH107" s="4"/>
      <c r="ISI107" s="4"/>
      <c r="ISJ107" s="4"/>
      <c r="ISK107" s="4"/>
      <c r="ISL107" s="4"/>
      <c r="ISM107" s="4"/>
      <c r="ISN107" s="4"/>
      <c r="ISO107" s="4"/>
      <c r="ISP107" s="4"/>
      <c r="ISQ107" s="4"/>
      <c r="ISR107" s="4"/>
      <c r="ISS107" s="4"/>
      <c r="IST107" s="4"/>
      <c r="ISU107" s="4"/>
      <c r="ISV107" s="4"/>
      <c r="ISW107" s="4"/>
      <c r="ISX107" s="4"/>
      <c r="ISY107" s="4"/>
      <c r="ISZ107" s="4"/>
      <c r="ITA107" s="4"/>
      <c r="ITB107" s="4"/>
      <c r="ITC107" s="4"/>
      <c r="ITD107" s="4"/>
      <c r="ITE107" s="4"/>
      <c r="ITF107" s="4"/>
      <c r="ITG107" s="4"/>
      <c r="ITH107" s="4"/>
      <c r="ITI107" s="4"/>
      <c r="ITJ107" s="4"/>
      <c r="ITK107" s="4"/>
      <c r="ITL107" s="4"/>
      <c r="ITM107" s="4"/>
      <c r="ITN107" s="4"/>
      <c r="ITO107" s="4"/>
      <c r="ITP107" s="4"/>
      <c r="ITQ107" s="4"/>
      <c r="ITR107" s="4"/>
      <c r="ITS107" s="4"/>
      <c r="ITT107" s="4"/>
      <c r="ITU107" s="4"/>
      <c r="ITV107" s="4"/>
      <c r="ITW107" s="4"/>
      <c r="ITX107" s="4"/>
      <c r="ITY107" s="4"/>
      <c r="ITZ107" s="4"/>
      <c r="IUA107" s="4"/>
      <c r="IUB107" s="4"/>
      <c r="IUC107" s="4"/>
      <c r="IUD107" s="4"/>
      <c r="IUE107" s="4"/>
      <c r="IUF107" s="4"/>
      <c r="IUG107" s="4"/>
      <c r="IUH107" s="4"/>
      <c r="IUI107" s="4"/>
      <c r="IUJ107" s="4"/>
      <c r="IUK107" s="4"/>
      <c r="IUL107" s="4"/>
      <c r="IUM107" s="4"/>
      <c r="IUN107" s="4"/>
      <c r="IUO107" s="4"/>
      <c r="IUP107" s="4"/>
      <c r="IUQ107" s="4"/>
      <c r="IUR107" s="4"/>
      <c r="IUS107" s="4"/>
      <c r="IUT107" s="4"/>
      <c r="IUU107" s="4"/>
      <c r="IUV107" s="4"/>
      <c r="IUW107" s="4"/>
      <c r="IUX107" s="4"/>
      <c r="IUY107" s="4"/>
      <c r="IUZ107" s="4"/>
      <c r="IVA107" s="4"/>
      <c r="IVB107" s="4"/>
      <c r="IVC107" s="4"/>
      <c r="IVD107" s="4"/>
      <c r="IVE107" s="4"/>
      <c r="IVF107" s="4"/>
      <c r="IVG107" s="4"/>
      <c r="IVH107" s="4"/>
      <c r="IVI107" s="4"/>
      <c r="IVJ107" s="4"/>
      <c r="IVK107" s="4"/>
      <c r="IVL107" s="4"/>
      <c r="IVM107" s="4"/>
      <c r="IVN107" s="4"/>
      <c r="IVO107" s="4"/>
      <c r="IVP107" s="4"/>
      <c r="IVQ107" s="4"/>
      <c r="IVR107" s="4"/>
      <c r="IVS107" s="4"/>
      <c r="IVT107" s="4"/>
      <c r="IVU107" s="4"/>
      <c r="IVV107" s="4"/>
      <c r="IVW107" s="4"/>
      <c r="IVX107" s="4"/>
      <c r="IVY107" s="4"/>
      <c r="IVZ107" s="4"/>
      <c r="IWA107" s="4"/>
      <c r="IWB107" s="4"/>
      <c r="IWC107" s="4"/>
      <c r="IWD107" s="4"/>
      <c r="IWE107" s="4"/>
      <c r="IWF107" s="4"/>
      <c r="IWG107" s="4"/>
      <c r="IWH107" s="4"/>
      <c r="IWI107" s="4"/>
      <c r="IWJ107" s="4"/>
      <c r="IWK107" s="4"/>
      <c r="IWL107" s="4"/>
      <c r="IWM107" s="4"/>
      <c r="IWN107" s="4"/>
      <c r="IWO107" s="4"/>
      <c r="IWP107" s="4"/>
      <c r="IWQ107" s="4"/>
      <c r="IWR107" s="4"/>
      <c r="IWS107" s="4"/>
      <c r="IWT107" s="4"/>
      <c r="IWU107" s="4"/>
      <c r="IWV107" s="4"/>
      <c r="IWW107" s="4"/>
      <c r="IWX107" s="4"/>
      <c r="IWY107" s="4"/>
      <c r="IWZ107" s="4"/>
      <c r="IXA107" s="4"/>
      <c r="IXB107" s="4"/>
      <c r="IXC107" s="4"/>
      <c r="IXD107" s="4"/>
      <c r="IXE107" s="4"/>
      <c r="IXF107" s="4"/>
      <c r="IXG107" s="4"/>
      <c r="IXH107" s="4"/>
      <c r="IXI107" s="4"/>
      <c r="IXJ107" s="4"/>
      <c r="IXK107" s="4"/>
      <c r="IXL107" s="4"/>
      <c r="IXM107" s="4"/>
      <c r="IXN107" s="4"/>
      <c r="IXO107" s="4"/>
      <c r="IXP107" s="4"/>
      <c r="IXQ107" s="4"/>
      <c r="IXR107" s="4"/>
      <c r="IXS107" s="4"/>
      <c r="IXT107" s="4"/>
      <c r="IXU107" s="4"/>
      <c r="IXV107" s="4"/>
      <c r="IXW107" s="4"/>
      <c r="IXX107" s="4"/>
      <c r="IXY107" s="4"/>
      <c r="IXZ107" s="4"/>
      <c r="IYA107" s="4"/>
      <c r="IYB107" s="4"/>
      <c r="IYC107" s="4"/>
      <c r="IYD107" s="4"/>
      <c r="IYE107" s="4"/>
      <c r="IYF107" s="4"/>
      <c r="IYG107" s="4"/>
      <c r="IYH107" s="4"/>
      <c r="IYI107" s="4"/>
      <c r="IYJ107" s="4"/>
      <c r="IYK107" s="4"/>
      <c r="IYL107" s="4"/>
      <c r="IYM107" s="4"/>
      <c r="IYN107" s="4"/>
      <c r="IYO107" s="4"/>
      <c r="IYP107" s="4"/>
      <c r="IYQ107" s="4"/>
      <c r="IYR107" s="4"/>
      <c r="IYS107" s="4"/>
      <c r="IYT107" s="4"/>
      <c r="IYU107" s="4"/>
      <c r="IYV107" s="4"/>
      <c r="IYW107" s="4"/>
      <c r="IYX107" s="4"/>
      <c r="IYY107" s="4"/>
      <c r="IYZ107" s="4"/>
      <c r="IZA107" s="4"/>
      <c r="IZB107" s="4"/>
      <c r="IZC107" s="4"/>
      <c r="IZD107" s="4"/>
      <c r="IZE107" s="4"/>
      <c r="IZF107" s="4"/>
      <c r="IZG107" s="4"/>
      <c r="IZH107" s="4"/>
      <c r="IZI107" s="4"/>
      <c r="IZJ107" s="4"/>
      <c r="IZK107" s="4"/>
      <c r="IZL107" s="4"/>
      <c r="IZM107" s="4"/>
      <c r="IZN107" s="4"/>
      <c r="IZO107" s="4"/>
      <c r="IZP107" s="4"/>
      <c r="IZQ107" s="4"/>
      <c r="IZR107" s="4"/>
      <c r="IZS107" s="4"/>
      <c r="IZT107" s="4"/>
      <c r="IZU107" s="4"/>
      <c r="IZV107" s="4"/>
      <c r="IZW107" s="4"/>
      <c r="IZX107" s="4"/>
      <c r="IZY107" s="4"/>
      <c r="IZZ107" s="4"/>
      <c r="JAA107" s="4"/>
      <c r="JAB107" s="4"/>
      <c r="JAC107" s="4"/>
      <c r="JAD107" s="4"/>
      <c r="JAE107" s="4"/>
      <c r="JAF107" s="4"/>
      <c r="JAG107" s="4"/>
      <c r="JAH107" s="4"/>
      <c r="JAI107" s="4"/>
      <c r="JAJ107" s="4"/>
      <c r="JAK107" s="4"/>
      <c r="JAL107" s="4"/>
      <c r="JAM107" s="4"/>
      <c r="JAN107" s="4"/>
      <c r="JAO107" s="4"/>
      <c r="JAP107" s="4"/>
      <c r="JAQ107" s="4"/>
      <c r="JAR107" s="4"/>
      <c r="JAS107" s="4"/>
      <c r="JAT107" s="4"/>
      <c r="JAU107" s="4"/>
      <c r="JAV107" s="4"/>
      <c r="JAW107" s="4"/>
      <c r="JAX107" s="4"/>
      <c r="JAY107" s="4"/>
      <c r="JAZ107" s="4"/>
      <c r="JBA107" s="4"/>
      <c r="JBB107" s="4"/>
      <c r="JBC107" s="4"/>
      <c r="JBD107" s="4"/>
      <c r="JBE107" s="4"/>
      <c r="JBF107" s="4"/>
      <c r="JBG107" s="4"/>
      <c r="JBH107" s="4"/>
      <c r="JBI107" s="4"/>
      <c r="JBJ107" s="4"/>
      <c r="JBK107" s="4"/>
      <c r="JBL107" s="4"/>
      <c r="JBM107" s="4"/>
      <c r="JBN107" s="4"/>
      <c r="JBO107" s="4"/>
      <c r="JBP107" s="4"/>
      <c r="JBQ107" s="4"/>
      <c r="JBR107" s="4"/>
      <c r="JBS107" s="4"/>
      <c r="JBT107" s="4"/>
      <c r="JBU107" s="4"/>
      <c r="JBV107" s="4"/>
      <c r="JBW107" s="4"/>
      <c r="JBX107" s="4"/>
      <c r="JBY107" s="4"/>
      <c r="JBZ107" s="4"/>
      <c r="JCA107" s="4"/>
      <c r="JCB107" s="4"/>
      <c r="JCC107" s="4"/>
      <c r="JCD107" s="4"/>
      <c r="JCE107" s="4"/>
      <c r="JCF107" s="4"/>
      <c r="JCG107" s="4"/>
      <c r="JCH107" s="4"/>
      <c r="JCI107" s="4"/>
      <c r="JCJ107" s="4"/>
      <c r="JCK107" s="4"/>
      <c r="JCL107" s="4"/>
      <c r="JCM107" s="4"/>
      <c r="JCN107" s="4"/>
      <c r="JCO107" s="4"/>
      <c r="JCP107" s="4"/>
      <c r="JCQ107" s="4"/>
      <c r="JCR107" s="4"/>
      <c r="JCS107" s="4"/>
      <c r="JCT107" s="4"/>
      <c r="JCU107" s="4"/>
      <c r="JCV107" s="4"/>
      <c r="JCW107" s="4"/>
      <c r="JCX107" s="4"/>
      <c r="JCY107" s="4"/>
      <c r="JCZ107" s="4"/>
      <c r="JDA107" s="4"/>
      <c r="JDB107" s="4"/>
      <c r="JDC107" s="4"/>
      <c r="JDD107" s="4"/>
      <c r="JDE107" s="4"/>
      <c r="JDF107" s="4"/>
      <c r="JDG107" s="4"/>
      <c r="JDH107" s="4"/>
      <c r="JDI107" s="4"/>
      <c r="JDJ107" s="4"/>
      <c r="JDK107" s="4"/>
      <c r="JDL107" s="4"/>
      <c r="JDM107" s="4"/>
      <c r="JDN107" s="4"/>
      <c r="JDO107" s="4"/>
      <c r="JDP107" s="4"/>
      <c r="JDQ107" s="4"/>
      <c r="JDR107" s="4"/>
      <c r="JDS107" s="4"/>
      <c r="JDT107" s="4"/>
      <c r="JDU107" s="4"/>
      <c r="JDV107" s="4"/>
      <c r="JDW107" s="4"/>
      <c r="JDX107" s="4"/>
      <c r="JDY107" s="4"/>
      <c r="JDZ107" s="4"/>
      <c r="JEA107" s="4"/>
      <c r="JEB107" s="4"/>
      <c r="JEC107" s="4"/>
      <c r="JED107" s="4"/>
      <c r="JEE107" s="4"/>
      <c r="JEF107" s="4"/>
      <c r="JEG107" s="4"/>
      <c r="JEH107" s="4"/>
      <c r="JEI107" s="4"/>
      <c r="JEJ107" s="4"/>
      <c r="JEK107" s="4"/>
      <c r="JEL107" s="4"/>
      <c r="JEM107" s="4"/>
      <c r="JEN107" s="4"/>
      <c r="JEO107" s="4"/>
      <c r="JEP107" s="4"/>
      <c r="JEQ107" s="4"/>
      <c r="JER107" s="4"/>
      <c r="JES107" s="4"/>
      <c r="JET107" s="4"/>
      <c r="JEU107" s="4"/>
      <c r="JEV107" s="4"/>
      <c r="JEW107" s="4"/>
      <c r="JEX107" s="4"/>
      <c r="JEY107" s="4"/>
      <c r="JEZ107" s="4"/>
      <c r="JFA107" s="4"/>
      <c r="JFB107" s="4"/>
      <c r="JFC107" s="4"/>
      <c r="JFD107" s="4"/>
      <c r="JFE107" s="4"/>
      <c r="JFF107" s="4"/>
      <c r="JFG107" s="4"/>
      <c r="JFH107" s="4"/>
      <c r="JFI107" s="4"/>
      <c r="JFJ107" s="4"/>
      <c r="JFK107" s="4"/>
      <c r="JFL107" s="4"/>
      <c r="JFM107" s="4"/>
      <c r="JFN107" s="4"/>
      <c r="JFO107" s="4"/>
      <c r="JFP107" s="4"/>
      <c r="JFQ107" s="4"/>
      <c r="JFR107" s="4"/>
      <c r="JFS107" s="4"/>
      <c r="JFT107" s="4"/>
      <c r="JFU107" s="4"/>
      <c r="JFV107" s="4"/>
      <c r="JFW107" s="4"/>
      <c r="JFX107" s="4"/>
      <c r="JFY107" s="4"/>
      <c r="JFZ107" s="4"/>
      <c r="JGA107" s="4"/>
      <c r="JGB107" s="4"/>
      <c r="JGC107" s="4"/>
      <c r="JGD107" s="4"/>
      <c r="JGE107" s="4"/>
      <c r="JGF107" s="4"/>
      <c r="JGG107" s="4"/>
      <c r="JGH107" s="4"/>
      <c r="JGI107" s="4"/>
      <c r="JGJ107" s="4"/>
      <c r="JGK107" s="4"/>
      <c r="JGL107" s="4"/>
      <c r="JGM107" s="4"/>
      <c r="JGN107" s="4"/>
      <c r="JGO107" s="4"/>
      <c r="JGP107" s="4"/>
      <c r="JGQ107" s="4"/>
      <c r="JGR107" s="4"/>
      <c r="JGS107" s="4"/>
      <c r="JGT107" s="4"/>
      <c r="JGU107" s="4"/>
      <c r="JGV107" s="4"/>
      <c r="JGW107" s="4"/>
      <c r="JGX107" s="4"/>
      <c r="JGY107" s="4"/>
      <c r="JGZ107" s="4"/>
      <c r="JHA107" s="4"/>
      <c r="JHB107" s="4"/>
      <c r="JHC107" s="4"/>
      <c r="JHD107" s="4"/>
      <c r="JHE107" s="4"/>
      <c r="JHF107" s="4"/>
      <c r="JHG107" s="4"/>
      <c r="JHH107" s="4"/>
      <c r="JHI107" s="4"/>
      <c r="JHJ107" s="4"/>
      <c r="JHK107" s="4"/>
      <c r="JHL107" s="4"/>
      <c r="JHM107" s="4"/>
      <c r="JHN107" s="4"/>
      <c r="JHO107" s="4"/>
      <c r="JHP107" s="4"/>
      <c r="JHQ107" s="4"/>
      <c r="JHR107" s="4"/>
      <c r="JHS107" s="4"/>
      <c r="JHT107" s="4"/>
      <c r="JHU107" s="4"/>
      <c r="JHV107" s="4"/>
      <c r="JHW107" s="4"/>
      <c r="JHX107" s="4"/>
      <c r="JHY107" s="4"/>
      <c r="JHZ107" s="4"/>
      <c r="JIA107" s="4"/>
      <c r="JIB107" s="4"/>
      <c r="JIC107" s="4"/>
      <c r="JID107" s="4"/>
      <c r="JIE107" s="4"/>
      <c r="JIF107" s="4"/>
      <c r="JIG107" s="4"/>
      <c r="JIH107" s="4"/>
      <c r="JII107" s="4"/>
      <c r="JIJ107" s="4"/>
      <c r="JIK107" s="4"/>
      <c r="JIL107" s="4"/>
      <c r="JIM107" s="4"/>
      <c r="JIN107" s="4"/>
      <c r="JIO107" s="4"/>
      <c r="JIP107" s="4"/>
      <c r="JIQ107" s="4"/>
      <c r="JIR107" s="4"/>
      <c r="JIS107" s="4"/>
      <c r="JIT107" s="4"/>
      <c r="JIU107" s="4"/>
      <c r="JIV107" s="4"/>
      <c r="JIW107" s="4"/>
      <c r="JIX107" s="4"/>
      <c r="JIY107" s="4"/>
      <c r="JIZ107" s="4"/>
      <c r="JJA107" s="4"/>
      <c r="JJB107" s="4"/>
      <c r="JJC107" s="4"/>
      <c r="JJD107" s="4"/>
      <c r="JJE107" s="4"/>
      <c r="JJF107" s="4"/>
      <c r="JJG107" s="4"/>
      <c r="JJH107" s="4"/>
      <c r="JJI107" s="4"/>
      <c r="JJJ107" s="4"/>
      <c r="JJK107" s="4"/>
      <c r="JJL107" s="4"/>
      <c r="JJM107" s="4"/>
      <c r="JJN107" s="4"/>
      <c r="JJO107" s="4"/>
      <c r="JJP107" s="4"/>
      <c r="JJQ107" s="4"/>
      <c r="JJR107" s="4"/>
      <c r="JJS107" s="4"/>
      <c r="JJT107" s="4"/>
      <c r="JJU107" s="4"/>
      <c r="JJV107" s="4"/>
      <c r="JJW107" s="4"/>
      <c r="JJX107" s="4"/>
      <c r="JJY107" s="4"/>
      <c r="JJZ107" s="4"/>
      <c r="JKA107" s="4"/>
      <c r="JKB107" s="4"/>
      <c r="JKC107" s="4"/>
      <c r="JKD107" s="4"/>
      <c r="JKE107" s="4"/>
      <c r="JKF107" s="4"/>
      <c r="JKG107" s="4"/>
      <c r="JKH107" s="4"/>
      <c r="JKI107" s="4"/>
      <c r="JKJ107" s="4"/>
      <c r="JKK107" s="4"/>
      <c r="JKL107" s="4"/>
      <c r="JKM107" s="4"/>
      <c r="JKN107" s="4"/>
      <c r="JKO107" s="4"/>
      <c r="JKP107" s="4"/>
      <c r="JKQ107" s="4"/>
      <c r="JKR107" s="4"/>
      <c r="JKS107" s="4"/>
      <c r="JKT107" s="4"/>
      <c r="JKU107" s="4"/>
      <c r="JKV107" s="4"/>
      <c r="JKW107" s="4"/>
      <c r="JKX107" s="4"/>
      <c r="JKY107" s="4"/>
      <c r="JKZ107" s="4"/>
      <c r="JLA107" s="4"/>
      <c r="JLB107" s="4"/>
      <c r="JLC107" s="4"/>
      <c r="JLD107" s="4"/>
      <c r="JLE107" s="4"/>
      <c r="JLF107" s="4"/>
      <c r="JLG107" s="4"/>
      <c r="JLH107" s="4"/>
      <c r="JLI107" s="4"/>
      <c r="JLJ107" s="4"/>
      <c r="JLK107" s="4"/>
      <c r="JLL107" s="4"/>
      <c r="JLM107" s="4"/>
      <c r="JLN107" s="4"/>
      <c r="JLO107" s="4"/>
      <c r="JLP107" s="4"/>
      <c r="JLQ107" s="4"/>
      <c r="JLR107" s="4"/>
      <c r="JLS107" s="4"/>
      <c r="JLT107" s="4"/>
      <c r="JLU107" s="4"/>
      <c r="JLV107" s="4"/>
      <c r="JLW107" s="4"/>
      <c r="JLX107" s="4"/>
      <c r="JLY107" s="4"/>
      <c r="JLZ107" s="4"/>
      <c r="JMA107" s="4"/>
      <c r="JMB107" s="4"/>
      <c r="JMC107" s="4"/>
      <c r="JMD107" s="4"/>
      <c r="JME107" s="4"/>
      <c r="JMF107" s="4"/>
      <c r="JMG107" s="4"/>
      <c r="JMH107" s="4"/>
      <c r="JMI107" s="4"/>
      <c r="JMJ107" s="4"/>
      <c r="JMK107" s="4"/>
      <c r="JML107" s="4"/>
      <c r="JMM107" s="4"/>
      <c r="JMN107" s="4"/>
      <c r="JMO107" s="4"/>
      <c r="JMP107" s="4"/>
      <c r="JMQ107" s="4"/>
      <c r="JMR107" s="4"/>
      <c r="JMS107" s="4"/>
      <c r="JMT107" s="4"/>
      <c r="JMU107" s="4"/>
      <c r="JMV107" s="4"/>
      <c r="JMW107" s="4"/>
      <c r="JMX107" s="4"/>
      <c r="JMY107" s="4"/>
      <c r="JMZ107" s="4"/>
      <c r="JNA107" s="4"/>
      <c r="JNB107" s="4"/>
      <c r="JNC107" s="4"/>
      <c r="JND107" s="4"/>
      <c r="JNE107" s="4"/>
      <c r="JNF107" s="4"/>
      <c r="JNG107" s="4"/>
      <c r="JNH107" s="4"/>
      <c r="JNI107" s="4"/>
      <c r="JNJ107" s="4"/>
      <c r="JNK107" s="4"/>
      <c r="JNL107" s="4"/>
      <c r="JNM107" s="4"/>
      <c r="JNN107" s="4"/>
      <c r="JNO107" s="4"/>
      <c r="JNP107" s="4"/>
      <c r="JNQ107" s="4"/>
      <c r="JNR107" s="4"/>
      <c r="JNS107" s="4"/>
      <c r="JNT107" s="4"/>
      <c r="JNU107" s="4"/>
      <c r="JNV107" s="4"/>
      <c r="JNW107" s="4"/>
      <c r="JNX107" s="4"/>
      <c r="JNY107" s="4"/>
      <c r="JNZ107" s="4"/>
      <c r="JOA107" s="4"/>
      <c r="JOB107" s="4"/>
      <c r="JOC107" s="4"/>
      <c r="JOD107" s="4"/>
      <c r="JOE107" s="4"/>
      <c r="JOF107" s="4"/>
      <c r="JOG107" s="4"/>
      <c r="JOH107" s="4"/>
      <c r="JOI107" s="4"/>
      <c r="JOJ107" s="4"/>
      <c r="JOK107" s="4"/>
      <c r="JOL107" s="4"/>
      <c r="JOM107" s="4"/>
      <c r="JON107" s="4"/>
      <c r="JOO107" s="4"/>
      <c r="JOP107" s="4"/>
      <c r="JOQ107" s="4"/>
      <c r="JOR107" s="4"/>
      <c r="JOS107" s="4"/>
      <c r="JOT107" s="4"/>
      <c r="JOU107" s="4"/>
      <c r="JOV107" s="4"/>
      <c r="JOW107" s="4"/>
      <c r="JOX107" s="4"/>
      <c r="JOY107" s="4"/>
      <c r="JOZ107" s="4"/>
      <c r="JPA107" s="4"/>
      <c r="JPB107" s="4"/>
      <c r="JPC107" s="4"/>
      <c r="JPD107" s="4"/>
      <c r="JPE107" s="4"/>
      <c r="JPF107" s="4"/>
      <c r="JPG107" s="4"/>
      <c r="JPH107" s="4"/>
      <c r="JPI107" s="4"/>
      <c r="JPJ107" s="4"/>
      <c r="JPK107" s="4"/>
      <c r="JPL107" s="4"/>
      <c r="JPM107" s="4"/>
      <c r="JPN107" s="4"/>
      <c r="JPO107" s="4"/>
      <c r="JPP107" s="4"/>
      <c r="JPQ107" s="4"/>
      <c r="JPR107" s="4"/>
      <c r="JPS107" s="4"/>
      <c r="JPT107" s="4"/>
      <c r="JPU107" s="4"/>
      <c r="JPV107" s="4"/>
      <c r="JPW107" s="4"/>
      <c r="JPX107" s="4"/>
      <c r="JPY107" s="4"/>
      <c r="JPZ107" s="4"/>
      <c r="JQA107" s="4"/>
      <c r="JQB107" s="4"/>
      <c r="JQC107" s="4"/>
      <c r="JQD107" s="4"/>
      <c r="JQE107" s="4"/>
      <c r="JQF107" s="4"/>
      <c r="JQG107" s="4"/>
      <c r="JQH107" s="4"/>
      <c r="JQI107" s="4"/>
      <c r="JQJ107" s="4"/>
      <c r="JQK107" s="4"/>
      <c r="JQL107" s="4"/>
      <c r="JQM107" s="4"/>
      <c r="JQN107" s="4"/>
      <c r="JQO107" s="4"/>
      <c r="JQP107" s="4"/>
      <c r="JQQ107" s="4"/>
      <c r="JQR107" s="4"/>
      <c r="JQS107" s="4"/>
      <c r="JQT107" s="4"/>
      <c r="JQU107" s="4"/>
      <c r="JQV107" s="4"/>
      <c r="JQW107" s="4"/>
      <c r="JQX107" s="4"/>
      <c r="JQY107" s="4"/>
      <c r="JQZ107" s="4"/>
      <c r="JRA107" s="4"/>
      <c r="JRB107" s="4"/>
      <c r="JRC107" s="4"/>
      <c r="JRD107" s="4"/>
      <c r="JRE107" s="4"/>
      <c r="JRF107" s="4"/>
      <c r="JRG107" s="4"/>
      <c r="JRH107" s="4"/>
      <c r="JRI107" s="4"/>
      <c r="JRJ107" s="4"/>
      <c r="JRK107" s="4"/>
      <c r="JRL107" s="4"/>
      <c r="JRM107" s="4"/>
      <c r="JRN107" s="4"/>
      <c r="JRO107" s="4"/>
      <c r="JRP107" s="4"/>
      <c r="JRQ107" s="4"/>
      <c r="JRR107" s="4"/>
      <c r="JRS107" s="4"/>
      <c r="JRT107" s="4"/>
      <c r="JRU107" s="4"/>
      <c r="JRV107" s="4"/>
      <c r="JRW107" s="4"/>
      <c r="JRX107" s="4"/>
      <c r="JRY107" s="4"/>
      <c r="JRZ107" s="4"/>
      <c r="JSA107" s="4"/>
      <c r="JSB107" s="4"/>
      <c r="JSC107" s="4"/>
      <c r="JSD107" s="4"/>
      <c r="JSE107" s="4"/>
      <c r="JSF107" s="4"/>
      <c r="JSG107" s="4"/>
      <c r="JSH107" s="4"/>
      <c r="JSI107" s="4"/>
      <c r="JSJ107" s="4"/>
      <c r="JSK107" s="4"/>
      <c r="JSL107" s="4"/>
      <c r="JSM107" s="4"/>
      <c r="JSN107" s="4"/>
      <c r="JSO107" s="4"/>
      <c r="JSP107" s="4"/>
      <c r="JSQ107" s="4"/>
      <c r="JSR107" s="4"/>
      <c r="JSS107" s="4"/>
      <c r="JST107" s="4"/>
      <c r="JSU107" s="4"/>
      <c r="JSV107" s="4"/>
      <c r="JSW107" s="4"/>
      <c r="JSX107" s="4"/>
      <c r="JSY107" s="4"/>
      <c r="JSZ107" s="4"/>
      <c r="JTA107" s="4"/>
      <c r="JTB107" s="4"/>
      <c r="JTC107" s="4"/>
      <c r="JTD107" s="4"/>
      <c r="JTE107" s="4"/>
      <c r="JTF107" s="4"/>
      <c r="JTG107" s="4"/>
      <c r="JTH107" s="4"/>
      <c r="JTI107" s="4"/>
      <c r="JTJ107" s="4"/>
      <c r="JTK107" s="4"/>
      <c r="JTL107" s="4"/>
      <c r="JTM107" s="4"/>
      <c r="JTN107" s="4"/>
      <c r="JTO107" s="4"/>
      <c r="JTP107" s="4"/>
      <c r="JTQ107" s="4"/>
      <c r="JTR107" s="4"/>
      <c r="JTS107" s="4"/>
      <c r="JTT107" s="4"/>
      <c r="JTU107" s="4"/>
      <c r="JTV107" s="4"/>
      <c r="JTW107" s="4"/>
      <c r="JTX107" s="4"/>
      <c r="JTY107" s="4"/>
      <c r="JTZ107" s="4"/>
      <c r="JUA107" s="4"/>
      <c r="JUB107" s="4"/>
      <c r="JUC107" s="4"/>
      <c r="JUD107" s="4"/>
      <c r="JUE107" s="4"/>
      <c r="JUF107" s="4"/>
      <c r="JUG107" s="4"/>
      <c r="JUH107" s="4"/>
      <c r="JUI107" s="4"/>
      <c r="JUJ107" s="4"/>
      <c r="JUK107" s="4"/>
      <c r="JUL107" s="4"/>
      <c r="JUM107" s="4"/>
      <c r="JUN107" s="4"/>
      <c r="JUO107" s="4"/>
      <c r="JUP107" s="4"/>
      <c r="JUQ107" s="4"/>
      <c r="JUR107" s="4"/>
      <c r="JUS107" s="4"/>
      <c r="JUT107" s="4"/>
      <c r="JUU107" s="4"/>
      <c r="JUV107" s="4"/>
      <c r="JUW107" s="4"/>
      <c r="JUX107" s="4"/>
      <c r="JUY107" s="4"/>
      <c r="JUZ107" s="4"/>
      <c r="JVA107" s="4"/>
      <c r="JVB107" s="4"/>
      <c r="JVC107" s="4"/>
      <c r="JVD107" s="4"/>
      <c r="JVE107" s="4"/>
      <c r="JVF107" s="4"/>
      <c r="JVG107" s="4"/>
      <c r="JVH107" s="4"/>
      <c r="JVI107" s="4"/>
      <c r="JVJ107" s="4"/>
      <c r="JVK107" s="4"/>
      <c r="JVL107" s="4"/>
      <c r="JVM107" s="4"/>
      <c r="JVN107" s="4"/>
      <c r="JVO107" s="4"/>
      <c r="JVP107" s="4"/>
      <c r="JVQ107" s="4"/>
      <c r="JVR107" s="4"/>
      <c r="JVS107" s="4"/>
      <c r="JVT107" s="4"/>
      <c r="JVU107" s="4"/>
      <c r="JVV107" s="4"/>
      <c r="JVW107" s="4"/>
      <c r="JVX107" s="4"/>
      <c r="JVY107" s="4"/>
      <c r="JVZ107" s="4"/>
      <c r="JWA107" s="4"/>
      <c r="JWB107" s="4"/>
      <c r="JWC107" s="4"/>
      <c r="JWD107" s="4"/>
      <c r="JWE107" s="4"/>
      <c r="JWF107" s="4"/>
      <c r="JWG107" s="4"/>
      <c r="JWH107" s="4"/>
      <c r="JWI107" s="4"/>
      <c r="JWJ107" s="4"/>
      <c r="JWK107" s="4"/>
      <c r="JWL107" s="4"/>
      <c r="JWM107" s="4"/>
      <c r="JWN107" s="4"/>
      <c r="JWO107" s="4"/>
      <c r="JWP107" s="4"/>
      <c r="JWQ107" s="4"/>
      <c r="JWR107" s="4"/>
      <c r="JWS107" s="4"/>
      <c r="JWT107" s="4"/>
      <c r="JWU107" s="4"/>
      <c r="JWV107" s="4"/>
      <c r="JWW107" s="4"/>
      <c r="JWX107" s="4"/>
      <c r="JWY107" s="4"/>
      <c r="JWZ107" s="4"/>
      <c r="JXA107" s="4"/>
      <c r="JXB107" s="4"/>
      <c r="JXC107" s="4"/>
      <c r="JXD107" s="4"/>
      <c r="JXE107" s="4"/>
      <c r="JXF107" s="4"/>
      <c r="JXG107" s="4"/>
      <c r="JXH107" s="4"/>
      <c r="JXI107" s="4"/>
      <c r="JXJ107" s="4"/>
      <c r="JXK107" s="4"/>
      <c r="JXL107" s="4"/>
      <c r="JXM107" s="4"/>
      <c r="JXN107" s="4"/>
      <c r="JXO107" s="4"/>
      <c r="JXP107" s="4"/>
      <c r="JXQ107" s="4"/>
      <c r="JXR107" s="4"/>
      <c r="JXS107" s="4"/>
      <c r="JXT107" s="4"/>
      <c r="JXU107" s="4"/>
      <c r="JXV107" s="4"/>
      <c r="JXW107" s="4"/>
      <c r="JXX107" s="4"/>
      <c r="JXY107" s="4"/>
      <c r="JXZ107" s="4"/>
      <c r="JYA107" s="4"/>
      <c r="JYB107" s="4"/>
      <c r="JYC107" s="4"/>
      <c r="JYD107" s="4"/>
      <c r="JYE107" s="4"/>
      <c r="JYF107" s="4"/>
      <c r="JYG107" s="4"/>
      <c r="JYH107" s="4"/>
      <c r="JYI107" s="4"/>
      <c r="JYJ107" s="4"/>
      <c r="JYK107" s="4"/>
      <c r="JYL107" s="4"/>
      <c r="JYM107" s="4"/>
      <c r="JYN107" s="4"/>
      <c r="JYO107" s="4"/>
      <c r="JYP107" s="4"/>
      <c r="JYQ107" s="4"/>
      <c r="JYR107" s="4"/>
      <c r="JYS107" s="4"/>
      <c r="JYT107" s="4"/>
      <c r="JYU107" s="4"/>
      <c r="JYV107" s="4"/>
      <c r="JYW107" s="4"/>
      <c r="JYX107" s="4"/>
      <c r="JYY107" s="4"/>
      <c r="JYZ107" s="4"/>
      <c r="JZA107" s="4"/>
      <c r="JZB107" s="4"/>
      <c r="JZC107" s="4"/>
      <c r="JZD107" s="4"/>
      <c r="JZE107" s="4"/>
      <c r="JZF107" s="4"/>
      <c r="JZG107" s="4"/>
      <c r="JZH107" s="4"/>
      <c r="JZI107" s="4"/>
      <c r="JZJ107" s="4"/>
      <c r="JZK107" s="4"/>
      <c r="JZL107" s="4"/>
      <c r="JZM107" s="4"/>
      <c r="JZN107" s="4"/>
      <c r="JZO107" s="4"/>
      <c r="JZP107" s="4"/>
      <c r="JZQ107" s="4"/>
      <c r="JZR107" s="4"/>
      <c r="JZS107" s="4"/>
      <c r="JZT107" s="4"/>
      <c r="JZU107" s="4"/>
      <c r="JZV107" s="4"/>
      <c r="JZW107" s="4"/>
      <c r="JZX107" s="4"/>
      <c r="JZY107" s="4"/>
      <c r="JZZ107" s="4"/>
      <c r="KAA107" s="4"/>
      <c r="KAB107" s="4"/>
      <c r="KAC107" s="4"/>
      <c r="KAD107" s="4"/>
      <c r="KAE107" s="4"/>
      <c r="KAF107" s="4"/>
      <c r="KAG107" s="4"/>
      <c r="KAH107" s="4"/>
      <c r="KAI107" s="4"/>
      <c r="KAJ107" s="4"/>
      <c r="KAK107" s="4"/>
      <c r="KAL107" s="4"/>
      <c r="KAM107" s="4"/>
      <c r="KAN107" s="4"/>
      <c r="KAO107" s="4"/>
      <c r="KAP107" s="4"/>
      <c r="KAQ107" s="4"/>
      <c r="KAR107" s="4"/>
      <c r="KAS107" s="4"/>
      <c r="KAT107" s="4"/>
      <c r="KAU107" s="4"/>
      <c r="KAV107" s="4"/>
      <c r="KAW107" s="4"/>
      <c r="KAX107" s="4"/>
      <c r="KAY107" s="4"/>
      <c r="KAZ107" s="4"/>
      <c r="KBA107" s="4"/>
      <c r="KBB107" s="4"/>
      <c r="KBC107" s="4"/>
      <c r="KBD107" s="4"/>
      <c r="KBE107" s="4"/>
      <c r="KBF107" s="4"/>
      <c r="KBG107" s="4"/>
      <c r="KBH107" s="4"/>
      <c r="KBI107" s="4"/>
      <c r="KBJ107" s="4"/>
      <c r="KBK107" s="4"/>
      <c r="KBL107" s="4"/>
      <c r="KBM107" s="4"/>
      <c r="KBN107" s="4"/>
      <c r="KBO107" s="4"/>
      <c r="KBP107" s="4"/>
      <c r="KBQ107" s="4"/>
      <c r="KBR107" s="4"/>
      <c r="KBS107" s="4"/>
      <c r="KBT107" s="4"/>
      <c r="KBU107" s="4"/>
      <c r="KBV107" s="4"/>
      <c r="KBW107" s="4"/>
      <c r="KBX107" s="4"/>
      <c r="KBY107" s="4"/>
      <c r="KBZ107" s="4"/>
      <c r="KCA107" s="4"/>
      <c r="KCB107" s="4"/>
      <c r="KCC107" s="4"/>
      <c r="KCD107" s="4"/>
      <c r="KCE107" s="4"/>
      <c r="KCF107" s="4"/>
      <c r="KCG107" s="4"/>
      <c r="KCH107" s="4"/>
      <c r="KCI107" s="4"/>
      <c r="KCJ107" s="4"/>
      <c r="KCK107" s="4"/>
      <c r="KCL107" s="4"/>
      <c r="KCM107" s="4"/>
      <c r="KCN107" s="4"/>
      <c r="KCO107" s="4"/>
      <c r="KCP107" s="4"/>
      <c r="KCQ107" s="4"/>
      <c r="KCR107" s="4"/>
      <c r="KCS107" s="4"/>
      <c r="KCT107" s="4"/>
      <c r="KCU107" s="4"/>
      <c r="KCV107" s="4"/>
      <c r="KCW107" s="4"/>
      <c r="KCX107" s="4"/>
      <c r="KCY107" s="4"/>
      <c r="KCZ107" s="4"/>
      <c r="KDA107" s="4"/>
      <c r="KDB107" s="4"/>
      <c r="KDC107" s="4"/>
      <c r="KDD107" s="4"/>
      <c r="KDE107" s="4"/>
      <c r="KDF107" s="4"/>
      <c r="KDG107" s="4"/>
      <c r="KDH107" s="4"/>
      <c r="KDI107" s="4"/>
      <c r="KDJ107" s="4"/>
      <c r="KDK107" s="4"/>
      <c r="KDL107" s="4"/>
      <c r="KDM107" s="4"/>
      <c r="KDN107" s="4"/>
      <c r="KDO107" s="4"/>
      <c r="KDP107" s="4"/>
      <c r="KDQ107" s="4"/>
      <c r="KDR107" s="4"/>
      <c r="KDS107" s="4"/>
      <c r="KDT107" s="4"/>
      <c r="KDU107" s="4"/>
      <c r="KDV107" s="4"/>
      <c r="KDW107" s="4"/>
      <c r="KDX107" s="4"/>
      <c r="KDY107" s="4"/>
      <c r="KDZ107" s="4"/>
      <c r="KEA107" s="4"/>
      <c r="KEB107" s="4"/>
      <c r="KEC107" s="4"/>
      <c r="KED107" s="4"/>
      <c r="KEE107" s="4"/>
      <c r="KEF107" s="4"/>
      <c r="KEG107" s="4"/>
      <c r="KEH107" s="4"/>
      <c r="KEI107" s="4"/>
      <c r="KEJ107" s="4"/>
      <c r="KEK107" s="4"/>
      <c r="KEL107" s="4"/>
      <c r="KEM107" s="4"/>
      <c r="KEN107" s="4"/>
      <c r="KEO107" s="4"/>
      <c r="KEP107" s="4"/>
      <c r="KEQ107" s="4"/>
      <c r="KER107" s="4"/>
      <c r="KES107" s="4"/>
      <c r="KET107" s="4"/>
      <c r="KEU107" s="4"/>
      <c r="KEV107" s="4"/>
      <c r="KEW107" s="4"/>
      <c r="KEX107" s="4"/>
      <c r="KEY107" s="4"/>
      <c r="KEZ107" s="4"/>
      <c r="KFA107" s="4"/>
      <c r="KFB107" s="4"/>
      <c r="KFC107" s="4"/>
      <c r="KFD107" s="4"/>
      <c r="KFE107" s="4"/>
      <c r="KFF107" s="4"/>
      <c r="KFG107" s="4"/>
      <c r="KFH107" s="4"/>
      <c r="KFI107" s="4"/>
      <c r="KFJ107" s="4"/>
      <c r="KFK107" s="4"/>
      <c r="KFL107" s="4"/>
      <c r="KFM107" s="4"/>
      <c r="KFN107" s="4"/>
      <c r="KFO107" s="4"/>
      <c r="KFP107" s="4"/>
      <c r="KFQ107" s="4"/>
      <c r="KFR107" s="4"/>
      <c r="KFS107" s="4"/>
      <c r="KFT107" s="4"/>
      <c r="KFU107" s="4"/>
      <c r="KFV107" s="4"/>
      <c r="KFW107" s="4"/>
      <c r="KFX107" s="4"/>
      <c r="KFY107" s="4"/>
      <c r="KFZ107" s="4"/>
      <c r="KGA107" s="4"/>
      <c r="KGB107" s="4"/>
      <c r="KGC107" s="4"/>
      <c r="KGD107" s="4"/>
      <c r="KGE107" s="4"/>
      <c r="KGF107" s="4"/>
      <c r="KGG107" s="4"/>
      <c r="KGH107" s="4"/>
      <c r="KGI107" s="4"/>
      <c r="KGJ107" s="4"/>
      <c r="KGK107" s="4"/>
      <c r="KGL107" s="4"/>
      <c r="KGM107" s="4"/>
      <c r="KGN107" s="4"/>
      <c r="KGO107" s="4"/>
      <c r="KGP107" s="4"/>
      <c r="KGQ107" s="4"/>
      <c r="KGR107" s="4"/>
      <c r="KGS107" s="4"/>
      <c r="KGT107" s="4"/>
      <c r="KGU107" s="4"/>
      <c r="KGV107" s="4"/>
      <c r="KGW107" s="4"/>
      <c r="KGX107" s="4"/>
      <c r="KGY107" s="4"/>
      <c r="KGZ107" s="4"/>
      <c r="KHA107" s="4"/>
      <c r="KHB107" s="4"/>
      <c r="KHC107" s="4"/>
      <c r="KHD107" s="4"/>
      <c r="KHE107" s="4"/>
      <c r="KHF107" s="4"/>
      <c r="KHG107" s="4"/>
      <c r="KHH107" s="4"/>
      <c r="KHI107" s="4"/>
      <c r="KHJ107" s="4"/>
      <c r="KHK107" s="4"/>
      <c r="KHL107" s="4"/>
      <c r="KHM107" s="4"/>
      <c r="KHN107" s="4"/>
      <c r="KHO107" s="4"/>
      <c r="KHP107" s="4"/>
      <c r="KHQ107" s="4"/>
      <c r="KHR107" s="4"/>
      <c r="KHS107" s="4"/>
      <c r="KHT107" s="4"/>
      <c r="KHU107" s="4"/>
      <c r="KHV107" s="4"/>
      <c r="KHW107" s="4"/>
      <c r="KHX107" s="4"/>
      <c r="KHY107" s="4"/>
      <c r="KHZ107" s="4"/>
      <c r="KIA107" s="4"/>
      <c r="KIB107" s="4"/>
      <c r="KIC107" s="4"/>
      <c r="KID107" s="4"/>
      <c r="KIE107" s="4"/>
      <c r="KIF107" s="4"/>
      <c r="KIG107" s="4"/>
      <c r="KIH107" s="4"/>
      <c r="KII107" s="4"/>
      <c r="KIJ107" s="4"/>
      <c r="KIK107" s="4"/>
      <c r="KIL107" s="4"/>
      <c r="KIM107" s="4"/>
      <c r="KIN107" s="4"/>
      <c r="KIO107" s="4"/>
      <c r="KIP107" s="4"/>
      <c r="KIQ107" s="4"/>
      <c r="KIR107" s="4"/>
      <c r="KIS107" s="4"/>
      <c r="KIT107" s="4"/>
      <c r="KIU107" s="4"/>
      <c r="KIV107" s="4"/>
      <c r="KIW107" s="4"/>
      <c r="KIX107" s="4"/>
      <c r="KIY107" s="4"/>
      <c r="KIZ107" s="4"/>
      <c r="KJA107" s="4"/>
      <c r="KJB107" s="4"/>
      <c r="KJC107" s="4"/>
      <c r="KJD107" s="4"/>
      <c r="KJE107" s="4"/>
      <c r="KJF107" s="4"/>
      <c r="KJG107" s="4"/>
      <c r="KJH107" s="4"/>
      <c r="KJI107" s="4"/>
      <c r="KJJ107" s="4"/>
      <c r="KJK107" s="4"/>
      <c r="KJL107" s="4"/>
      <c r="KJM107" s="4"/>
      <c r="KJN107" s="4"/>
      <c r="KJO107" s="4"/>
      <c r="KJP107" s="4"/>
      <c r="KJQ107" s="4"/>
      <c r="KJR107" s="4"/>
      <c r="KJS107" s="4"/>
      <c r="KJT107" s="4"/>
      <c r="KJU107" s="4"/>
      <c r="KJV107" s="4"/>
      <c r="KJW107" s="4"/>
      <c r="KJX107" s="4"/>
      <c r="KJY107" s="4"/>
      <c r="KJZ107" s="4"/>
      <c r="KKA107" s="4"/>
      <c r="KKB107" s="4"/>
      <c r="KKC107" s="4"/>
      <c r="KKD107" s="4"/>
      <c r="KKE107" s="4"/>
      <c r="KKF107" s="4"/>
      <c r="KKG107" s="4"/>
      <c r="KKH107" s="4"/>
      <c r="KKI107" s="4"/>
      <c r="KKJ107" s="4"/>
      <c r="KKK107" s="4"/>
      <c r="KKL107" s="4"/>
      <c r="KKM107" s="4"/>
      <c r="KKN107" s="4"/>
      <c r="KKO107" s="4"/>
      <c r="KKP107" s="4"/>
      <c r="KKQ107" s="4"/>
      <c r="KKR107" s="4"/>
      <c r="KKS107" s="4"/>
      <c r="KKT107" s="4"/>
      <c r="KKU107" s="4"/>
      <c r="KKV107" s="4"/>
      <c r="KKW107" s="4"/>
      <c r="KKX107" s="4"/>
      <c r="KKY107" s="4"/>
      <c r="KKZ107" s="4"/>
      <c r="KLA107" s="4"/>
      <c r="KLB107" s="4"/>
      <c r="KLC107" s="4"/>
      <c r="KLD107" s="4"/>
      <c r="KLE107" s="4"/>
      <c r="KLF107" s="4"/>
      <c r="KLG107" s="4"/>
      <c r="KLH107" s="4"/>
      <c r="KLI107" s="4"/>
      <c r="KLJ107" s="4"/>
      <c r="KLK107" s="4"/>
      <c r="KLL107" s="4"/>
      <c r="KLM107" s="4"/>
      <c r="KLN107" s="4"/>
      <c r="KLO107" s="4"/>
      <c r="KLP107" s="4"/>
      <c r="KLQ107" s="4"/>
      <c r="KLR107" s="4"/>
      <c r="KLS107" s="4"/>
      <c r="KLT107" s="4"/>
      <c r="KLU107" s="4"/>
      <c r="KLV107" s="4"/>
      <c r="KLW107" s="4"/>
      <c r="KLX107" s="4"/>
      <c r="KLY107" s="4"/>
      <c r="KLZ107" s="4"/>
      <c r="KMA107" s="4"/>
      <c r="KMB107" s="4"/>
      <c r="KMC107" s="4"/>
      <c r="KMD107" s="4"/>
      <c r="KME107" s="4"/>
      <c r="KMF107" s="4"/>
      <c r="KMG107" s="4"/>
      <c r="KMH107" s="4"/>
      <c r="KMI107" s="4"/>
      <c r="KMJ107" s="4"/>
      <c r="KMK107" s="4"/>
      <c r="KML107" s="4"/>
      <c r="KMM107" s="4"/>
      <c r="KMN107" s="4"/>
      <c r="KMO107" s="4"/>
      <c r="KMP107" s="4"/>
      <c r="KMQ107" s="4"/>
      <c r="KMR107" s="4"/>
      <c r="KMS107" s="4"/>
      <c r="KMT107" s="4"/>
      <c r="KMU107" s="4"/>
      <c r="KMV107" s="4"/>
      <c r="KMW107" s="4"/>
      <c r="KMX107" s="4"/>
      <c r="KMY107" s="4"/>
      <c r="KMZ107" s="4"/>
      <c r="KNA107" s="4"/>
      <c r="KNB107" s="4"/>
      <c r="KNC107" s="4"/>
      <c r="KND107" s="4"/>
      <c r="KNE107" s="4"/>
      <c r="KNF107" s="4"/>
      <c r="KNG107" s="4"/>
      <c r="KNH107" s="4"/>
      <c r="KNI107" s="4"/>
      <c r="KNJ107" s="4"/>
      <c r="KNK107" s="4"/>
      <c r="KNL107" s="4"/>
      <c r="KNM107" s="4"/>
      <c r="KNN107" s="4"/>
      <c r="KNO107" s="4"/>
      <c r="KNP107" s="4"/>
      <c r="KNQ107" s="4"/>
      <c r="KNR107" s="4"/>
      <c r="KNS107" s="4"/>
      <c r="KNT107" s="4"/>
      <c r="KNU107" s="4"/>
      <c r="KNV107" s="4"/>
      <c r="KNW107" s="4"/>
      <c r="KNX107" s="4"/>
      <c r="KNY107" s="4"/>
      <c r="KNZ107" s="4"/>
      <c r="KOA107" s="4"/>
      <c r="KOB107" s="4"/>
      <c r="KOC107" s="4"/>
      <c r="KOD107" s="4"/>
      <c r="KOE107" s="4"/>
      <c r="KOF107" s="4"/>
      <c r="KOG107" s="4"/>
      <c r="KOH107" s="4"/>
      <c r="KOI107" s="4"/>
      <c r="KOJ107" s="4"/>
      <c r="KOK107" s="4"/>
      <c r="KOL107" s="4"/>
      <c r="KOM107" s="4"/>
      <c r="KON107" s="4"/>
      <c r="KOO107" s="4"/>
      <c r="KOP107" s="4"/>
      <c r="KOQ107" s="4"/>
      <c r="KOR107" s="4"/>
      <c r="KOS107" s="4"/>
      <c r="KOT107" s="4"/>
      <c r="KOU107" s="4"/>
      <c r="KOV107" s="4"/>
      <c r="KOW107" s="4"/>
      <c r="KOX107" s="4"/>
      <c r="KOY107" s="4"/>
      <c r="KOZ107" s="4"/>
      <c r="KPA107" s="4"/>
      <c r="KPB107" s="4"/>
      <c r="KPC107" s="4"/>
      <c r="KPD107" s="4"/>
      <c r="KPE107" s="4"/>
      <c r="KPF107" s="4"/>
      <c r="KPG107" s="4"/>
      <c r="KPH107" s="4"/>
      <c r="KPI107" s="4"/>
      <c r="KPJ107" s="4"/>
      <c r="KPK107" s="4"/>
      <c r="KPL107" s="4"/>
      <c r="KPM107" s="4"/>
      <c r="KPN107" s="4"/>
      <c r="KPO107" s="4"/>
      <c r="KPP107" s="4"/>
      <c r="KPQ107" s="4"/>
      <c r="KPR107" s="4"/>
      <c r="KPS107" s="4"/>
      <c r="KPT107" s="4"/>
      <c r="KPU107" s="4"/>
      <c r="KPV107" s="4"/>
      <c r="KPW107" s="4"/>
      <c r="KPX107" s="4"/>
      <c r="KPY107" s="4"/>
      <c r="KPZ107" s="4"/>
      <c r="KQA107" s="4"/>
      <c r="KQB107" s="4"/>
      <c r="KQC107" s="4"/>
      <c r="KQD107" s="4"/>
      <c r="KQE107" s="4"/>
      <c r="KQF107" s="4"/>
      <c r="KQG107" s="4"/>
      <c r="KQH107" s="4"/>
      <c r="KQI107" s="4"/>
      <c r="KQJ107" s="4"/>
      <c r="KQK107" s="4"/>
      <c r="KQL107" s="4"/>
      <c r="KQM107" s="4"/>
      <c r="KQN107" s="4"/>
      <c r="KQO107" s="4"/>
      <c r="KQP107" s="4"/>
      <c r="KQQ107" s="4"/>
      <c r="KQR107" s="4"/>
      <c r="KQS107" s="4"/>
      <c r="KQT107" s="4"/>
      <c r="KQU107" s="4"/>
      <c r="KQV107" s="4"/>
      <c r="KQW107" s="4"/>
      <c r="KQX107" s="4"/>
      <c r="KQY107" s="4"/>
      <c r="KQZ107" s="4"/>
      <c r="KRA107" s="4"/>
      <c r="KRB107" s="4"/>
      <c r="KRC107" s="4"/>
      <c r="KRD107" s="4"/>
      <c r="KRE107" s="4"/>
      <c r="KRF107" s="4"/>
      <c r="KRG107" s="4"/>
      <c r="KRH107" s="4"/>
      <c r="KRI107" s="4"/>
      <c r="KRJ107" s="4"/>
      <c r="KRK107" s="4"/>
      <c r="KRL107" s="4"/>
      <c r="KRM107" s="4"/>
      <c r="KRN107" s="4"/>
      <c r="KRO107" s="4"/>
      <c r="KRP107" s="4"/>
      <c r="KRQ107" s="4"/>
      <c r="KRR107" s="4"/>
      <c r="KRS107" s="4"/>
      <c r="KRT107" s="4"/>
      <c r="KRU107" s="4"/>
      <c r="KRV107" s="4"/>
      <c r="KRW107" s="4"/>
      <c r="KRX107" s="4"/>
      <c r="KRY107" s="4"/>
      <c r="KRZ107" s="4"/>
      <c r="KSA107" s="4"/>
      <c r="KSB107" s="4"/>
      <c r="KSC107" s="4"/>
      <c r="KSD107" s="4"/>
      <c r="KSE107" s="4"/>
      <c r="KSF107" s="4"/>
      <c r="KSG107" s="4"/>
      <c r="KSH107" s="4"/>
      <c r="KSI107" s="4"/>
      <c r="KSJ107" s="4"/>
      <c r="KSK107" s="4"/>
      <c r="KSL107" s="4"/>
      <c r="KSM107" s="4"/>
      <c r="KSN107" s="4"/>
      <c r="KSO107" s="4"/>
      <c r="KSP107" s="4"/>
      <c r="KSQ107" s="4"/>
      <c r="KSR107" s="4"/>
      <c r="KSS107" s="4"/>
      <c r="KST107" s="4"/>
      <c r="KSU107" s="4"/>
      <c r="KSV107" s="4"/>
      <c r="KSW107" s="4"/>
      <c r="KSX107" s="4"/>
      <c r="KSY107" s="4"/>
      <c r="KSZ107" s="4"/>
      <c r="KTA107" s="4"/>
      <c r="KTB107" s="4"/>
      <c r="KTC107" s="4"/>
      <c r="KTD107" s="4"/>
      <c r="KTE107" s="4"/>
      <c r="KTF107" s="4"/>
      <c r="KTG107" s="4"/>
      <c r="KTH107" s="4"/>
      <c r="KTI107" s="4"/>
      <c r="KTJ107" s="4"/>
      <c r="KTK107" s="4"/>
      <c r="KTL107" s="4"/>
      <c r="KTM107" s="4"/>
      <c r="KTN107" s="4"/>
      <c r="KTO107" s="4"/>
      <c r="KTP107" s="4"/>
      <c r="KTQ107" s="4"/>
      <c r="KTR107" s="4"/>
      <c r="KTS107" s="4"/>
      <c r="KTT107" s="4"/>
      <c r="KTU107" s="4"/>
      <c r="KTV107" s="4"/>
      <c r="KTW107" s="4"/>
      <c r="KTX107" s="4"/>
      <c r="KTY107" s="4"/>
      <c r="KTZ107" s="4"/>
      <c r="KUA107" s="4"/>
      <c r="KUB107" s="4"/>
      <c r="KUC107" s="4"/>
      <c r="KUD107" s="4"/>
      <c r="KUE107" s="4"/>
      <c r="KUF107" s="4"/>
      <c r="KUG107" s="4"/>
      <c r="KUH107" s="4"/>
      <c r="KUI107" s="4"/>
      <c r="KUJ107" s="4"/>
      <c r="KUK107" s="4"/>
      <c r="KUL107" s="4"/>
      <c r="KUM107" s="4"/>
      <c r="KUN107" s="4"/>
      <c r="KUO107" s="4"/>
      <c r="KUP107" s="4"/>
      <c r="KUQ107" s="4"/>
      <c r="KUR107" s="4"/>
      <c r="KUS107" s="4"/>
      <c r="KUT107" s="4"/>
      <c r="KUU107" s="4"/>
      <c r="KUV107" s="4"/>
      <c r="KUW107" s="4"/>
      <c r="KUX107" s="4"/>
      <c r="KUY107" s="4"/>
      <c r="KUZ107" s="4"/>
      <c r="KVA107" s="4"/>
      <c r="KVB107" s="4"/>
      <c r="KVC107" s="4"/>
      <c r="KVD107" s="4"/>
      <c r="KVE107" s="4"/>
      <c r="KVF107" s="4"/>
      <c r="KVG107" s="4"/>
      <c r="KVH107" s="4"/>
      <c r="KVI107" s="4"/>
      <c r="KVJ107" s="4"/>
      <c r="KVK107" s="4"/>
      <c r="KVL107" s="4"/>
      <c r="KVM107" s="4"/>
      <c r="KVN107" s="4"/>
      <c r="KVO107" s="4"/>
      <c r="KVP107" s="4"/>
      <c r="KVQ107" s="4"/>
      <c r="KVR107" s="4"/>
      <c r="KVS107" s="4"/>
      <c r="KVT107" s="4"/>
      <c r="KVU107" s="4"/>
      <c r="KVV107" s="4"/>
      <c r="KVW107" s="4"/>
      <c r="KVX107" s="4"/>
      <c r="KVY107" s="4"/>
      <c r="KVZ107" s="4"/>
      <c r="KWA107" s="4"/>
      <c r="KWB107" s="4"/>
      <c r="KWC107" s="4"/>
      <c r="KWD107" s="4"/>
      <c r="KWE107" s="4"/>
      <c r="KWF107" s="4"/>
      <c r="KWG107" s="4"/>
      <c r="KWH107" s="4"/>
      <c r="KWI107" s="4"/>
      <c r="KWJ107" s="4"/>
      <c r="KWK107" s="4"/>
      <c r="KWL107" s="4"/>
      <c r="KWM107" s="4"/>
      <c r="KWN107" s="4"/>
      <c r="KWO107" s="4"/>
      <c r="KWP107" s="4"/>
      <c r="KWQ107" s="4"/>
      <c r="KWR107" s="4"/>
      <c r="KWS107" s="4"/>
      <c r="KWT107" s="4"/>
      <c r="KWU107" s="4"/>
      <c r="KWV107" s="4"/>
      <c r="KWW107" s="4"/>
      <c r="KWX107" s="4"/>
      <c r="KWY107" s="4"/>
      <c r="KWZ107" s="4"/>
      <c r="KXA107" s="4"/>
      <c r="KXB107" s="4"/>
      <c r="KXC107" s="4"/>
      <c r="KXD107" s="4"/>
      <c r="KXE107" s="4"/>
      <c r="KXF107" s="4"/>
      <c r="KXG107" s="4"/>
      <c r="KXH107" s="4"/>
      <c r="KXI107" s="4"/>
      <c r="KXJ107" s="4"/>
      <c r="KXK107" s="4"/>
      <c r="KXL107" s="4"/>
      <c r="KXM107" s="4"/>
      <c r="KXN107" s="4"/>
      <c r="KXO107" s="4"/>
      <c r="KXP107" s="4"/>
      <c r="KXQ107" s="4"/>
      <c r="KXR107" s="4"/>
      <c r="KXS107" s="4"/>
      <c r="KXT107" s="4"/>
      <c r="KXU107" s="4"/>
      <c r="KXV107" s="4"/>
      <c r="KXW107" s="4"/>
      <c r="KXX107" s="4"/>
      <c r="KXY107" s="4"/>
      <c r="KXZ107" s="4"/>
      <c r="KYA107" s="4"/>
      <c r="KYB107" s="4"/>
      <c r="KYC107" s="4"/>
      <c r="KYD107" s="4"/>
      <c r="KYE107" s="4"/>
      <c r="KYF107" s="4"/>
      <c r="KYG107" s="4"/>
      <c r="KYH107" s="4"/>
      <c r="KYI107" s="4"/>
      <c r="KYJ107" s="4"/>
      <c r="KYK107" s="4"/>
      <c r="KYL107" s="4"/>
      <c r="KYM107" s="4"/>
      <c r="KYN107" s="4"/>
      <c r="KYO107" s="4"/>
      <c r="KYP107" s="4"/>
      <c r="KYQ107" s="4"/>
      <c r="KYR107" s="4"/>
      <c r="KYS107" s="4"/>
      <c r="KYT107" s="4"/>
      <c r="KYU107" s="4"/>
      <c r="KYV107" s="4"/>
      <c r="KYW107" s="4"/>
      <c r="KYX107" s="4"/>
      <c r="KYY107" s="4"/>
      <c r="KYZ107" s="4"/>
      <c r="KZA107" s="4"/>
      <c r="KZB107" s="4"/>
      <c r="KZC107" s="4"/>
      <c r="KZD107" s="4"/>
      <c r="KZE107" s="4"/>
      <c r="KZF107" s="4"/>
      <c r="KZG107" s="4"/>
      <c r="KZH107" s="4"/>
      <c r="KZI107" s="4"/>
      <c r="KZJ107" s="4"/>
      <c r="KZK107" s="4"/>
      <c r="KZL107" s="4"/>
      <c r="KZM107" s="4"/>
      <c r="KZN107" s="4"/>
      <c r="KZO107" s="4"/>
      <c r="KZP107" s="4"/>
      <c r="KZQ107" s="4"/>
      <c r="KZR107" s="4"/>
      <c r="KZS107" s="4"/>
      <c r="KZT107" s="4"/>
      <c r="KZU107" s="4"/>
      <c r="KZV107" s="4"/>
      <c r="KZW107" s="4"/>
      <c r="KZX107" s="4"/>
      <c r="KZY107" s="4"/>
      <c r="KZZ107" s="4"/>
      <c r="LAA107" s="4"/>
      <c r="LAB107" s="4"/>
      <c r="LAC107" s="4"/>
      <c r="LAD107" s="4"/>
      <c r="LAE107" s="4"/>
      <c r="LAF107" s="4"/>
      <c r="LAG107" s="4"/>
      <c r="LAH107" s="4"/>
      <c r="LAI107" s="4"/>
      <c r="LAJ107" s="4"/>
      <c r="LAK107" s="4"/>
      <c r="LAL107" s="4"/>
      <c r="LAM107" s="4"/>
      <c r="LAN107" s="4"/>
      <c r="LAO107" s="4"/>
      <c r="LAP107" s="4"/>
      <c r="LAQ107" s="4"/>
      <c r="LAR107" s="4"/>
      <c r="LAS107" s="4"/>
      <c r="LAT107" s="4"/>
      <c r="LAU107" s="4"/>
      <c r="LAV107" s="4"/>
      <c r="LAW107" s="4"/>
      <c r="LAX107" s="4"/>
      <c r="LAY107" s="4"/>
      <c r="LAZ107" s="4"/>
      <c r="LBA107" s="4"/>
      <c r="LBB107" s="4"/>
      <c r="LBC107" s="4"/>
      <c r="LBD107" s="4"/>
      <c r="LBE107" s="4"/>
      <c r="LBF107" s="4"/>
      <c r="LBG107" s="4"/>
      <c r="LBH107" s="4"/>
      <c r="LBI107" s="4"/>
      <c r="LBJ107" s="4"/>
      <c r="LBK107" s="4"/>
      <c r="LBL107" s="4"/>
      <c r="LBM107" s="4"/>
      <c r="LBN107" s="4"/>
      <c r="LBO107" s="4"/>
      <c r="LBP107" s="4"/>
      <c r="LBQ107" s="4"/>
      <c r="LBR107" s="4"/>
      <c r="LBS107" s="4"/>
      <c r="LBT107" s="4"/>
      <c r="LBU107" s="4"/>
      <c r="LBV107" s="4"/>
      <c r="LBW107" s="4"/>
      <c r="LBX107" s="4"/>
      <c r="LBY107" s="4"/>
      <c r="LBZ107" s="4"/>
      <c r="LCA107" s="4"/>
      <c r="LCB107" s="4"/>
      <c r="LCC107" s="4"/>
      <c r="LCD107" s="4"/>
      <c r="LCE107" s="4"/>
      <c r="LCF107" s="4"/>
      <c r="LCG107" s="4"/>
      <c r="LCH107" s="4"/>
      <c r="LCI107" s="4"/>
      <c r="LCJ107" s="4"/>
      <c r="LCK107" s="4"/>
      <c r="LCL107" s="4"/>
      <c r="LCM107" s="4"/>
      <c r="LCN107" s="4"/>
      <c r="LCO107" s="4"/>
      <c r="LCP107" s="4"/>
      <c r="LCQ107" s="4"/>
      <c r="LCR107" s="4"/>
      <c r="LCS107" s="4"/>
      <c r="LCT107" s="4"/>
      <c r="LCU107" s="4"/>
      <c r="LCV107" s="4"/>
      <c r="LCW107" s="4"/>
      <c r="LCX107" s="4"/>
      <c r="LCY107" s="4"/>
      <c r="LCZ107" s="4"/>
      <c r="LDA107" s="4"/>
      <c r="LDB107" s="4"/>
      <c r="LDC107" s="4"/>
      <c r="LDD107" s="4"/>
      <c r="LDE107" s="4"/>
      <c r="LDF107" s="4"/>
      <c r="LDG107" s="4"/>
      <c r="LDH107" s="4"/>
      <c r="LDI107" s="4"/>
      <c r="LDJ107" s="4"/>
      <c r="LDK107" s="4"/>
      <c r="LDL107" s="4"/>
      <c r="LDM107" s="4"/>
      <c r="LDN107" s="4"/>
      <c r="LDO107" s="4"/>
      <c r="LDP107" s="4"/>
      <c r="LDQ107" s="4"/>
      <c r="LDR107" s="4"/>
      <c r="LDS107" s="4"/>
      <c r="LDT107" s="4"/>
      <c r="LDU107" s="4"/>
      <c r="LDV107" s="4"/>
      <c r="LDW107" s="4"/>
      <c r="LDX107" s="4"/>
      <c r="LDY107" s="4"/>
      <c r="LDZ107" s="4"/>
      <c r="LEA107" s="4"/>
      <c r="LEB107" s="4"/>
      <c r="LEC107" s="4"/>
      <c r="LED107" s="4"/>
      <c r="LEE107" s="4"/>
      <c r="LEF107" s="4"/>
      <c r="LEG107" s="4"/>
      <c r="LEH107" s="4"/>
      <c r="LEI107" s="4"/>
      <c r="LEJ107" s="4"/>
      <c r="LEK107" s="4"/>
      <c r="LEL107" s="4"/>
      <c r="LEM107" s="4"/>
      <c r="LEN107" s="4"/>
      <c r="LEO107" s="4"/>
      <c r="LEP107" s="4"/>
      <c r="LEQ107" s="4"/>
      <c r="LER107" s="4"/>
      <c r="LES107" s="4"/>
      <c r="LET107" s="4"/>
      <c r="LEU107" s="4"/>
      <c r="LEV107" s="4"/>
      <c r="LEW107" s="4"/>
      <c r="LEX107" s="4"/>
      <c r="LEY107" s="4"/>
      <c r="LEZ107" s="4"/>
      <c r="LFA107" s="4"/>
      <c r="LFB107" s="4"/>
      <c r="LFC107" s="4"/>
      <c r="LFD107" s="4"/>
      <c r="LFE107" s="4"/>
      <c r="LFF107" s="4"/>
      <c r="LFG107" s="4"/>
      <c r="LFH107" s="4"/>
      <c r="LFI107" s="4"/>
      <c r="LFJ107" s="4"/>
      <c r="LFK107" s="4"/>
      <c r="LFL107" s="4"/>
      <c r="LFM107" s="4"/>
      <c r="LFN107" s="4"/>
      <c r="LFO107" s="4"/>
      <c r="LFP107" s="4"/>
      <c r="LFQ107" s="4"/>
      <c r="LFR107" s="4"/>
      <c r="LFS107" s="4"/>
      <c r="LFT107" s="4"/>
      <c r="LFU107" s="4"/>
      <c r="LFV107" s="4"/>
      <c r="LFW107" s="4"/>
      <c r="LFX107" s="4"/>
      <c r="LFY107" s="4"/>
      <c r="LFZ107" s="4"/>
      <c r="LGA107" s="4"/>
      <c r="LGB107" s="4"/>
      <c r="LGC107" s="4"/>
      <c r="LGD107" s="4"/>
      <c r="LGE107" s="4"/>
      <c r="LGF107" s="4"/>
      <c r="LGG107" s="4"/>
      <c r="LGH107" s="4"/>
      <c r="LGI107" s="4"/>
      <c r="LGJ107" s="4"/>
      <c r="LGK107" s="4"/>
      <c r="LGL107" s="4"/>
      <c r="LGM107" s="4"/>
      <c r="LGN107" s="4"/>
      <c r="LGO107" s="4"/>
      <c r="LGP107" s="4"/>
      <c r="LGQ107" s="4"/>
      <c r="LGR107" s="4"/>
      <c r="LGS107" s="4"/>
      <c r="LGT107" s="4"/>
      <c r="LGU107" s="4"/>
      <c r="LGV107" s="4"/>
      <c r="LGW107" s="4"/>
      <c r="LGX107" s="4"/>
      <c r="LGY107" s="4"/>
      <c r="LGZ107" s="4"/>
      <c r="LHA107" s="4"/>
      <c r="LHB107" s="4"/>
      <c r="LHC107" s="4"/>
      <c r="LHD107" s="4"/>
      <c r="LHE107" s="4"/>
      <c r="LHF107" s="4"/>
      <c r="LHG107" s="4"/>
      <c r="LHH107" s="4"/>
      <c r="LHI107" s="4"/>
      <c r="LHJ107" s="4"/>
      <c r="LHK107" s="4"/>
      <c r="LHL107" s="4"/>
      <c r="LHM107" s="4"/>
      <c r="LHN107" s="4"/>
      <c r="LHO107" s="4"/>
      <c r="LHP107" s="4"/>
      <c r="LHQ107" s="4"/>
      <c r="LHR107" s="4"/>
      <c r="LHS107" s="4"/>
      <c r="LHT107" s="4"/>
      <c r="LHU107" s="4"/>
      <c r="LHV107" s="4"/>
      <c r="LHW107" s="4"/>
      <c r="LHX107" s="4"/>
      <c r="LHY107" s="4"/>
      <c r="LHZ107" s="4"/>
      <c r="LIA107" s="4"/>
      <c r="LIB107" s="4"/>
      <c r="LIC107" s="4"/>
      <c r="LID107" s="4"/>
      <c r="LIE107" s="4"/>
      <c r="LIF107" s="4"/>
      <c r="LIG107" s="4"/>
      <c r="LIH107" s="4"/>
      <c r="LII107" s="4"/>
      <c r="LIJ107" s="4"/>
      <c r="LIK107" s="4"/>
      <c r="LIL107" s="4"/>
      <c r="LIM107" s="4"/>
      <c r="LIN107" s="4"/>
      <c r="LIO107" s="4"/>
      <c r="LIP107" s="4"/>
      <c r="LIQ107" s="4"/>
      <c r="LIR107" s="4"/>
      <c r="LIS107" s="4"/>
      <c r="LIT107" s="4"/>
      <c r="LIU107" s="4"/>
      <c r="LIV107" s="4"/>
      <c r="LIW107" s="4"/>
      <c r="LIX107" s="4"/>
      <c r="LIY107" s="4"/>
      <c r="LIZ107" s="4"/>
      <c r="LJA107" s="4"/>
      <c r="LJB107" s="4"/>
      <c r="LJC107" s="4"/>
      <c r="LJD107" s="4"/>
      <c r="LJE107" s="4"/>
      <c r="LJF107" s="4"/>
      <c r="LJG107" s="4"/>
      <c r="LJH107" s="4"/>
      <c r="LJI107" s="4"/>
      <c r="LJJ107" s="4"/>
      <c r="LJK107" s="4"/>
      <c r="LJL107" s="4"/>
      <c r="LJM107" s="4"/>
      <c r="LJN107" s="4"/>
      <c r="LJO107" s="4"/>
      <c r="LJP107" s="4"/>
      <c r="LJQ107" s="4"/>
      <c r="LJR107" s="4"/>
      <c r="LJS107" s="4"/>
      <c r="LJT107" s="4"/>
      <c r="LJU107" s="4"/>
      <c r="LJV107" s="4"/>
      <c r="LJW107" s="4"/>
      <c r="LJX107" s="4"/>
      <c r="LJY107" s="4"/>
      <c r="LJZ107" s="4"/>
      <c r="LKA107" s="4"/>
      <c r="LKB107" s="4"/>
      <c r="LKC107" s="4"/>
      <c r="LKD107" s="4"/>
      <c r="LKE107" s="4"/>
      <c r="LKF107" s="4"/>
      <c r="LKG107" s="4"/>
      <c r="LKH107" s="4"/>
      <c r="LKI107" s="4"/>
      <c r="LKJ107" s="4"/>
      <c r="LKK107" s="4"/>
      <c r="LKL107" s="4"/>
      <c r="LKM107" s="4"/>
      <c r="LKN107" s="4"/>
      <c r="LKO107" s="4"/>
      <c r="LKP107" s="4"/>
      <c r="LKQ107" s="4"/>
      <c r="LKR107" s="4"/>
      <c r="LKS107" s="4"/>
      <c r="LKT107" s="4"/>
      <c r="LKU107" s="4"/>
      <c r="LKV107" s="4"/>
      <c r="LKW107" s="4"/>
      <c r="LKX107" s="4"/>
      <c r="LKY107" s="4"/>
      <c r="LKZ107" s="4"/>
      <c r="LLA107" s="4"/>
      <c r="LLB107" s="4"/>
      <c r="LLC107" s="4"/>
      <c r="LLD107" s="4"/>
      <c r="LLE107" s="4"/>
      <c r="LLF107" s="4"/>
      <c r="LLG107" s="4"/>
      <c r="LLH107" s="4"/>
      <c r="LLI107" s="4"/>
      <c r="LLJ107" s="4"/>
      <c r="LLK107" s="4"/>
      <c r="LLL107" s="4"/>
      <c r="LLM107" s="4"/>
      <c r="LLN107" s="4"/>
      <c r="LLO107" s="4"/>
      <c r="LLP107" s="4"/>
      <c r="LLQ107" s="4"/>
      <c r="LLR107" s="4"/>
      <c r="LLS107" s="4"/>
      <c r="LLT107" s="4"/>
      <c r="LLU107" s="4"/>
      <c r="LLV107" s="4"/>
      <c r="LLW107" s="4"/>
      <c r="LLX107" s="4"/>
      <c r="LLY107" s="4"/>
      <c r="LLZ107" s="4"/>
      <c r="LMA107" s="4"/>
      <c r="LMB107" s="4"/>
      <c r="LMC107" s="4"/>
      <c r="LMD107" s="4"/>
      <c r="LME107" s="4"/>
      <c r="LMF107" s="4"/>
      <c r="LMG107" s="4"/>
      <c r="LMH107" s="4"/>
      <c r="LMI107" s="4"/>
      <c r="LMJ107" s="4"/>
      <c r="LMK107" s="4"/>
      <c r="LML107" s="4"/>
      <c r="LMM107" s="4"/>
      <c r="LMN107" s="4"/>
      <c r="LMO107" s="4"/>
      <c r="LMP107" s="4"/>
      <c r="LMQ107" s="4"/>
      <c r="LMR107" s="4"/>
      <c r="LMS107" s="4"/>
      <c r="LMT107" s="4"/>
      <c r="LMU107" s="4"/>
      <c r="LMV107" s="4"/>
      <c r="LMW107" s="4"/>
      <c r="LMX107" s="4"/>
      <c r="LMY107" s="4"/>
      <c r="LMZ107" s="4"/>
      <c r="LNA107" s="4"/>
      <c r="LNB107" s="4"/>
      <c r="LNC107" s="4"/>
      <c r="LND107" s="4"/>
      <c r="LNE107" s="4"/>
      <c r="LNF107" s="4"/>
      <c r="LNG107" s="4"/>
      <c r="LNH107" s="4"/>
      <c r="LNI107" s="4"/>
      <c r="LNJ107" s="4"/>
      <c r="LNK107" s="4"/>
      <c r="LNL107" s="4"/>
      <c r="LNM107" s="4"/>
      <c r="LNN107" s="4"/>
      <c r="LNO107" s="4"/>
      <c r="LNP107" s="4"/>
      <c r="LNQ107" s="4"/>
      <c r="LNR107" s="4"/>
      <c r="LNS107" s="4"/>
      <c r="LNT107" s="4"/>
      <c r="LNU107" s="4"/>
      <c r="LNV107" s="4"/>
      <c r="LNW107" s="4"/>
      <c r="LNX107" s="4"/>
      <c r="LNY107" s="4"/>
      <c r="LNZ107" s="4"/>
      <c r="LOA107" s="4"/>
      <c r="LOB107" s="4"/>
      <c r="LOC107" s="4"/>
      <c r="LOD107" s="4"/>
      <c r="LOE107" s="4"/>
      <c r="LOF107" s="4"/>
      <c r="LOG107" s="4"/>
      <c r="LOH107" s="4"/>
      <c r="LOI107" s="4"/>
      <c r="LOJ107" s="4"/>
      <c r="LOK107" s="4"/>
      <c r="LOL107" s="4"/>
      <c r="LOM107" s="4"/>
      <c r="LON107" s="4"/>
      <c r="LOO107" s="4"/>
      <c r="LOP107" s="4"/>
      <c r="LOQ107" s="4"/>
      <c r="LOR107" s="4"/>
      <c r="LOS107" s="4"/>
      <c r="LOT107" s="4"/>
      <c r="LOU107" s="4"/>
      <c r="LOV107" s="4"/>
      <c r="LOW107" s="4"/>
      <c r="LOX107" s="4"/>
      <c r="LOY107" s="4"/>
      <c r="LOZ107" s="4"/>
      <c r="LPA107" s="4"/>
      <c r="LPB107" s="4"/>
      <c r="LPC107" s="4"/>
      <c r="LPD107" s="4"/>
      <c r="LPE107" s="4"/>
      <c r="LPF107" s="4"/>
      <c r="LPG107" s="4"/>
      <c r="LPH107" s="4"/>
      <c r="LPI107" s="4"/>
      <c r="LPJ107" s="4"/>
      <c r="LPK107" s="4"/>
      <c r="LPL107" s="4"/>
      <c r="LPM107" s="4"/>
      <c r="LPN107" s="4"/>
      <c r="LPO107" s="4"/>
      <c r="LPP107" s="4"/>
      <c r="LPQ107" s="4"/>
      <c r="LPR107" s="4"/>
      <c r="LPS107" s="4"/>
      <c r="LPT107" s="4"/>
      <c r="LPU107" s="4"/>
      <c r="LPV107" s="4"/>
      <c r="LPW107" s="4"/>
      <c r="LPX107" s="4"/>
      <c r="LPY107" s="4"/>
      <c r="LPZ107" s="4"/>
      <c r="LQA107" s="4"/>
      <c r="LQB107" s="4"/>
      <c r="LQC107" s="4"/>
      <c r="LQD107" s="4"/>
      <c r="LQE107" s="4"/>
      <c r="LQF107" s="4"/>
      <c r="LQG107" s="4"/>
      <c r="LQH107" s="4"/>
      <c r="LQI107" s="4"/>
      <c r="LQJ107" s="4"/>
      <c r="LQK107" s="4"/>
      <c r="LQL107" s="4"/>
      <c r="LQM107" s="4"/>
      <c r="LQN107" s="4"/>
      <c r="LQO107" s="4"/>
      <c r="LQP107" s="4"/>
      <c r="LQQ107" s="4"/>
      <c r="LQR107" s="4"/>
      <c r="LQS107" s="4"/>
      <c r="LQT107" s="4"/>
      <c r="LQU107" s="4"/>
      <c r="LQV107" s="4"/>
      <c r="LQW107" s="4"/>
      <c r="LQX107" s="4"/>
      <c r="LQY107" s="4"/>
      <c r="LQZ107" s="4"/>
      <c r="LRA107" s="4"/>
      <c r="LRB107" s="4"/>
      <c r="LRC107" s="4"/>
      <c r="LRD107" s="4"/>
      <c r="LRE107" s="4"/>
      <c r="LRF107" s="4"/>
      <c r="LRG107" s="4"/>
      <c r="LRH107" s="4"/>
      <c r="LRI107" s="4"/>
      <c r="LRJ107" s="4"/>
      <c r="LRK107" s="4"/>
      <c r="LRL107" s="4"/>
      <c r="LRM107" s="4"/>
      <c r="LRN107" s="4"/>
      <c r="LRO107" s="4"/>
      <c r="LRP107" s="4"/>
      <c r="LRQ107" s="4"/>
      <c r="LRR107" s="4"/>
      <c r="LRS107" s="4"/>
      <c r="LRT107" s="4"/>
      <c r="LRU107" s="4"/>
      <c r="LRV107" s="4"/>
      <c r="LRW107" s="4"/>
      <c r="LRX107" s="4"/>
      <c r="LRY107" s="4"/>
      <c r="LRZ107" s="4"/>
      <c r="LSA107" s="4"/>
      <c r="LSB107" s="4"/>
      <c r="LSC107" s="4"/>
      <c r="LSD107" s="4"/>
      <c r="LSE107" s="4"/>
      <c r="LSF107" s="4"/>
      <c r="LSG107" s="4"/>
      <c r="LSH107" s="4"/>
      <c r="LSI107" s="4"/>
      <c r="LSJ107" s="4"/>
      <c r="LSK107" s="4"/>
      <c r="LSL107" s="4"/>
      <c r="LSM107" s="4"/>
      <c r="LSN107" s="4"/>
      <c r="LSO107" s="4"/>
      <c r="LSP107" s="4"/>
      <c r="LSQ107" s="4"/>
      <c r="LSR107" s="4"/>
      <c r="LSS107" s="4"/>
      <c r="LST107" s="4"/>
      <c r="LSU107" s="4"/>
      <c r="LSV107" s="4"/>
      <c r="LSW107" s="4"/>
      <c r="LSX107" s="4"/>
      <c r="LSY107" s="4"/>
      <c r="LSZ107" s="4"/>
      <c r="LTA107" s="4"/>
      <c r="LTB107" s="4"/>
      <c r="LTC107" s="4"/>
      <c r="LTD107" s="4"/>
      <c r="LTE107" s="4"/>
      <c r="LTF107" s="4"/>
      <c r="LTG107" s="4"/>
      <c r="LTH107" s="4"/>
      <c r="LTI107" s="4"/>
      <c r="LTJ107" s="4"/>
      <c r="LTK107" s="4"/>
      <c r="LTL107" s="4"/>
      <c r="LTM107" s="4"/>
      <c r="LTN107" s="4"/>
      <c r="LTO107" s="4"/>
      <c r="LTP107" s="4"/>
      <c r="LTQ107" s="4"/>
      <c r="LTR107" s="4"/>
      <c r="LTS107" s="4"/>
      <c r="LTT107" s="4"/>
      <c r="LTU107" s="4"/>
      <c r="LTV107" s="4"/>
      <c r="LTW107" s="4"/>
      <c r="LTX107" s="4"/>
      <c r="LTY107" s="4"/>
      <c r="LTZ107" s="4"/>
      <c r="LUA107" s="4"/>
      <c r="LUB107" s="4"/>
      <c r="LUC107" s="4"/>
      <c r="LUD107" s="4"/>
      <c r="LUE107" s="4"/>
      <c r="LUF107" s="4"/>
      <c r="LUG107" s="4"/>
      <c r="LUH107" s="4"/>
      <c r="LUI107" s="4"/>
      <c r="LUJ107" s="4"/>
      <c r="LUK107" s="4"/>
      <c r="LUL107" s="4"/>
      <c r="LUM107" s="4"/>
      <c r="LUN107" s="4"/>
      <c r="LUO107" s="4"/>
      <c r="LUP107" s="4"/>
      <c r="LUQ107" s="4"/>
      <c r="LUR107" s="4"/>
      <c r="LUS107" s="4"/>
      <c r="LUT107" s="4"/>
      <c r="LUU107" s="4"/>
      <c r="LUV107" s="4"/>
      <c r="LUW107" s="4"/>
      <c r="LUX107" s="4"/>
      <c r="LUY107" s="4"/>
      <c r="LUZ107" s="4"/>
      <c r="LVA107" s="4"/>
      <c r="LVB107" s="4"/>
      <c r="LVC107" s="4"/>
      <c r="LVD107" s="4"/>
      <c r="LVE107" s="4"/>
      <c r="LVF107" s="4"/>
      <c r="LVG107" s="4"/>
      <c r="LVH107" s="4"/>
      <c r="LVI107" s="4"/>
      <c r="LVJ107" s="4"/>
      <c r="LVK107" s="4"/>
      <c r="LVL107" s="4"/>
      <c r="LVM107" s="4"/>
      <c r="LVN107" s="4"/>
      <c r="LVO107" s="4"/>
      <c r="LVP107" s="4"/>
      <c r="LVQ107" s="4"/>
      <c r="LVR107" s="4"/>
      <c r="LVS107" s="4"/>
      <c r="LVT107" s="4"/>
      <c r="LVU107" s="4"/>
      <c r="LVV107" s="4"/>
      <c r="LVW107" s="4"/>
      <c r="LVX107" s="4"/>
      <c r="LVY107" s="4"/>
      <c r="LVZ107" s="4"/>
      <c r="LWA107" s="4"/>
      <c r="LWB107" s="4"/>
      <c r="LWC107" s="4"/>
      <c r="LWD107" s="4"/>
      <c r="LWE107" s="4"/>
      <c r="LWF107" s="4"/>
      <c r="LWG107" s="4"/>
      <c r="LWH107" s="4"/>
      <c r="LWI107" s="4"/>
      <c r="LWJ107" s="4"/>
      <c r="LWK107" s="4"/>
      <c r="LWL107" s="4"/>
      <c r="LWM107" s="4"/>
      <c r="LWN107" s="4"/>
      <c r="LWO107" s="4"/>
      <c r="LWP107" s="4"/>
      <c r="LWQ107" s="4"/>
      <c r="LWR107" s="4"/>
      <c r="LWS107" s="4"/>
      <c r="LWT107" s="4"/>
      <c r="LWU107" s="4"/>
      <c r="LWV107" s="4"/>
      <c r="LWW107" s="4"/>
      <c r="LWX107" s="4"/>
      <c r="LWY107" s="4"/>
      <c r="LWZ107" s="4"/>
      <c r="LXA107" s="4"/>
      <c r="LXB107" s="4"/>
      <c r="LXC107" s="4"/>
      <c r="LXD107" s="4"/>
      <c r="LXE107" s="4"/>
      <c r="LXF107" s="4"/>
      <c r="LXG107" s="4"/>
      <c r="LXH107" s="4"/>
      <c r="LXI107" s="4"/>
      <c r="LXJ107" s="4"/>
      <c r="LXK107" s="4"/>
      <c r="LXL107" s="4"/>
      <c r="LXM107" s="4"/>
      <c r="LXN107" s="4"/>
      <c r="LXO107" s="4"/>
      <c r="LXP107" s="4"/>
      <c r="LXQ107" s="4"/>
      <c r="LXR107" s="4"/>
      <c r="LXS107" s="4"/>
      <c r="LXT107" s="4"/>
      <c r="LXU107" s="4"/>
      <c r="LXV107" s="4"/>
      <c r="LXW107" s="4"/>
      <c r="LXX107" s="4"/>
      <c r="LXY107" s="4"/>
      <c r="LXZ107" s="4"/>
      <c r="LYA107" s="4"/>
      <c r="LYB107" s="4"/>
      <c r="LYC107" s="4"/>
      <c r="LYD107" s="4"/>
      <c r="LYE107" s="4"/>
      <c r="LYF107" s="4"/>
      <c r="LYG107" s="4"/>
      <c r="LYH107" s="4"/>
      <c r="LYI107" s="4"/>
      <c r="LYJ107" s="4"/>
      <c r="LYK107" s="4"/>
      <c r="LYL107" s="4"/>
      <c r="LYM107" s="4"/>
      <c r="LYN107" s="4"/>
      <c r="LYO107" s="4"/>
      <c r="LYP107" s="4"/>
      <c r="LYQ107" s="4"/>
      <c r="LYR107" s="4"/>
      <c r="LYS107" s="4"/>
      <c r="LYT107" s="4"/>
      <c r="LYU107" s="4"/>
      <c r="LYV107" s="4"/>
      <c r="LYW107" s="4"/>
      <c r="LYX107" s="4"/>
      <c r="LYY107" s="4"/>
      <c r="LYZ107" s="4"/>
      <c r="LZA107" s="4"/>
      <c r="LZB107" s="4"/>
      <c r="LZC107" s="4"/>
      <c r="LZD107" s="4"/>
      <c r="LZE107" s="4"/>
      <c r="LZF107" s="4"/>
      <c r="LZG107" s="4"/>
      <c r="LZH107" s="4"/>
      <c r="LZI107" s="4"/>
      <c r="LZJ107" s="4"/>
      <c r="LZK107" s="4"/>
      <c r="LZL107" s="4"/>
      <c r="LZM107" s="4"/>
      <c r="LZN107" s="4"/>
      <c r="LZO107" s="4"/>
      <c r="LZP107" s="4"/>
      <c r="LZQ107" s="4"/>
      <c r="LZR107" s="4"/>
      <c r="LZS107" s="4"/>
      <c r="LZT107" s="4"/>
      <c r="LZU107" s="4"/>
      <c r="LZV107" s="4"/>
      <c r="LZW107" s="4"/>
      <c r="LZX107" s="4"/>
      <c r="LZY107" s="4"/>
      <c r="LZZ107" s="4"/>
      <c r="MAA107" s="4"/>
      <c r="MAB107" s="4"/>
      <c r="MAC107" s="4"/>
      <c r="MAD107" s="4"/>
      <c r="MAE107" s="4"/>
      <c r="MAF107" s="4"/>
      <c r="MAG107" s="4"/>
      <c r="MAH107" s="4"/>
      <c r="MAI107" s="4"/>
      <c r="MAJ107" s="4"/>
      <c r="MAK107" s="4"/>
      <c r="MAL107" s="4"/>
      <c r="MAM107" s="4"/>
      <c r="MAN107" s="4"/>
      <c r="MAO107" s="4"/>
      <c r="MAP107" s="4"/>
      <c r="MAQ107" s="4"/>
      <c r="MAR107" s="4"/>
      <c r="MAS107" s="4"/>
      <c r="MAT107" s="4"/>
      <c r="MAU107" s="4"/>
      <c r="MAV107" s="4"/>
      <c r="MAW107" s="4"/>
      <c r="MAX107" s="4"/>
      <c r="MAY107" s="4"/>
      <c r="MAZ107" s="4"/>
      <c r="MBA107" s="4"/>
      <c r="MBB107" s="4"/>
      <c r="MBC107" s="4"/>
      <c r="MBD107" s="4"/>
      <c r="MBE107" s="4"/>
      <c r="MBF107" s="4"/>
      <c r="MBG107" s="4"/>
      <c r="MBH107" s="4"/>
      <c r="MBI107" s="4"/>
      <c r="MBJ107" s="4"/>
      <c r="MBK107" s="4"/>
      <c r="MBL107" s="4"/>
      <c r="MBM107" s="4"/>
      <c r="MBN107" s="4"/>
      <c r="MBO107" s="4"/>
      <c r="MBP107" s="4"/>
      <c r="MBQ107" s="4"/>
      <c r="MBR107" s="4"/>
      <c r="MBS107" s="4"/>
      <c r="MBT107" s="4"/>
      <c r="MBU107" s="4"/>
      <c r="MBV107" s="4"/>
      <c r="MBW107" s="4"/>
      <c r="MBX107" s="4"/>
      <c r="MBY107" s="4"/>
      <c r="MBZ107" s="4"/>
      <c r="MCA107" s="4"/>
      <c r="MCB107" s="4"/>
      <c r="MCC107" s="4"/>
      <c r="MCD107" s="4"/>
      <c r="MCE107" s="4"/>
      <c r="MCF107" s="4"/>
      <c r="MCG107" s="4"/>
      <c r="MCH107" s="4"/>
      <c r="MCI107" s="4"/>
      <c r="MCJ107" s="4"/>
      <c r="MCK107" s="4"/>
      <c r="MCL107" s="4"/>
      <c r="MCM107" s="4"/>
      <c r="MCN107" s="4"/>
      <c r="MCO107" s="4"/>
      <c r="MCP107" s="4"/>
      <c r="MCQ107" s="4"/>
      <c r="MCR107" s="4"/>
      <c r="MCS107" s="4"/>
      <c r="MCT107" s="4"/>
      <c r="MCU107" s="4"/>
      <c r="MCV107" s="4"/>
      <c r="MCW107" s="4"/>
      <c r="MCX107" s="4"/>
      <c r="MCY107" s="4"/>
      <c r="MCZ107" s="4"/>
      <c r="MDA107" s="4"/>
      <c r="MDB107" s="4"/>
      <c r="MDC107" s="4"/>
      <c r="MDD107" s="4"/>
      <c r="MDE107" s="4"/>
      <c r="MDF107" s="4"/>
      <c r="MDG107" s="4"/>
      <c r="MDH107" s="4"/>
      <c r="MDI107" s="4"/>
      <c r="MDJ107" s="4"/>
      <c r="MDK107" s="4"/>
      <c r="MDL107" s="4"/>
      <c r="MDM107" s="4"/>
      <c r="MDN107" s="4"/>
      <c r="MDO107" s="4"/>
      <c r="MDP107" s="4"/>
      <c r="MDQ107" s="4"/>
      <c r="MDR107" s="4"/>
      <c r="MDS107" s="4"/>
      <c r="MDT107" s="4"/>
      <c r="MDU107" s="4"/>
      <c r="MDV107" s="4"/>
      <c r="MDW107" s="4"/>
      <c r="MDX107" s="4"/>
      <c r="MDY107" s="4"/>
      <c r="MDZ107" s="4"/>
      <c r="MEA107" s="4"/>
      <c r="MEB107" s="4"/>
      <c r="MEC107" s="4"/>
      <c r="MED107" s="4"/>
      <c r="MEE107" s="4"/>
      <c r="MEF107" s="4"/>
      <c r="MEG107" s="4"/>
      <c r="MEH107" s="4"/>
      <c r="MEI107" s="4"/>
      <c r="MEJ107" s="4"/>
      <c r="MEK107" s="4"/>
      <c r="MEL107" s="4"/>
      <c r="MEM107" s="4"/>
      <c r="MEN107" s="4"/>
      <c r="MEO107" s="4"/>
      <c r="MEP107" s="4"/>
      <c r="MEQ107" s="4"/>
      <c r="MER107" s="4"/>
      <c r="MES107" s="4"/>
      <c r="MET107" s="4"/>
      <c r="MEU107" s="4"/>
      <c r="MEV107" s="4"/>
      <c r="MEW107" s="4"/>
      <c r="MEX107" s="4"/>
      <c r="MEY107" s="4"/>
      <c r="MEZ107" s="4"/>
      <c r="MFA107" s="4"/>
      <c r="MFB107" s="4"/>
      <c r="MFC107" s="4"/>
      <c r="MFD107" s="4"/>
      <c r="MFE107" s="4"/>
      <c r="MFF107" s="4"/>
      <c r="MFG107" s="4"/>
      <c r="MFH107" s="4"/>
      <c r="MFI107" s="4"/>
      <c r="MFJ107" s="4"/>
      <c r="MFK107" s="4"/>
      <c r="MFL107" s="4"/>
      <c r="MFM107" s="4"/>
      <c r="MFN107" s="4"/>
      <c r="MFO107" s="4"/>
      <c r="MFP107" s="4"/>
      <c r="MFQ107" s="4"/>
      <c r="MFR107" s="4"/>
      <c r="MFS107" s="4"/>
      <c r="MFT107" s="4"/>
      <c r="MFU107" s="4"/>
      <c r="MFV107" s="4"/>
      <c r="MFW107" s="4"/>
      <c r="MFX107" s="4"/>
      <c r="MFY107" s="4"/>
      <c r="MFZ107" s="4"/>
      <c r="MGA107" s="4"/>
      <c r="MGB107" s="4"/>
      <c r="MGC107" s="4"/>
      <c r="MGD107" s="4"/>
      <c r="MGE107" s="4"/>
      <c r="MGF107" s="4"/>
      <c r="MGG107" s="4"/>
      <c r="MGH107" s="4"/>
      <c r="MGI107" s="4"/>
      <c r="MGJ107" s="4"/>
      <c r="MGK107" s="4"/>
      <c r="MGL107" s="4"/>
      <c r="MGM107" s="4"/>
      <c r="MGN107" s="4"/>
      <c r="MGO107" s="4"/>
      <c r="MGP107" s="4"/>
      <c r="MGQ107" s="4"/>
      <c r="MGR107" s="4"/>
      <c r="MGS107" s="4"/>
      <c r="MGT107" s="4"/>
      <c r="MGU107" s="4"/>
      <c r="MGV107" s="4"/>
      <c r="MGW107" s="4"/>
      <c r="MGX107" s="4"/>
      <c r="MGY107" s="4"/>
      <c r="MGZ107" s="4"/>
      <c r="MHA107" s="4"/>
      <c r="MHB107" s="4"/>
      <c r="MHC107" s="4"/>
      <c r="MHD107" s="4"/>
      <c r="MHE107" s="4"/>
      <c r="MHF107" s="4"/>
      <c r="MHG107" s="4"/>
      <c r="MHH107" s="4"/>
      <c r="MHI107" s="4"/>
      <c r="MHJ107" s="4"/>
      <c r="MHK107" s="4"/>
      <c r="MHL107" s="4"/>
      <c r="MHM107" s="4"/>
      <c r="MHN107" s="4"/>
      <c r="MHO107" s="4"/>
      <c r="MHP107" s="4"/>
      <c r="MHQ107" s="4"/>
      <c r="MHR107" s="4"/>
      <c r="MHS107" s="4"/>
      <c r="MHT107" s="4"/>
      <c r="MHU107" s="4"/>
      <c r="MHV107" s="4"/>
      <c r="MHW107" s="4"/>
      <c r="MHX107" s="4"/>
      <c r="MHY107" s="4"/>
      <c r="MHZ107" s="4"/>
      <c r="MIA107" s="4"/>
      <c r="MIB107" s="4"/>
      <c r="MIC107" s="4"/>
      <c r="MID107" s="4"/>
      <c r="MIE107" s="4"/>
      <c r="MIF107" s="4"/>
      <c r="MIG107" s="4"/>
      <c r="MIH107" s="4"/>
      <c r="MII107" s="4"/>
      <c r="MIJ107" s="4"/>
      <c r="MIK107" s="4"/>
      <c r="MIL107" s="4"/>
      <c r="MIM107" s="4"/>
      <c r="MIN107" s="4"/>
      <c r="MIO107" s="4"/>
      <c r="MIP107" s="4"/>
      <c r="MIQ107" s="4"/>
      <c r="MIR107" s="4"/>
      <c r="MIS107" s="4"/>
      <c r="MIT107" s="4"/>
      <c r="MIU107" s="4"/>
      <c r="MIV107" s="4"/>
      <c r="MIW107" s="4"/>
      <c r="MIX107" s="4"/>
      <c r="MIY107" s="4"/>
      <c r="MIZ107" s="4"/>
      <c r="MJA107" s="4"/>
      <c r="MJB107" s="4"/>
      <c r="MJC107" s="4"/>
      <c r="MJD107" s="4"/>
      <c r="MJE107" s="4"/>
      <c r="MJF107" s="4"/>
      <c r="MJG107" s="4"/>
      <c r="MJH107" s="4"/>
      <c r="MJI107" s="4"/>
      <c r="MJJ107" s="4"/>
      <c r="MJK107" s="4"/>
      <c r="MJL107" s="4"/>
      <c r="MJM107" s="4"/>
      <c r="MJN107" s="4"/>
      <c r="MJO107" s="4"/>
      <c r="MJP107" s="4"/>
      <c r="MJQ107" s="4"/>
      <c r="MJR107" s="4"/>
      <c r="MJS107" s="4"/>
      <c r="MJT107" s="4"/>
      <c r="MJU107" s="4"/>
      <c r="MJV107" s="4"/>
      <c r="MJW107" s="4"/>
      <c r="MJX107" s="4"/>
      <c r="MJY107" s="4"/>
      <c r="MJZ107" s="4"/>
      <c r="MKA107" s="4"/>
      <c r="MKB107" s="4"/>
      <c r="MKC107" s="4"/>
      <c r="MKD107" s="4"/>
      <c r="MKE107" s="4"/>
      <c r="MKF107" s="4"/>
      <c r="MKG107" s="4"/>
      <c r="MKH107" s="4"/>
      <c r="MKI107" s="4"/>
      <c r="MKJ107" s="4"/>
      <c r="MKK107" s="4"/>
      <c r="MKL107" s="4"/>
      <c r="MKM107" s="4"/>
      <c r="MKN107" s="4"/>
      <c r="MKO107" s="4"/>
      <c r="MKP107" s="4"/>
      <c r="MKQ107" s="4"/>
      <c r="MKR107" s="4"/>
      <c r="MKS107" s="4"/>
      <c r="MKT107" s="4"/>
      <c r="MKU107" s="4"/>
      <c r="MKV107" s="4"/>
      <c r="MKW107" s="4"/>
      <c r="MKX107" s="4"/>
      <c r="MKY107" s="4"/>
      <c r="MKZ107" s="4"/>
      <c r="MLA107" s="4"/>
      <c r="MLB107" s="4"/>
      <c r="MLC107" s="4"/>
      <c r="MLD107" s="4"/>
      <c r="MLE107" s="4"/>
      <c r="MLF107" s="4"/>
      <c r="MLG107" s="4"/>
      <c r="MLH107" s="4"/>
      <c r="MLI107" s="4"/>
      <c r="MLJ107" s="4"/>
      <c r="MLK107" s="4"/>
      <c r="MLL107" s="4"/>
      <c r="MLM107" s="4"/>
      <c r="MLN107" s="4"/>
      <c r="MLO107" s="4"/>
      <c r="MLP107" s="4"/>
      <c r="MLQ107" s="4"/>
      <c r="MLR107" s="4"/>
      <c r="MLS107" s="4"/>
      <c r="MLT107" s="4"/>
      <c r="MLU107" s="4"/>
      <c r="MLV107" s="4"/>
      <c r="MLW107" s="4"/>
      <c r="MLX107" s="4"/>
      <c r="MLY107" s="4"/>
      <c r="MLZ107" s="4"/>
      <c r="MMA107" s="4"/>
      <c r="MMB107" s="4"/>
      <c r="MMC107" s="4"/>
      <c r="MMD107" s="4"/>
      <c r="MME107" s="4"/>
      <c r="MMF107" s="4"/>
      <c r="MMG107" s="4"/>
      <c r="MMH107" s="4"/>
      <c r="MMI107" s="4"/>
      <c r="MMJ107" s="4"/>
      <c r="MMK107" s="4"/>
      <c r="MML107" s="4"/>
      <c r="MMM107" s="4"/>
      <c r="MMN107" s="4"/>
      <c r="MMO107" s="4"/>
      <c r="MMP107" s="4"/>
      <c r="MMQ107" s="4"/>
      <c r="MMR107" s="4"/>
      <c r="MMS107" s="4"/>
      <c r="MMT107" s="4"/>
      <c r="MMU107" s="4"/>
      <c r="MMV107" s="4"/>
      <c r="MMW107" s="4"/>
      <c r="MMX107" s="4"/>
      <c r="MMY107" s="4"/>
      <c r="MMZ107" s="4"/>
      <c r="MNA107" s="4"/>
      <c r="MNB107" s="4"/>
      <c r="MNC107" s="4"/>
      <c r="MND107" s="4"/>
      <c r="MNE107" s="4"/>
      <c r="MNF107" s="4"/>
      <c r="MNG107" s="4"/>
      <c r="MNH107" s="4"/>
      <c r="MNI107" s="4"/>
      <c r="MNJ107" s="4"/>
      <c r="MNK107" s="4"/>
      <c r="MNL107" s="4"/>
      <c r="MNM107" s="4"/>
      <c r="MNN107" s="4"/>
      <c r="MNO107" s="4"/>
      <c r="MNP107" s="4"/>
      <c r="MNQ107" s="4"/>
      <c r="MNR107" s="4"/>
      <c r="MNS107" s="4"/>
      <c r="MNT107" s="4"/>
      <c r="MNU107" s="4"/>
      <c r="MNV107" s="4"/>
      <c r="MNW107" s="4"/>
      <c r="MNX107" s="4"/>
      <c r="MNY107" s="4"/>
      <c r="MNZ107" s="4"/>
      <c r="MOA107" s="4"/>
      <c r="MOB107" s="4"/>
      <c r="MOC107" s="4"/>
      <c r="MOD107" s="4"/>
      <c r="MOE107" s="4"/>
      <c r="MOF107" s="4"/>
      <c r="MOG107" s="4"/>
      <c r="MOH107" s="4"/>
      <c r="MOI107" s="4"/>
      <c r="MOJ107" s="4"/>
      <c r="MOK107" s="4"/>
      <c r="MOL107" s="4"/>
      <c r="MOM107" s="4"/>
      <c r="MON107" s="4"/>
      <c r="MOO107" s="4"/>
      <c r="MOP107" s="4"/>
      <c r="MOQ107" s="4"/>
      <c r="MOR107" s="4"/>
      <c r="MOS107" s="4"/>
      <c r="MOT107" s="4"/>
      <c r="MOU107" s="4"/>
      <c r="MOV107" s="4"/>
      <c r="MOW107" s="4"/>
      <c r="MOX107" s="4"/>
      <c r="MOY107" s="4"/>
      <c r="MOZ107" s="4"/>
      <c r="MPA107" s="4"/>
      <c r="MPB107" s="4"/>
      <c r="MPC107" s="4"/>
      <c r="MPD107" s="4"/>
      <c r="MPE107" s="4"/>
      <c r="MPF107" s="4"/>
      <c r="MPG107" s="4"/>
      <c r="MPH107" s="4"/>
      <c r="MPI107" s="4"/>
      <c r="MPJ107" s="4"/>
      <c r="MPK107" s="4"/>
      <c r="MPL107" s="4"/>
      <c r="MPM107" s="4"/>
      <c r="MPN107" s="4"/>
      <c r="MPO107" s="4"/>
      <c r="MPP107" s="4"/>
      <c r="MPQ107" s="4"/>
      <c r="MPR107" s="4"/>
      <c r="MPS107" s="4"/>
      <c r="MPT107" s="4"/>
      <c r="MPU107" s="4"/>
      <c r="MPV107" s="4"/>
      <c r="MPW107" s="4"/>
      <c r="MPX107" s="4"/>
      <c r="MPY107" s="4"/>
      <c r="MPZ107" s="4"/>
      <c r="MQA107" s="4"/>
      <c r="MQB107" s="4"/>
      <c r="MQC107" s="4"/>
      <c r="MQD107" s="4"/>
      <c r="MQE107" s="4"/>
      <c r="MQF107" s="4"/>
      <c r="MQG107" s="4"/>
      <c r="MQH107" s="4"/>
      <c r="MQI107" s="4"/>
      <c r="MQJ107" s="4"/>
      <c r="MQK107" s="4"/>
      <c r="MQL107" s="4"/>
      <c r="MQM107" s="4"/>
      <c r="MQN107" s="4"/>
      <c r="MQO107" s="4"/>
      <c r="MQP107" s="4"/>
      <c r="MQQ107" s="4"/>
      <c r="MQR107" s="4"/>
      <c r="MQS107" s="4"/>
      <c r="MQT107" s="4"/>
      <c r="MQU107" s="4"/>
      <c r="MQV107" s="4"/>
      <c r="MQW107" s="4"/>
      <c r="MQX107" s="4"/>
      <c r="MQY107" s="4"/>
      <c r="MQZ107" s="4"/>
      <c r="MRA107" s="4"/>
      <c r="MRB107" s="4"/>
      <c r="MRC107" s="4"/>
      <c r="MRD107" s="4"/>
      <c r="MRE107" s="4"/>
      <c r="MRF107" s="4"/>
      <c r="MRG107" s="4"/>
      <c r="MRH107" s="4"/>
      <c r="MRI107" s="4"/>
      <c r="MRJ107" s="4"/>
      <c r="MRK107" s="4"/>
      <c r="MRL107" s="4"/>
      <c r="MRM107" s="4"/>
      <c r="MRN107" s="4"/>
      <c r="MRO107" s="4"/>
      <c r="MRP107" s="4"/>
      <c r="MRQ107" s="4"/>
      <c r="MRR107" s="4"/>
      <c r="MRS107" s="4"/>
      <c r="MRT107" s="4"/>
      <c r="MRU107" s="4"/>
      <c r="MRV107" s="4"/>
      <c r="MRW107" s="4"/>
      <c r="MRX107" s="4"/>
      <c r="MRY107" s="4"/>
      <c r="MRZ107" s="4"/>
      <c r="MSA107" s="4"/>
      <c r="MSB107" s="4"/>
      <c r="MSC107" s="4"/>
      <c r="MSD107" s="4"/>
      <c r="MSE107" s="4"/>
      <c r="MSF107" s="4"/>
      <c r="MSG107" s="4"/>
      <c r="MSH107" s="4"/>
      <c r="MSI107" s="4"/>
      <c r="MSJ107" s="4"/>
      <c r="MSK107" s="4"/>
      <c r="MSL107" s="4"/>
      <c r="MSM107" s="4"/>
      <c r="MSN107" s="4"/>
      <c r="MSO107" s="4"/>
      <c r="MSP107" s="4"/>
      <c r="MSQ107" s="4"/>
      <c r="MSR107" s="4"/>
      <c r="MSS107" s="4"/>
      <c r="MST107" s="4"/>
      <c r="MSU107" s="4"/>
      <c r="MSV107" s="4"/>
      <c r="MSW107" s="4"/>
      <c r="MSX107" s="4"/>
      <c r="MSY107" s="4"/>
      <c r="MSZ107" s="4"/>
      <c r="MTA107" s="4"/>
      <c r="MTB107" s="4"/>
      <c r="MTC107" s="4"/>
      <c r="MTD107" s="4"/>
      <c r="MTE107" s="4"/>
      <c r="MTF107" s="4"/>
      <c r="MTG107" s="4"/>
      <c r="MTH107" s="4"/>
      <c r="MTI107" s="4"/>
      <c r="MTJ107" s="4"/>
      <c r="MTK107" s="4"/>
      <c r="MTL107" s="4"/>
      <c r="MTM107" s="4"/>
      <c r="MTN107" s="4"/>
      <c r="MTO107" s="4"/>
      <c r="MTP107" s="4"/>
      <c r="MTQ107" s="4"/>
      <c r="MTR107" s="4"/>
      <c r="MTS107" s="4"/>
      <c r="MTT107" s="4"/>
      <c r="MTU107" s="4"/>
      <c r="MTV107" s="4"/>
      <c r="MTW107" s="4"/>
      <c r="MTX107" s="4"/>
      <c r="MTY107" s="4"/>
      <c r="MTZ107" s="4"/>
      <c r="MUA107" s="4"/>
      <c r="MUB107" s="4"/>
      <c r="MUC107" s="4"/>
      <c r="MUD107" s="4"/>
      <c r="MUE107" s="4"/>
      <c r="MUF107" s="4"/>
      <c r="MUG107" s="4"/>
      <c r="MUH107" s="4"/>
      <c r="MUI107" s="4"/>
      <c r="MUJ107" s="4"/>
      <c r="MUK107" s="4"/>
      <c r="MUL107" s="4"/>
      <c r="MUM107" s="4"/>
      <c r="MUN107" s="4"/>
      <c r="MUO107" s="4"/>
      <c r="MUP107" s="4"/>
      <c r="MUQ107" s="4"/>
      <c r="MUR107" s="4"/>
      <c r="MUS107" s="4"/>
      <c r="MUT107" s="4"/>
      <c r="MUU107" s="4"/>
      <c r="MUV107" s="4"/>
      <c r="MUW107" s="4"/>
      <c r="MUX107" s="4"/>
      <c r="MUY107" s="4"/>
      <c r="MUZ107" s="4"/>
      <c r="MVA107" s="4"/>
      <c r="MVB107" s="4"/>
      <c r="MVC107" s="4"/>
      <c r="MVD107" s="4"/>
      <c r="MVE107" s="4"/>
      <c r="MVF107" s="4"/>
      <c r="MVG107" s="4"/>
      <c r="MVH107" s="4"/>
      <c r="MVI107" s="4"/>
      <c r="MVJ107" s="4"/>
      <c r="MVK107" s="4"/>
      <c r="MVL107" s="4"/>
      <c r="MVM107" s="4"/>
      <c r="MVN107" s="4"/>
      <c r="MVO107" s="4"/>
      <c r="MVP107" s="4"/>
      <c r="MVQ107" s="4"/>
      <c r="MVR107" s="4"/>
      <c r="MVS107" s="4"/>
      <c r="MVT107" s="4"/>
      <c r="MVU107" s="4"/>
      <c r="MVV107" s="4"/>
      <c r="MVW107" s="4"/>
      <c r="MVX107" s="4"/>
      <c r="MVY107" s="4"/>
      <c r="MVZ107" s="4"/>
      <c r="MWA107" s="4"/>
      <c r="MWB107" s="4"/>
      <c r="MWC107" s="4"/>
      <c r="MWD107" s="4"/>
      <c r="MWE107" s="4"/>
      <c r="MWF107" s="4"/>
      <c r="MWG107" s="4"/>
      <c r="MWH107" s="4"/>
      <c r="MWI107" s="4"/>
      <c r="MWJ107" s="4"/>
      <c r="MWK107" s="4"/>
      <c r="MWL107" s="4"/>
      <c r="MWM107" s="4"/>
      <c r="MWN107" s="4"/>
      <c r="MWO107" s="4"/>
      <c r="MWP107" s="4"/>
      <c r="MWQ107" s="4"/>
      <c r="MWR107" s="4"/>
      <c r="MWS107" s="4"/>
      <c r="MWT107" s="4"/>
      <c r="MWU107" s="4"/>
      <c r="MWV107" s="4"/>
      <c r="MWW107" s="4"/>
      <c r="MWX107" s="4"/>
      <c r="MWY107" s="4"/>
      <c r="MWZ107" s="4"/>
      <c r="MXA107" s="4"/>
      <c r="MXB107" s="4"/>
      <c r="MXC107" s="4"/>
      <c r="MXD107" s="4"/>
      <c r="MXE107" s="4"/>
      <c r="MXF107" s="4"/>
      <c r="MXG107" s="4"/>
      <c r="MXH107" s="4"/>
      <c r="MXI107" s="4"/>
      <c r="MXJ107" s="4"/>
      <c r="MXK107" s="4"/>
      <c r="MXL107" s="4"/>
      <c r="MXM107" s="4"/>
      <c r="MXN107" s="4"/>
      <c r="MXO107" s="4"/>
      <c r="MXP107" s="4"/>
      <c r="MXQ107" s="4"/>
      <c r="MXR107" s="4"/>
      <c r="MXS107" s="4"/>
      <c r="MXT107" s="4"/>
      <c r="MXU107" s="4"/>
      <c r="MXV107" s="4"/>
      <c r="MXW107" s="4"/>
      <c r="MXX107" s="4"/>
      <c r="MXY107" s="4"/>
      <c r="MXZ107" s="4"/>
      <c r="MYA107" s="4"/>
      <c r="MYB107" s="4"/>
      <c r="MYC107" s="4"/>
      <c r="MYD107" s="4"/>
      <c r="MYE107" s="4"/>
      <c r="MYF107" s="4"/>
      <c r="MYG107" s="4"/>
      <c r="MYH107" s="4"/>
      <c r="MYI107" s="4"/>
      <c r="MYJ107" s="4"/>
      <c r="MYK107" s="4"/>
      <c r="MYL107" s="4"/>
      <c r="MYM107" s="4"/>
      <c r="MYN107" s="4"/>
      <c r="MYO107" s="4"/>
      <c r="MYP107" s="4"/>
      <c r="MYQ107" s="4"/>
      <c r="MYR107" s="4"/>
      <c r="MYS107" s="4"/>
      <c r="MYT107" s="4"/>
      <c r="MYU107" s="4"/>
      <c r="MYV107" s="4"/>
      <c r="MYW107" s="4"/>
      <c r="MYX107" s="4"/>
      <c r="MYY107" s="4"/>
      <c r="MYZ107" s="4"/>
      <c r="MZA107" s="4"/>
      <c r="MZB107" s="4"/>
      <c r="MZC107" s="4"/>
      <c r="MZD107" s="4"/>
      <c r="MZE107" s="4"/>
      <c r="MZF107" s="4"/>
      <c r="MZG107" s="4"/>
      <c r="MZH107" s="4"/>
      <c r="MZI107" s="4"/>
      <c r="MZJ107" s="4"/>
      <c r="MZK107" s="4"/>
      <c r="MZL107" s="4"/>
      <c r="MZM107" s="4"/>
      <c r="MZN107" s="4"/>
      <c r="MZO107" s="4"/>
      <c r="MZP107" s="4"/>
      <c r="MZQ107" s="4"/>
      <c r="MZR107" s="4"/>
      <c r="MZS107" s="4"/>
      <c r="MZT107" s="4"/>
      <c r="MZU107" s="4"/>
      <c r="MZV107" s="4"/>
      <c r="MZW107" s="4"/>
      <c r="MZX107" s="4"/>
      <c r="MZY107" s="4"/>
      <c r="MZZ107" s="4"/>
      <c r="NAA107" s="4"/>
      <c r="NAB107" s="4"/>
      <c r="NAC107" s="4"/>
      <c r="NAD107" s="4"/>
      <c r="NAE107" s="4"/>
      <c r="NAF107" s="4"/>
      <c r="NAG107" s="4"/>
      <c r="NAH107" s="4"/>
      <c r="NAI107" s="4"/>
      <c r="NAJ107" s="4"/>
      <c r="NAK107" s="4"/>
      <c r="NAL107" s="4"/>
      <c r="NAM107" s="4"/>
      <c r="NAN107" s="4"/>
      <c r="NAO107" s="4"/>
      <c r="NAP107" s="4"/>
      <c r="NAQ107" s="4"/>
      <c r="NAR107" s="4"/>
      <c r="NAS107" s="4"/>
      <c r="NAT107" s="4"/>
      <c r="NAU107" s="4"/>
      <c r="NAV107" s="4"/>
      <c r="NAW107" s="4"/>
      <c r="NAX107" s="4"/>
      <c r="NAY107" s="4"/>
      <c r="NAZ107" s="4"/>
      <c r="NBA107" s="4"/>
      <c r="NBB107" s="4"/>
      <c r="NBC107" s="4"/>
      <c r="NBD107" s="4"/>
      <c r="NBE107" s="4"/>
      <c r="NBF107" s="4"/>
      <c r="NBG107" s="4"/>
      <c r="NBH107" s="4"/>
      <c r="NBI107" s="4"/>
      <c r="NBJ107" s="4"/>
      <c r="NBK107" s="4"/>
      <c r="NBL107" s="4"/>
      <c r="NBM107" s="4"/>
      <c r="NBN107" s="4"/>
      <c r="NBO107" s="4"/>
      <c r="NBP107" s="4"/>
      <c r="NBQ107" s="4"/>
      <c r="NBR107" s="4"/>
      <c r="NBS107" s="4"/>
      <c r="NBT107" s="4"/>
      <c r="NBU107" s="4"/>
      <c r="NBV107" s="4"/>
      <c r="NBW107" s="4"/>
      <c r="NBX107" s="4"/>
      <c r="NBY107" s="4"/>
      <c r="NBZ107" s="4"/>
      <c r="NCA107" s="4"/>
      <c r="NCB107" s="4"/>
      <c r="NCC107" s="4"/>
      <c r="NCD107" s="4"/>
      <c r="NCE107" s="4"/>
      <c r="NCF107" s="4"/>
      <c r="NCG107" s="4"/>
      <c r="NCH107" s="4"/>
      <c r="NCI107" s="4"/>
      <c r="NCJ107" s="4"/>
      <c r="NCK107" s="4"/>
      <c r="NCL107" s="4"/>
      <c r="NCM107" s="4"/>
      <c r="NCN107" s="4"/>
      <c r="NCO107" s="4"/>
      <c r="NCP107" s="4"/>
      <c r="NCQ107" s="4"/>
      <c r="NCR107" s="4"/>
      <c r="NCS107" s="4"/>
      <c r="NCT107" s="4"/>
      <c r="NCU107" s="4"/>
      <c r="NCV107" s="4"/>
      <c r="NCW107" s="4"/>
      <c r="NCX107" s="4"/>
      <c r="NCY107" s="4"/>
      <c r="NCZ107" s="4"/>
      <c r="NDA107" s="4"/>
      <c r="NDB107" s="4"/>
      <c r="NDC107" s="4"/>
      <c r="NDD107" s="4"/>
      <c r="NDE107" s="4"/>
      <c r="NDF107" s="4"/>
      <c r="NDG107" s="4"/>
      <c r="NDH107" s="4"/>
      <c r="NDI107" s="4"/>
      <c r="NDJ107" s="4"/>
      <c r="NDK107" s="4"/>
      <c r="NDL107" s="4"/>
      <c r="NDM107" s="4"/>
      <c r="NDN107" s="4"/>
      <c r="NDO107" s="4"/>
      <c r="NDP107" s="4"/>
      <c r="NDQ107" s="4"/>
      <c r="NDR107" s="4"/>
      <c r="NDS107" s="4"/>
      <c r="NDT107" s="4"/>
      <c r="NDU107" s="4"/>
      <c r="NDV107" s="4"/>
      <c r="NDW107" s="4"/>
      <c r="NDX107" s="4"/>
      <c r="NDY107" s="4"/>
      <c r="NDZ107" s="4"/>
      <c r="NEA107" s="4"/>
      <c r="NEB107" s="4"/>
      <c r="NEC107" s="4"/>
      <c r="NED107" s="4"/>
      <c r="NEE107" s="4"/>
      <c r="NEF107" s="4"/>
      <c r="NEG107" s="4"/>
      <c r="NEH107" s="4"/>
      <c r="NEI107" s="4"/>
      <c r="NEJ107" s="4"/>
      <c r="NEK107" s="4"/>
      <c r="NEL107" s="4"/>
      <c r="NEM107" s="4"/>
      <c r="NEN107" s="4"/>
      <c r="NEO107" s="4"/>
      <c r="NEP107" s="4"/>
      <c r="NEQ107" s="4"/>
      <c r="NER107" s="4"/>
      <c r="NES107" s="4"/>
      <c r="NET107" s="4"/>
      <c r="NEU107" s="4"/>
      <c r="NEV107" s="4"/>
      <c r="NEW107" s="4"/>
      <c r="NEX107" s="4"/>
      <c r="NEY107" s="4"/>
      <c r="NEZ107" s="4"/>
      <c r="NFA107" s="4"/>
      <c r="NFB107" s="4"/>
      <c r="NFC107" s="4"/>
      <c r="NFD107" s="4"/>
      <c r="NFE107" s="4"/>
      <c r="NFF107" s="4"/>
      <c r="NFG107" s="4"/>
      <c r="NFH107" s="4"/>
      <c r="NFI107" s="4"/>
      <c r="NFJ107" s="4"/>
      <c r="NFK107" s="4"/>
      <c r="NFL107" s="4"/>
      <c r="NFM107" s="4"/>
      <c r="NFN107" s="4"/>
      <c r="NFO107" s="4"/>
      <c r="NFP107" s="4"/>
      <c r="NFQ107" s="4"/>
      <c r="NFR107" s="4"/>
      <c r="NFS107" s="4"/>
      <c r="NFT107" s="4"/>
      <c r="NFU107" s="4"/>
      <c r="NFV107" s="4"/>
      <c r="NFW107" s="4"/>
      <c r="NFX107" s="4"/>
      <c r="NFY107" s="4"/>
      <c r="NFZ107" s="4"/>
      <c r="NGA107" s="4"/>
      <c r="NGB107" s="4"/>
      <c r="NGC107" s="4"/>
      <c r="NGD107" s="4"/>
      <c r="NGE107" s="4"/>
      <c r="NGF107" s="4"/>
      <c r="NGG107" s="4"/>
      <c r="NGH107" s="4"/>
      <c r="NGI107" s="4"/>
      <c r="NGJ107" s="4"/>
      <c r="NGK107" s="4"/>
      <c r="NGL107" s="4"/>
      <c r="NGM107" s="4"/>
      <c r="NGN107" s="4"/>
      <c r="NGO107" s="4"/>
      <c r="NGP107" s="4"/>
      <c r="NGQ107" s="4"/>
      <c r="NGR107" s="4"/>
      <c r="NGS107" s="4"/>
      <c r="NGT107" s="4"/>
      <c r="NGU107" s="4"/>
      <c r="NGV107" s="4"/>
      <c r="NGW107" s="4"/>
      <c r="NGX107" s="4"/>
      <c r="NGY107" s="4"/>
      <c r="NGZ107" s="4"/>
      <c r="NHA107" s="4"/>
      <c r="NHB107" s="4"/>
      <c r="NHC107" s="4"/>
      <c r="NHD107" s="4"/>
      <c r="NHE107" s="4"/>
      <c r="NHF107" s="4"/>
      <c r="NHG107" s="4"/>
      <c r="NHH107" s="4"/>
      <c r="NHI107" s="4"/>
      <c r="NHJ107" s="4"/>
      <c r="NHK107" s="4"/>
      <c r="NHL107" s="4"/>
      <c r="NHM107" s="4"/>
      <c r="NHN107" s="4"/>
      <c r="NHO107" s="4"/>
      <c r="NHP107" s="4"/>
      <c r="NHQ107" s="4"/>
      <c r="NHR107" s="4"/>
      <c r="NHS107" s="4"/>
      <c r="NHT107" s="4"/>
      <c r="NHU107" s="4"/>
      <c r="NHV107" s="4"/>
      <c r="NHW107" s="4"/>
      <c r="NHX107" s="4"/>
      <c r="NHY107" s="4"/>
      <c r="NHZ107" s="4"/>
      <c r="NIA107" s="4"/>
      <c r="NIB107" s="4"/>
      <c r="NIC107" s="4"/>
      <c r="NID107" s="4"/>
      <c r="NIE107" s="4"/>
      <c r="NIF107" s="4"/>
      <c r="NIG107" s="4"/>
      <c r="NIH107" s="4"/>
      <c r="NII107" s="4"/>
      <c r="NIJ107" s="4"/>
      <c r="NIK107" s="4"/>
      <c r="NIL107" s="4"/>
      <c r="NIM107" s="4"/>
      <c r="NIN107" s="4"/>
      <c r="NIO107" s="4"/>
      <c r="NIP107" s="4"/>
      <c r="NIQ107" s="4"/>
      <c r="NIR107" s="4"/>
      <c r="NIS107" s="4"/>
      <c r="NIT107" s="4"/>
      <c r="NIU107" s="4"/>
      <c r="NIV107" s="4"/>
      <c r="NIW107" s="4"/>
      <c r="NIX107" s="4"/>
      <c r="NIY107" s="4"/>
      <c r="NIZ107" s="4"/>
      <c r="NJA107" s="4"/>
      <c r="NJB107" s="4"/>
      <c r="NJC107" s="4"/>
      <c r="NJD107" s="4"/>
      <c r="NJE107" s="4"/>
      <c r="NJF107" s="4"/>
      <c r="NJG107" s="4"/>
      <c r="NJH107" s="4"/>
      <c r="NJI107" s="4"/>
      <c r="NJJ107" s="4"/>
      <c r="NJK107" s="4"/>
      <c r="NJL107" s="4"/>
      <c r="NJM107" s="4"/>
      <c r="NJN107" s="4"/>
      <c r="NJO107" s="4"/>
      <c r="NJP107" s="4"/>
      <c r="NJQ107" s="4"/>
      <c r="NJR107" s="4"/>
      <c r="NJS107" s="4"/>
      <c r="NJT107" s="4"/>
      <c r="NJU107" s="4"/>
      <c r="NJV107" s="4"/>
      <c r="NJW107" s="4"/>
      <c r="NJX107" s="4"/>
      <c r="NJY107" s="4"/>
      <c r="NJZ107" s="4"/>
      <c r="NKA107" s="4"/>
      <c r="NKB107" s="4"/>
      <c r="NKC107" s="4"/>
      <c r="NKD107" s="4"/>
      <c r="NKE107" s="4"/>
      <c r="NKF107" s="4"/>
      <c r="NKG107" s="4"/>
      <c r="NKH107" s="4"/>
      <c r="NKI107" s="4"/>
      <c r="NKJ107" s="4"/>
      <c r="NKK107" s="4"/>
      <c r="NKL107" s="4"/>
      <c r="NKM107" s="4"/>
      <c r="NKN107" s="4"/>
      <c r="NKO107" s="4"/>
      <c r="NKP107" s="4"/>
      <c r="NKQ107" s="4"/>
      <c r="NKR107" s="4"/>
      <c r="NKS107" s="4"/>
      <c r="NKT107" s="4"/>
      <c r="NKU107" s="4"/>
      <c r="NKV107" s="4"/>
      <c r="NKW107" s="4"/>
      <c r="NKX107" s="4"/>
      <c r="NKY107" s="4"/>
      <c r="NKZ107" s="4"/>
      <c r="NLA107" s="4"/>
      <c r="NLB107" s="4"/>
      <c r="NLC107" s="4"/>
      <c r="NLD107" s="4"/>
      <c r="NLE107" s="4"/>
      <c r="NLF107" s="4"/>
      <c r="NLG107" s="4"/>
      <c r="NLH107" s="4"/>
      <c r="NLI107" s="4"/>
      <c r="NLJ107" s="4"/>
      <c r="NLK107" s="4"/>
      <c r="NLL107" s="4"/>
      <c r="NLM107" s="4"/>
      <c r="NLN107" s="4"/>
      <c r="NLO107" s="4"/>
      <c r="NLP107" s="4"/>
      <c r="NLQ107" s="4"/>
      <c r="NLR107" s="4"/>
      <c r="NLS107" s="4"/>
      <c r="NLT107" s="4"/>
      <c r="NLU107" s="4"/>
      <c r="NLV107" s="4"/>
      <c r="NLW107" s="4"/>
      <c r="NLX107" s="4"/>
      <c r="NLY107" s="4"/>
      <c r="NLZ107" s="4"/>
      <c r="NMA107" s="4"/>
      <c r="NMB107" s="4"/>
      <c r="NMC107" s="4"/>
      <c r="NMD107" s="4"/>
      <c r="NME107" s="4"/>
      <c r="NMF107" s="4"/>
      <c r="NMG107" s="4"/>
      <c r="NMH107" s="4"/>
      <c r="NMI107" s="4"/>
      <c r="NMJ107" s="4"/>
      <c r="NMK107" s="4"/>
      <c r="NML107" s="4"/>
      <c r="NMM107" s="4"/>
      <c r="NMN107" s="4"/>
      <c r="NMO107" s="4"/>
      <c r="NMP107" s="4"/>
      <c r="NMQ107" s="4"/>
      <c r="NMR107" s="4"/>
      <c r="NMS107" s="4"/>
      <c r="NMT107" s="4"/>
      <c r="NMU107" s="4"/>
      <c r="NMV107" s="4"/>
      <c r="NMW107" s="4"/>
      <c r="NMX107" s="4"/>
      <c r="NMY107" s="4"/>
      <c r="NMZ107" s="4"/>
      <c r="NNA107" s="4"/>
      <c r="NNB107" s="4"/>
      <c r="NNC107" s="4"/>
      <c r="NND107" s="4"/>
      <c r="NNE107" s="4"/>
      <c r="NNF107" s="4"/>
      <c r="NNG107" s="4"/>
      <c r="NNH107" s="4"/>
      <c r="NNI107" s="4"/>
      <c r="NNJ107" s="4"/>
      <c r="NNK107" s="4"/>
      <c r="NNL107" s="4"/>
      <c r="NNM107" s="4"/>
      <c r="NNN107" s="4"/>
      <c r="NNO107" s="4"/>
      <c r="NNP107" s="4"/>
      <c r="NNQ107" s="4"/>
      <c r="NNR107" s="4"/>
      <c r="NNS107" s="4"/>
      <c r="NNT107" s="4"/>
      <c r="NNU107" s="4"/>
      <c r="NNV107" s="4"/>
      <c r="NNW107" s="4"/>
      <c r="NNX107" s="4"/>
      <c r="NNY107" s="4"/>
      <c r="NNZ107" s="4"/>
      <c r="NOA107" s="4"/>
      <c r="NOB107" s="4"/>
      <c r="NOC107" s="4"/>
      <c r="NOD107" s="4"/>
      <c r="NOE107" s="4"/>
      <c r="NOF107" s="4"/>
      <c r="NOG107" s="4"/>
      <c r="NOH107" s="4"/>
      <c r="NOI107" s="4"/>
      <c r="NOJ107" s="4"/>
      <c r="NOK107" s="4"/>
      <c r="NOL107" s="4"/>
      <c r="NOM107" s="4"/>
      <c r="NON107" s="4"/>
      <c r="NOO107" s="4"/>
      <c r="NOP107" s="4"/>
      <c r="NOQ107" s="4"/>
      <c r="NOR107" s="4"/>
      <c r="NOS107" s="4"/>
      <c r="NOT107" s="4"/>
      <c r="NOU107" s="4"/>
      <c r="NOV107" s="4"/>
      <c r="NOW107" s="4"/>
      <c r="NOX107" s="4"/>
      <c r="NOY107" s="4"/>
      <c r="NOZ107" s="4"/>
      <c r="NPA107" s="4"/>
      <c r="NPB107" s="4"/>
      <c r="NPC107" s="4"/>
      <c r="NPD107" s="4"/>
      <c r="NPE107" s="4"/>
      <c r="NPF107" s="4"/>
      <c r="NPG107" s="4"/>
      <c r="NPH107" s="4"/>
      <c r="NPI107" s="4"/>
      <c r="NPJ107" s="4"/>
      <c r="NPK107" s="4"/>
      <c r="NPL107" s="4"/>
      <c r="NPM107" s="4"/>
      <c r="NPN107" s="4"/>
      <c r="NPO107" s="4"/>
      <c r="NPP107" s="4"/>
      <c r="NPQ107" s="4"/>
      <c r="NPR107" s="4"/>
      <c r="NPS107" s="4"/>
      <c r="NPT107" s="4"/>
      <c r="NPU107" s="4"/>
      <c r="NPV107" s="4"/>
      <c r="NPW107" s="4"/>
      <c r="NPX107" s="4"/>
      <c r="NPY107" s="4"/>
      <c r="NPZ107" s="4"/>
      <c r="NQA107" s="4"/>
      <c r="NQB107" s="4"/>
      <c r="NQC107" s="4"/>
      <c r="NQD107" s="4"/>
      <c r="NQE107" s="4"/>
      <c r="NQF107" s="4"/>
      <c r="NQG107" s="4"/>
      <c r="NQH107" s="4"/>
      <c r="NQI107" s="4"/>
      <c r="NQJ107" s="4"/>
      <c r="NQK107" s="4"/>
      <c r="NQL107" s="4"/>
      <c r="NQM107" s="4"/>
      <c r="NQN107" s="4"/>
      <c r="NQO107" s="4"/>
      <c r="NQP107" s="4"/>
      <c r="NQQ107" s="4"/>
      <c r="NQR107" s="4"/>
      <c r="NQS107" s="4"/>
      <c r="NQT107" s="4"/>
      <c r="NQU107" s="4"/>
      <c r="NQV107" s="4"/>
      <c r="NQW107" s="4"/>
      <c r="NQX107" s="4"/>
      <c r="NQY107" s="4"/>
      <c r="NQZ107" s="4"/>
      <c r="NRA107" s="4"/>
      <c r="NRB107" s="4"/>
      <c r="NRC107" s="4"/>
      <c r="NRD107" s="4"/>
      <c r="NRE107" s="4"/>
      <c r="NRF107" s="4"/>
      <c r="NRG107" s="4"/>
      <c r="NRH107" s="4"/>
      <c r="NRI107" s="4"/>
      <c r="NRJ107" s="4"/>
      <c r="NRK107" s="4"/>
      <c r="NRL107" s="4"/>
      <c r="NRM107" s="4"/>
      <c r="NRN107" s="4"/>
      <c r="NRO107" s="4"/>
      <c r="NRP107" s="4"/>
      <c r="NRQ107" s="4"/>
      <c r="NRR107" s="4"/>
      <c r="NRS107" s="4"/>
      <c r="NRT107" s="4"/>
      <c r="NRU107" s="4"/>
      <c r="NRV107" s="4"/>
      <c r="NRW107" s="4"/>
      <c r="NRX107" s="4"/>
      <c r="NRY107" s="4"/>
      <c r="NRZ107" s="4"/>
      <c r="NSA107" s="4"/>
      <c r="NSB107" s="4"/>
      <c r="NSC107" s="4"/>
      <c r="NSD107" s="4"/>
      <c r="NSE107" s="4"/>
      <c r="NSF107" s="4"/>
      <c r="NSG107" s="4"/>
      <c r="NSH107" s="4"/>
      <c r="NSI107" s="4"/>
      <c r="NSJ107" s="4"/>
      <c r="NSK107" s="4"/>
      <c r="NSL107" s="4"/>
      <c r="NSM107" s="4"/>
      <c r="NSN107" s="4"/>
      <c r="NSO107" s="4"/>
      <c r="NSP107" s="4"/>
      <c r="NSQ107" s="4"/>
      <c r="NSR107" s="4"/>
      <c r="NSS107" s="4"/>
      <c r="NST107" s="4"/>
      <c r="NSU107" s="4"/>
      <c r="NSV107" s="4"/>
      <c r="NSW107" s="4"/>
      <c r="NSX107" s="4"/>
      <c r="NSY107" s="4"/>
      <c r="NSZ107" s="4"/>
      <c r="NTA107" s="4"/>
      <c r="NTB107" s="4"/>
      <c r="NTC107" s="4"/>
      <c r="NTD107" s="4"/>
      <c r="NTE107" s="4"/>
      <c r="NTF107" s="4"/>
      <c r="NTG107" s="4"/>
      <c r="NTH107" s="4"/>
      <c r="NTI107" s="4"/>
      <c r="NTJ107" s="4"/>
      <c r="NTK107" s="4"/>
      <c r="NTL107" s="4"/>
      <c r="NTM107" s="4"/>
      <c r="NTN107" s="4"/>
      <c r="NTO107" s="4"/>
      <c r="NTP107" s="4"/>
      <c r="NTQ107" s="4"/>
      <c r="NTR107" s="4"/>
      <c r="NTS107" s="4"/>
      <c r="NTT107" s="4"/>
      <c r="NTU107" s="4"/>
      <c r="NTV107" s="4"/>
      <c r="NTW107" s="4"/>
      <c r="NTX107" s="4"/>
      <c r="NTY107" s="4"/>
      <c r="NTZ107" s="4"/>
      <c r="NUA107" s="4"/>
      <c r="NUB107" s="4"/>
      <c r="NUC107" s="4"/>
      <c r="NUD107" s="4"/>
      <c r="NUE107" s="4"/>
      <c r="NUF107" s="4"/>
      <c r="NUG107" s="4"/>
      <c r="NUH107" s="4"/>
      <c r="NUI107" s="4"/>
      <c r="NUJ107" s="4"/>
      <c r="NUK107" s="4"/>
      <c r="NUL107" s="4"/>
      <c r="NUM107" s="4"/>
      <c r="NUN107" s="4"/>
      <c r="NUO107" s="4"/>
      <c r="NUP107" s="4"/>
      <c r="NUQ107" s="4"/>
      <c r="NUR107" s="4"/>
      <c r="NUS107" s="4"/>
      <c r="NUT107" s="4"/>
      <c r="NUU107" s="4"/>
      <c r="NUV107" s="4"/>
      <c r="NUW107" s="4"/>
      <c r="NUX107" s="4"/>
      <c r="NUY107" s="4"/>
      <c r="NUZ107" s="4"/>
      <c r="NVA107" s="4"/>
      <c r="NVB107" s="4"/>
      <c r="NVC107" s="4"/>
      <c r="NVD107" s="4"/>
      <c r="NVE107" s="4"/>
      <c r="NVF107" s="4"/>
      <c r="NVG107" s="4"/>
      <c r="NVH107" s="4"/>
      <c r="NVI107" s="4"/>
      <c r="NVJ107" s="4"/>
      <c r="NVK107" s="4"/>
      <c r="NVL107" s="4"/>
      <c r="NVM107" s="4"/>
      <c r="NVN107" s="4"/>
      <c r="NVO107" s="4"/>
      <c r="NVP107" s="4"/>
      <c r="NVQ107" s="4"/>
      <c r="NVR107" s="4"/>
      <c r="NVS107" s="4"/>
      <c r="NVT107" s="4"/>
      <c r="NVU107" s="4"/>
      <c r="NVV107" s="4"/>
      <c r="NVW107" s="4"/>
      <c r="NVX107" s="4"/>
      <c r="NVY107" s="4"/>
      <c r="NVZ107" s="4"/>
      <c r="NWA107" s="4"/>
      <c r="NWB107" s="4"/>
      <c r="NWC107" s="4"/>
      <c r="NWD107" s="4"/>
      <c r="NWE107" s="4"/>
      <c r="NWF107" s="4"/>
      <c r="NWG107" s="4"/>
      <c r="NWH107" s="4"/>
      <c r="NWI107" s="4"/>
      <c r="NWJ107" s="4"/>
      <c r="NWK107" s="4"/>
      <c r="NWL107" s="4"/>
      <c r="NWM107" s="4"/>
      <c r="NWN107" s="4"/>
      <c r="NWO107" s="4"/>
      <c r="NWP107" s="4"/>
      <c r="NWQ107" s="4"/>
      <c r="NWR107" s="4"/>
      <c r="NWS107" s="4"/>
      <c r="NWT107" s="4"/>
      <c r="NWU107" s="4"/>
      <c r="NWV107" s="4"/>
      <c r="NWW107" s="4"/>
      <c r="NWX107" s="4"/>
      <c r="NWY107" s="4"/>
      <c r="NWZ107" s="4"/>
      <c r="NXA107" s="4"/>
      <c r="NXB107" s="4"/>
      <c r="NXC107" s="4"/>
      <c r="NXD107" s="4"/>
      <c r="NXE107" s="4"/>
      <c r="NXF107" s="4"/>
      <c r="NXG107" s="4"/>
      <c r="NXH107" s="4"/>
      <c r="NXI107" s="4"/>
      <c r="NXJ107" s="4"/>
      <c r="NXK107" s="4"/>
      <c r="NXL107" s="4"/>
      <c r="NXM107" s="4"/>
      <c r="NXN107" s="4"/>
      <c r="NXO107" s="4"/>
      <c r="NXP107" s="4"/>
      <c r="NXQ107" s="4"/>
      <c r="NXR107" s="4"/>
      <c r="NXS107" s="4"/>
      <c r="NXT107" s="4"/>
      <c r="NXU107" s="4"/>
      <c r="NXV107" s="4"/>
      <c r="NXW107" s="4"/>
      <c r="NXX107" s="4"/>
      <c r="NXY107" s="4"/>
      <c r="NXZ107" s="4"/>
      <c r="NYA107" s="4"/>
      <c r="NYB107" s="4"/>
      <c r="NYC107" s="4"/>
      <c r="NYD107" s="4"/>
      <c r="NYE107" s="4"/>
      <c r="NYF107" s="4"/>
      <c r="NYG107" s="4"/>
      <c r="NYH107" s="4"/>
      <c r="NYI107" s="4"/>
      <c r="NYJ107" s="4"/>
      <c r="NYK107" s="4"/>
      <c r="NYL107" s="4"/>
      <c r="NYM107" s="4"/>
      <c r="NYN107" s="4"/>
      <c r="NYO107" s="4"/>
      <c r="NYP107" s="4"/>
      <c r="NYQ107" s="4"/>
      <c r="NYR107" s="4"/>
      <c r="NYS107" s="4"/>
      <c r="NYT107" s="4"/>
      <c r="NYU107" s="4"/>
      <c r="NYV107" s="4"/>
      <c r="NYW107" s="4"/>
      <c r="NYX107" s="4"/>
      <c r="NYY107" s="4"/>
      <c r="NYZ107" s="4"/>
      <c r="NZA107" s="4"/>
      <c r="NZB107" s="4"/>
      <c r="NZC107" s="4"/>
      <c r="NZD107" s="4"/>
      <c r="NZE107" s="4"/>
      <c r="NZF107" s="4"/>
      <c r="NZG107" s="4"/>
      <c r="NZH107" s="4"/>
      <c r="NZI107" s="4"/>
      <c r="NZJ107" s="4"/>
      <c r="NZK107" s="4"/>
      <c r="NZL107" s="4"/>
      <c r="NZM107" s="4"/>
      <c r="NZN107" s="4"/>
      <c r="NZO107" s="4"/>
      <c r="NZP107" s="4"/>
      <c r="NZQ107" s="4"/>
      <c r="NZR107" s="4"/>
      <c r="NZS107" s="4"/>
      <c r="NZT107" s="4"/>
      <c r="NZU107" s="4"/>
      <c r="NZV107" s="4"/>
      <c r="NZW107" s="4"/>
      <c r="NZX107" s="4"/>
      <c r="NZY107" s="4"/>
      <c r="NZZ107" s="4"/>
      <c r="OAA107" s="4"/>
      <c r="OAB107" s="4"/>
      <c r="OAC107" s="4"/>
      <c r="OAD107" s="4"/>
      <c r="OAE107" s="4"/>
      <c r="OAF107" s="4"/>
      <c r="OAG107" s="4"/>
      <c r="OAH107" s="4"/>
      <c r="OAI107" s="4"/>
      <c r="OAJ107" s="4"/>
      <c r="OAK107" s="4"/>
      <c r="OAL107" s="4"/>
      <c r="OAM107" s="4"/>
      <c r="OAN107" s="4"/>
      <c r="OAO107" s="4"/>
      <c r="OAP107" s="4"/>
      <c r="OAQ107" s="4"/>
      <c r="OAR107" s="4"/>
      <c r="OAS107" s="4"/>
      <c r="OAT107" s="4"/>
      <c r="OAU107" s="4"/>
      <c r="OAV107" s="4"/>
      <c r="OAW107" s="4"/>
      <c r="OAX107" s="4"/>
      <c r="OAY107" s="4"/>
      <c r="OAZ107" s="4"/>
      <c r="OBA107" s="4"/>
      <c r="OBB107" s="4"/>
      <c r="OBC107" s="4"/>
      <c r="OBD107" s="4"/>
      <c r="OBE107" s="4"/>
      <c r="OBF107" s="4"/>
      <c r="OBG107" s="4"/>
      <c r="OBH107" s="4"/>
      <c r="OBI107" s="4"/>
      <c r="OBJ107" s="4"/>
      <c r="OBK107" s="4"/>
      <c r="OBL107" s="4"/>
      <c r="OBM107" s="4"/>
      <c r="OBN107" s="4"/>
      <c r="OBO107" s="4"/>
      <c r="OBP107" s="4"/>
      <c r="OBQ107" s="4"/>
      <c r="OBR107" s="4"/>
      <c r="OBS107" s="4"/>
      <c r="OBT107" s="4"/>
      <c r="OBU107" s="4"/>
      <c r="OBV107" s="4"/>
      <c r="OBW107" s="4"/>
      <c r="OBX107" s="4"/>
      <c r="OBY107" s="4"/>
      <c r="OBZ107" s="4"/>
      <c r="OCA107" s="4"/>
      <c r="OCB107" s="4"/>
      <c r="OCC107" s="4"/>
      <c r="OCD107" s="4"/>
      <c r="OCE107" s="4"/>
      <c r="OCF107" s="4"/>
      <c r="OCG107" s="4"/>
      <c r="OCH107" s="4"/>
      <c r="OCI107" s="4"/>
      <c r="OCJ107" s="4"/>
      <c r="OCK107" s="4"/>
      <c r="OCL107" s="4"/>
      <c r="OCM107" s="4"/>
      <c r="OCN107" s="4"/>
      <c r="OCO107" s="4"/>
      <c r="OCP107" s="4"/>
      <c r="OCQ107" s="4"/>
      <c r="OCR107" s="4"/>
      <c r="OCS107" s="4"/>
      <c r="OCT107" s="4"/>
      <c r="OCU107" s="4"/>
      <c r="OCV107" s="4"/>
      <c r="OCW107" s="4"/>
      <c r="OCX107" s="4"/>
      <c r="OCY107" s="4"/>
      <c r="OCZ107" s="4"/>
      <c r="ODA107" s="4"/>
      <c r="ODB107" s="4"/>
      <c r="ODC107" s="4"/>
      <c r="ODD107" s="4"/>
      <c r="ODE107" s="4"/>
      <c r="ODF107" s="4"/>
      <c r="ODG107" s="4"/>
      <c r="ODH107" s="4"/>
      <c r="ODI107" s="4"/>
      <c r="ODJ107" s="4"/>
      <c r="ODK107" s="4"/>
      <c r="ODL107" s="4"/>
      <c r="ODM107" s="4"/>
      <c r="ODN107" s="4"/>
      <c r="ODO107" s="4"/>
      <c r="ODP107" s="4"/>
      <c r="ODQ107" s="4"/>
      <c r="ODR107" s="4"/>
      <c r="ODS107" s="4"/>
      <c r="ODT107" s="4"/>
      <c r="ODU107" s="4"/>
      <c r="ODV107" s="4"/>
      <c r="ODW107" s="4"/>
      <c r="ODX107" s="4"/>
      <c r="ODY107" s="4"/>
      <c r="ODZ107" s="4"/>
      <c r="OEA107" s="4"/>
      <c r="OEB107" s="4"/>
      <c r="OEC107" s="4"/>
      <c r="OED107" s="4"/>
      <c r="OEE107" s="4"/>
      <c r="OEF107" s="4"/>
      <c r="OEG107" s="4"/>
      <c r="OEH107" s="4"/>
      <c r="OEI107" s="4"/>
      <c r="OEJ107" s="4"/>
      <c r="OEK107" s="4"/>
      <c r="OEL107" s="4"/>
      <c r="OEM107" s="4"/>
      <c r="OEN107" s="4"/>
      <c r="OEO107" s="4"/>
      <c r="OEP107" s="4"/>
      <c r="OEQ107" s="4"/>
      <c r="OER107" s="4"/>
      <c r="OES107" s="4"/>
      <c r="OET107" s="4"/>
      <c r="OEU107" s="4"/>
      <c r="OEV107" s="4"/>
      <c r="OEW107" s="4"/>
      <c r="OEX107" s="4"/>
      <c r="OEY107" s="4"/>
      <c r="OEZ107" s="4"/>
      <c r="OFA107" s="4"/>
      <c r="OFB107" s="4"/>
      <c r="OFC107" s="4"/>
      <c r="OFD107" s="4"/>
      <c r="OFE107" s="4"/>
      <c r="OFF107" s="4"/>
      <c r="OFG107" s="4"/>
      <c r="OFH107" s="4"/>
      <c r="OFI107" s="4"/>
      <c r="OFJ107" s="4"/>
      <c r="OFK107" s="4"/>
      <c r="OFL107" s="4"/>
      <c r="OFM107" s="4"/>
      <c r="OFN107" s="4"/>
      <c r="OFO107" s="4"/>
      <c r="OFP107" s="4"/>
      <c r="OFQ107" s="4"/>
      <c r="OFR107" s="4"/>
      <c r="OFS107" s="4"/>
      <c r="OFT107" s="4"/>
      <c r="OFU107" s="4"/>
      <c r="OFV107" s="4"/>
      <c r="OFW107" s="4"/>
      <c r="OFX107" s="4"/>
      <c r="OFY107" s="4"/>
      <c r="OFZ107" s="4"/>
      <c r="OGA107" s="4"/>
      <c r="OGB107" s="4"/>
      <c r="OGC107" s="4"/>
      <c r="OGD107" s="4"/>
      <c r="OGE107" s="4"/>
      <c r="OGF107" s="4"/>
      <c r="OGG107" s="4"/>
      <c r="OGH107" s="4"/>
      <c r="OGI107" s="4"/>
      <c r="OGJ107" s="4"/>
      <c r="OGK107" s="4"/>
      <c r="OGL107" s="4"/>
      <c r="OGM107" s="4"/>
      <c r="OGN107" s="4"/>
      <c r="OGO107" s="4"/>
      <c r="OGP107" s="4"/>
      <c r="OGQ107" s="4"/>
      <c r="OGR107" s="4"/>
      <c r="OGS107" s="4"/>
      <c r="OGT107" s="4"/>
      <c r="OGU107" s="4"/>
      <c r="OGV107" s="4"/>
      <c r="OGW107" s="4"/>
      <c r="OGX107" s="4"/>
      <c r="OGY107" s="4"/>
      <c r="OGZ107" s="4"/>
      <c r="OHA107" s="4"/>
      <c r="OHB107" s="4"/>
      <c r="OHC107" s="4"/>
      <c r="OHD107" s="4"/>
      <c r="OHE107" s="4"/>
      <c r="OHF107" s="4"/>
      <c r="OHG107" s="4"/>
      <c r="OHH107" s="4"/>
      <c r="OHI107" s="4"/>
      <c r="OHJ107" s="4"/>
      <c r="OHK107" s="4"/>
      <c r="OHL107" s="4"/>
      <c r="OHM107" s="4"/>
      <c r="OHN107" s="4"/>
      <c r="OHO107" s="4"/>
      <c r="OHP107" s="4"/>
      <c r="OHQ107" s="4"/>
      <c r="OHR107" s="4"/>
      <c r="OHS107" s="4"/>
      <c r="OHT107" s="4"/>
      <c r="OHU107" s="4"/>
      <c r="OHV107" s="4"/>
      <c r="OHW107" s="4"/>
      <c r="OHX107" s="4"/>
      <c r="OHY107" s="4"/>
      <c r="OHZ107" s="4"/>
      <c r="OIA107" s="4"/>
      <c r="OIB107" s="4"/>
      <c r="OIC107" s="4"/>
      <c r="OID107" s="4"/>
      <c r="OIE107" s="4"/>
      <c r="OIF107" s="4"/>
      <c r="OIG107" s="4"/>
      <c r="OIH107" s="4"/>
      <c r="OII107" s="4"/>
      <c r="OIJ107" s="4"/>
      <c r="OIK107" s="4"/>
      <c r="OIL107" s="4"/>
      <c r="OIM107" s="4"/>
      <c r="OIN107" s="4"/>
      <c r="OIO107" s="4"/>
      <c r="OIP107" s="4"/>
      <c r="OIQ107" s="4"/>
      <c r="OIR107" s="4"/>
      <c r="OIS107" s="4"/>
      <c r="OIT107" s="4"/>
      <c r="OIU107" s="4"/>
      <c r="OIV107" s="4"/>
      <c r="OIW107" s="4"/>
      <c r="OIX107" s="4"/>
      <c r="OIY107" s="4"/>
      <c r="OIZ107" s="4"/>
      <c r="OJA107" s="4"/>
      <c r="OJB107" s="4"/>
      <c r="OJC107" s="4"/>
      <c r="OJD107" s="4"/>
      <c r="OJE107" s="4"/>
      <c r="OJF107" s="4"/>
      <c r="OJG107" s="4"/>
      <c r="OJH107" s="4"/>
      <c r="OJI107" s="4"/>
      <c r="OJJ107" s="4"/>
      <c r="OJK107" s="4"/>
      <c r="OJL107" s="4"/>
      <c r="OJM107" s="4"/>
      <c r="OJN107" s="4"/>
      <c r="OJO107" s="4"/>
      <c r="OJP107" s="4"/>
      <c r="OJQ107" s="4"/>
      <c r="OJR107" s="4"/>
      <c r="OJS107" s="4"/>
      <c r="OJT107" s="4"/>
      <c r="OJU107" s="4"/>
      <c r="OJV107" s="4"/>
      <c r="OJW107" s="4"/>
      <c r="OJX107" s="4"/>
      <c r="OJY107" s="4"/>
      <c r="OJZ107" s="4"/>
      <c r="OKA107" s="4"/>
      <c r="OKB107" s="4"/>
      <c r="OKC107" s="4"/>
      <c r="OKD107" s="4"/>
      <c r="OKE107" s="4"/>
      <c r="OKF107" s="4"/>
      <c r="OKG107" s="4"/>
      <c r="OKH107" s="4"/>
      <c r="OKI107" s="4"/>
      <c r="OKJ107" s="4"/>
      <c r="OKK107" s="4"/>
      <c r="OKL107" s="4"/>
      <c r="OKM107" s="4"/>
      <c r="OKN107" s="4"/>
      <c r="OKO107" s="4"/>
      <c r="OKP107" s="4"/>
      <c r="OKQ107" s="4"/>
      <c r="OKR107" s="4"/>
      <c r="OKS107" s="4"/>
      <c r="OKT107" s="4"/>
      <c r="OKU107" s="4"/>
      <c r="OKV107" s="4"/>
      <c r="OKW107" s="4"/>
      <c r="OKX107" s="4"/>
      <c r="OKY107" s="4"/>
      <c r="OKZ107" s="4"/>
      <c r="OLA107" s="4"/>
      <c r="OLB107" s="4"/>
      <c r="OLC107" s="4"/>
      <c r="OLD107" s="4"/>
      <c r="OLE107" s="4"/>
      <c r="OLF107" s="4"/>
      <c r="OLG107" s="4"/>
      <c r="OLH107" s="4"/>
      <c r="OLI107" s="4"/>
      <c r="OLJ107" s="4"/>
      <c r="OLK107" s="4"/>
      <c r="OLL107" s="4"/>
      <c r="OLM107" s="4"/>
      <c r="OLN107" s="4"/>
      <c r="OLO107" s="4"/>
      <c r="OLP107" s="4"/>
      <c r="OLQ107" s="4"/>
      <c r="OLR107" s="4"/>
      <c r="OLS107" s="4"/>
      <c r="OLT107" s="4"/>
      <c r="OLU107" s="4"/>
      <c r="OLV107" s="4"/>
      <c r="OLW107" s="4"/>
      <c r="OLX107" s="4"/>
      <c r="OLY107" s="4"/>
      <c r="OLZ107" s="4"/>
      <c r="OMA107" s="4"/>
      <c r="OMB107" s="4"/>
      <c r="OMC107" s="4"/>
      <c r="OMD107" s="4"/>
      <c r="OME107" s="4"/>
      <c r="OMF107" s="4"/>
      <c r="OMG107" s="4"/>
      <c r="OMH107" s="4"/>
      <c r="OMI107" s="4"/>
      <c r="OMJ107" s="4"/>
      <c r="OMK107" s="4"/>
      <c r="OML107" s="4"/>
      <c r="OMM107" s="4"/>
      <c r="OMN107" s="4"/>
      <c r="OMO107" s="4"/>
      <c r="OMP107" s="4"/>
      <c r="OMQ107" s="4"/>
      <c r="OMR107" s="4"/>
      <c r="OMS107" s="4"/>
      <c r="OMT107" s="4"/>
      <c r="OMU107" s="4"/>
      <c r="OMV107" s="4"/>
      <c r="OMW107" s="4"/>
      <c r="OMX107" s="4"/>
      <c r="OMY107" s="4"/>
      <c r="OMZ107" s="4"/>
      <c r="ONA107" s="4"/>
      <c r="ONB107" s="4"/>
      <c r="ONC107" s="4"/>
      <c r="OND107" s="4"/>
      <c r="ONE107" s="4"/>
      <c r="ONF107" s="4"/>
      <c r="ONG107" s="4"/>
      <c r="ONH107" s="4"/>
      <c r="ONI107" s="4"/>
      <c r="ONJ107" s="4"/>
      <c r="ONK107" s="4"/>
      <c r="ONL107" s="4"/>
      <c r="ONM107" s="4"/>
      <c r="ONN107" s="4"/>
      <c r="ONO107" s="4"/>
      <c r="ONP107" s="4"/>
      <c r="ONQ107" s="4"/>
      <c r="ONR107" s="4"/>
      <c r="ONS107" s="4"/>
      <c r="ONT107" s="4"/>
      <c r="ONU107" s="4"/>
      <c r="ONV107" s="4"/>
      <c r="ONW107" s="4"/>
      <c r="ONX107" s="4"/>
      <c r="ONY107" s="4"/>
      <c r="ONZ107" s="4"/>
      <c r="OOA107" s="4"/>
      <c r="OOB107" s="4"/>
      <c r="OOC107" s="4"/>
      <c r="OOD107" s="4"/>
      <c r="OOE107" s="4"/>
      <c r="OOF107" s="4"/>
      <c r="OOG107" s="4"/>
      <c r="OOH107" s="4"/>
      <c r="OOI107" s="4"/>
      <c r="OOJ107" s="4"/>
      <c r="OOK107" s="4"/>
      <c r="OOL107" s="4"/>
      <c r="OOM107" s="4"/>
      <c r="OON107" s="4"/>
      <c r="OOO107" s="4"/>
      <c r="OOP107" s="4"/>
      <c r="OOQ107" s="4"/>
      <c r="OOR107" s="4"/>
      <c r="OOS107" s="4"/>
      <c r="OOT107" s="4"/>
      <c r="OOU107" s="4"/>
      <c r="OOV107" s="4"/>
      <c r="OOW107" s="4"/>
      <c r="OOX107" s="4"/>
      <c r="OOY107" s="4"/>
      <c r="OOZ107" s="4"/>
      <c r="OPA107" s="4"/>
      <c r="OPB107" s="4"/>
      <c r="OPC107" s="4"/>
      <c r="OPD107" s="4"/>
      <c r="OPE107" s="4"/>
      <c r="OPF107" s="4"/>
      <c r="OPG107" s="4"/>
      <c r="OPH107" s="4"/>
      <c r="OPI107" s="4"/>
      <c r="OPJ107" s="4"/>
      <c r="OPK107" s="4"/>
      <c r="OPL107" s="4"/>
      <c r="OPM107" s="4"/>
      <c r="OPN107" s="4"/>
      <c r="OPO107" s="4"/>
      <c r="OPP107" s="4"/>
      <c r="OPQ107" s="4"/>
      <c r="OPR107" s="4"/>
      <c r="OPS107" s="4"/>
      <c r="OPT107" s="4"/>
      <c r="OPU107" s="4"/>
      <c r="OPV107" s="4"/>
      <c r="OPW107" s="4"/>
      <c r="OPX107" s="4"/>
      <c r="OPY107" s="4"/>
      <c r="OPZ107" s="4"/>
      <c r="OQA107" s="4"/>
      <c r="OQB107" s="4"/>
      <c r="OQC107" s="4"/>
      <c r="OQD107" s="4"/>
      <c r="OQE107" s="4"/>
      <c r="OQF107" s="4"/>
      <c r="OQG107" s="4"/>
      <c r="OQH107" s="4"/>
      <c r="OQI107" s="4"/>
      <c r="OQJ107" s="4"/>
      <c r="OQK107" s="4"/>
      <c r="OQL107" s="4"/>
      <c r="OQM107" s="4"/>
      <c r="OQN107" s="4"/>
      <c r="OQO107" s="4"/>
      <c r="OQP107" s="4"/>
      <c r="OQQ107" s="4"/>
      <c r="OQR107" s="4"/>
      <c r="OQS107" s="4"/>
      <c r="OQT107" s="4"/>
      <c r="OQU107" s="4"/>
      <c r="OQV107" s="4"/>
      <c r="OQW107" s="4"/>
      <c r="OQX107" s="4"/>
      <c r="OQY107" s="4"/>
      <c r="OQZ107" s="4"/>
      <c r="ORA107" s="4"/>
      <c r="ORB107" s="4"/>
      <c r="ORC107" s="4"/>
      <c r="ORD107" s="4"/>
      <c r="ORE107" s="4"/>
      <c r="ORF107" s="4"/>
      <c r="ORG107" s="4"/>
      <c r="ORH107" s="4"/>
      <c r="ORI107" s="4"/>
      <c r="ORJ107" s="4"/>
      <c r="ORK107" s="4"/>
      <c r="ORL107" s="4"/>
      <c r="ORM107" s="4"/>
      <c r="ORN107" s="4"/>
      <c r="ORO107" s="4"/>
      <c r="ORP107" s="4"/>
      <c r="ORQ107" s="4"/>
      <c r="ORR107" s="4"/>
      <c r="ORS107" s="4"/>
      <c r="ORT107" s="4"/>
      <c r="ORU107" s="4"/>
      <c r="ORV107" s="4"/>
      <c r="ORW107" s="4"/>
      <c r="ORX107" s="4"/>
      <c r="ORY107" s="4"/>
      <c r="ORZ107" s="4"/>
      <c r="OSA107" s="4"/>
      <c r="OSB107" s="4"/>
      <c r="OSC107" s="4"/>
      <c r="OSD107" s="4"/>
      <c r="OSE107" s="4"/>
      <c r="OSF107" s="4"/>
      <c r="OSG107" s="4"/>
      <c r="OSH107" s="4"/>
      <c r="OSI107" s="4"/>
      <c r="OSJ107" s="4"/>
      <c r="OSK107" s="4"/>
      <c r="OSL107" s="4"/>
      <c r="OSM107" s="4"/>
      <c r="OSN107" s="4"/>
      <c r="OSO107" s="4"/>
      <c r="OSP107" s="4"/>
      <c r="OSQ107" s="4"/>
      <c r="OSR107" s="4"/>
      <c r="OSS107" s="4"/>
      <c r="OST107" s="4"/>
      <c r="OSU107" s="4"/>
      <c r="OSV107" s="4"/>
      <c r="OSW107" s="4"/>
      <c r="OSX107" s="4"/>
      <c r="OSY107" s="4"/>
      <c r="OSZ107" s="4"/>
      <c r="OTA107" s="4"/>
      <c r="OTB107" s="4"/>
      <c r="OTC107" s="4"/>
      <c r="OTD107" s="4"/>
      <c r="OTE107" s="4"/>
      <c r="OTF107" s="4"/>
      <c r="OTG107" s="4"/>
      <c r="OTH107" s="4"/>
      <c r="OTI107" s="4"/>
      <c r="OTJ107" s="4"/>
      <c r="OTK107" s="4"/>
      <c r="OTL107" s="4"/>
      <c r="OTM107" s="4"/>
      <c r="OTN107" s="4"/>
      <c r="OTO107" s="4"/>
      <c r="OTP107" s="4"/>
      <c r="OTQ107" s="4"/>
      <c r="OTR107" s="4"/>
      <c r="OTS107" s="4"/>
      <c r="OTT107" s="4"/>
      <c r="OTU107" s="4"/>
      <c r="OTV107" s="4"/>
      <c r="OTW107" s="4"/>
      <c r="OTX107" s="4"/>
      <c r="OTY107" s="4"/>
      <c r="OTZ107" s="4"/>
      <c r="OUA107" s="4"/>
      <c r="OUB107" s="4"/>
      <c r="OUC107" s="4"/>
      <c r="OUD107" s="4"/>
      <c r="OUE107" s="4"/>
      <c r="OUF107" s="4"/>
      <c r="OUG107" s="4"/>
      <c r="OUH107" s="4"/>
      <c r="OUI107" s="4"/>
      <c r="OUJ107" s="4"/>
      <c r="OUK107" s="4"/>
      <c r="OUL107" s="4"/>
      <c r="OUM107" s="4"/>
      <c r="OUN107" s="4"/>
      <c r="OUO107" s="4"/>
      <c r="OUP107" s="4"/>
      <c r="OUQ107" s="4"/>
      <c r="OUR107" s="4"/>
      <c r="OUS107" s="4"/>
      <c r="OUT107" s="4"/>
      <c r="OUU107" s="4"/>
      <c r="OUV107" s="4"/>
      <c r="OUW107" s="4"/>
      <c r="OUX107" s="4"/>
      <c r="OUY107" s="4"/>
      <c r="OUZ107" s="4"/>
      <c r="OVA107" s="4"/>
      <c r="OVB107" s="4"/>
      <c r="OVC107" s="4"/>
      <c r="OVD107" s="4"/>
      <c r="OVE107" s="4"/>
      <c r="OVF107" s="4"/>
      <c r="OVG107" s="4"/>
      <c r="OVH107" s="4"/>
      <c r="OVI107" s="4"/>
      <c r="OVJ107" s="4"/>
      <c r="OVK107" s="4"/>
      <c r="OVL107" s="4"/>
      <c r="OVM107" s="4"/>
      <c r="OVN107" s="4"/>
      <c r="OVO107" s="4"/>
      <c r="OVP107" s="4"/>
      <c r="OVQ107" s="4"/>
      <c r="OVR107" s="4"/>
      <c r="OVS107" s="4"/>
      <c r="OVT107" s="4"/>
      <c r="OVU107" s="4"/>
      <c r="OVV107" s="4"/>
      <c r="OVW107" s="4"/>
      <c r="OVX107" s="4"/>
      <c r="OVY107" s="4"/>
      <c r="OVZ107" s="4"/>
      <c r="OWA107" s="4"/>
      <c r="OWB107" s="4"/>
      <c r="OWC107" s="4"/>
      <c r="OWD107" s="4"/>
      <c r="OWE107" s="4"/>
      <c r="OWF107" s="4"/>
      <c r="OWG107" s="4"/>
      <c r="OWH107" s="4"/>
      <c r="OWI107" s="4"/>
      <c r="OWJ107" s="4"/>
      <c r="OWK107" s="4"/>
      <c r="OWL107" s="4"/>
      <c r="OWM107" s="4"/>
      <c r="OWN107" s="4"/>
      <c r="OWO107" s="4"/>
      <c r="OWP107" s="4"/>
      <c r="OWQ107" s="4"/>
      <c r="OWR107" s="4"/>
      <c r="OWS107" s="4"/>
      <c r="OWT107" s="4"/>
      <c r="OWU107" s="4"/>
      <c r="OWV107" s="4"/>
      <c r="OWW107" s="4"/>
      <c r="OWX107" s="4"/>
      <c r="OWY107" s="4"/>
      <c r="OWZ107" s="4"/>
      <c r="OXA107" s="4"/>
      <c r="OXB107" s="4"/>
      <c r="OXC107" s="4"/>
      <c r="OXD107" s="4"/>
      <c r="OXE107" s="4"/>
      <c r="OXF107" s="4"/>
      <c r="OXG107" s="4"/>
      <c r="OXH107" s="4"/>
      <c r="OXI107" s="4"/>
      <c r="OXJ107" s="4"/>
      <c r="OXK107" s="4"/>
      <c r="OXL107" s="4"/>
      <c r="OXM107" s="4"/>
      <c r="OXN107" s="4"/>
      <c r="OXO107" s="4"/>
      <c r="OXP107" s="4"/>
      <c r="OXQ107" s="4"/>
      <c r="OXR107" s="4"/>
      <c r="OXS107" s="4"/>
      <c r="OXT107" s="4"/>
      <c r="OXU107" s="4"/>
      <c r="OXV107" s="4"/>
      <c r="OXW107" s="4"/>
      <c r="OXX107" s="4"/>
      <c r="OXY107" s="4"/>
      <c r="OXZ107" s="4"/>
      <c r="OYA107" s="4"/>
      <c r="OYB107" s="4"/>
      <c r="OYC107" s="4"/>
      <c r="OYD107" s="4"/>
      <c r="OYE107" s="4"/>
      <c r="OYF107" s="4"/>
      <c r="OYG107" s="4"/>
      <c r="OYH107" s="4"/>
      <c r="OYI107" s="4"/>
      <c r="OYJ107" s="4"/>
      <c r="OYK107" s="4"/>
      <c r="OYL107" s="4"/>
      <c r="OYM107" s="4"/>
      <c r="OYN107" s="4"/>
      <c r="OYO107" s="4"/>
      <c r="OYP107" s="4"/>
      <c r="OYQ107" s="4"/>
      <c r="OYR107" s="4"/>
      <c r="OYS107" s="4"/>
      <c r="OYT107" s="4"/>
      <c r="OYU107" s="4"/>
      <c r="OYV107" s="4"/>
      <c r="OYW107" s="4"/>
      <c r="OYX107" s="4"/>
      <c r="OYY107" s="4"/>
      <c r="OYZ107" s="4"/>
      <c r="OZA107" s="4"/>
      <c r="OZB107" s="4"/>
      <c r="OZC107" s="4"/>
      <c r="OZD107" s="4"/>
      <c r="OZE107" s="4"/>
      <c r="OZF107" s="4"/>
      <c r="OZG107" s="4"/>
      <c r="OZH107" s="4"/>
      <c r="OZI107" s="4"/>
      <c r="OZJ107" s="4"/>
      <c r="OZK107" s="4"/>
      <c r="OZL107" s="4"/>
      <c r="OZM107" s="4"/>
      <c r="OZN107" s="4"/>
      <c r="OZO107" s="4"/>
      <c r="OZP107" s="4"/>
      <c r="OZQ107" s="4"/>
      <c r="OZR107" s="4"/>
      <c r="OZS107" s="4"/>
      <c r="OZT107" s="4"/>
      <c r="OZU107" s="4"/>
      <c r="OZV107" s="4"/>
      <c r="OZW107" s="4"/>
      <c r="OZX107" s="4"/>
      <c r="OZY107" s="4"/>
      <c r="OZZ107" s="4"/>
      <c r="PAA107" s="4"/>
      <c r="PAB107" s="4"/>
      <c r="PAC107" s="4"/>
      <c r="PAD107" s="4"/>
      <c r="PAE107" s="4"/>
      <c r="PAF107" s="4"/>
      <c r="PAG107" s="4"/>
      <c r="PAH107" s="4"/>
      <c r="PAI107" s="4"/>
      <c r="PAJ107" s="4"/>
      <c r="PAK107" s="4"/>
      <c r="PAL107" s="4"/>
      <c r="PAM107" s="4"/>
      <c r="PAN107" s="4"/>
      <c r="PAO107" s="4"/>
      <c r="PAP107" s="4"/>
      <c r="PAQ107" s="4"/>
      <c r="PAR107" s="4"/>
      <c r="PAS107" s="4"/>
      <c r="PAT107" s="4"/>
      <c r="PAU107" s="4"/>
      <c r="PAV107" s="4"/>
      <c r="PAW107" s="4"/>
      <c r="PAX107" s="4"/>
      <c r="PAY107" s="4"/>
      <c r="PAZ107" s="4"/>
      <c r="PBA107" s="4"/>
      <c r="PBB107" s="4"/>
      <c r="PBC107" s="4"/>
      <c r="PBD107" s="4"/>
      <c r="PBE107" s="4"/>
      <c r="PBF107" s="4"/>
      <c r="PBG107" s="4"/>
      <c r="PBH107" s="4"/>
      <c r="PBI107" s="4"/>
      <c r="PBJ107" s="4"/>
      <c r="PBK107" s="4"/>
      <c r="PBL107" s="4"/>
      <c r="PBM107" s="4"/>
      <c r="PBN107" s="4"/>
      <c r="PBO107" s="4"/>
      <c r="PBP107" s="4"/>
      <c r="PBQ107" s="4"/>
      <c r="PBR107" s="4"/>
      <c r="PBS107" s="4"/>
      <c r="PBT107" s="4"/>
      <c r="PBU107" s="4"/>
      <c r="PBV107" s="4"/>
      <c r="PBW107" s="4"/>
      <c r="PBX107" s="4"/>
      <c r="PBY107" s="4"/>
      <c r="PBZ107" s="4"/>
      <c r="PCA107" s="4"/>
      <c r="PCB107" s="4"/>
      <c r="PCC107" s="4"/>
      <c r="PCD107" s="4"/>
      <c r="PCE107" s="4"/>
      <c r="PCF107" s="4"/>
      <c r="PCG107" s="4"/>
      <c r="PCH107" s="4"/>
      <c r="PCI107" s="4"/>
      <c r="PCJ107" s="4"/>
      <c r="PCK107" s="4"/>
      <c r="PCL107" s="4"/>
      <c r="PCM107" s="4"/>
      <c r="PCN107" s="4"/>
      <c r="PCO107" s="4"/>
      <c r="PCP107" s="4"/>
      <c r="PCQ107" s="4"/>
      <c r="PCR107" s="4"/>
      <c r="PCS107" s="4"/>
      <c r="PCT107" s="4"/>
      <c r="PCU107" s="4"/>
      <c r="PCV107" s="4"/>
      <c r="PCW107" s="4"/>
      <c r="PCX107" s="4"/>
      <c r="PCY107" s="4"/>
      <c r="PCZ107" s="4"/>
      <c r="PDA107" s="4"/>
      <c r="PDB107" s="4"/>
      <c r="PDC107" s="4"/>
      <c r="PDD107" s="4"/>
      <c r="PDE107" s="4"/>
      <c r="PDF107" s="4"/>
      <c r="PDG107" s="4"/>
      <c r="PDH107" s="4"/>
      <c r="PDI107" s="4"/>
      <c r="PDJ107" s="4"/>
      <c r="PDK107" s="4"/>
      <c r="PDL107" s="4"/>
      <c r="PDM107" s="4"/>
      <c r="PDN107" s="4"/>
      <c r="PDO107" s="4"/>
      <c r="PDP107" s="4"/>
      <c r="PDQ107" s="4"/>
      <c r="PDR107" s="4"/>
      <c r="PDS107" s="4"/>
      <c r="PDT107" s="4"/>
      <c r="PDU107" s="4"/>
      <c r="PDV107" s="4"/>
      <c r="PDW107" s="4"/>
      <c r="PDX107" s="4"/>
      <c r="PDY107" s="4"/>
      <c r="PDZ107" s="4"/>
      <c r="PEA107" s="4"/>
      <c r="PEB107" s="4"/>
      <c r="PEC107" s="4"/>
      <c r="PED107" s="4"/>
      <c r="PEE107" s="4"/>
      <c r="PEF107" s="4"/>
      <c r="PEG107" s="4"/>
      <c r="PEH107" s="4"/>
      <c r="PEI107" s="4"/>
      <c r="PEJ107" s="4"/>
      <c r="PEK107" s="4"/>
      <c r="PEL107" s="4"/>
      <c r="PEM107" s="4"/>
      <c r="PEN107" s="4"/>
      <c r="PEO107" s="4"/>
      <c r="PEP107" s="4"/>
      <c r="PEQ107" s="4"/>
      <c r="PER107" s="4"/>
      <c r="PES107" s="4"/>
      <c r="PET107" s="4"/>
      <c r="PEU107" s="4"/>
      <c r="PEV107" s="4"/>
      <c r="PEW107" s="4"/>
      <c r="PEX107" s="4"/>
      <c r="PEY107" s="4"/>
      <c r="PEZ107" s="4"/>
      <c r="PFA107" s="4"/>
      <c r="PFB107" s="4"/>
      <c r="PFC107" s="4"/>
      <c r="PFD107" s="4"/>
      <c r="PFE107" s="4"/>
      <c r="PFF107" s="4"/>
      <c r="PFG107" s="4"/>
      <c r="PFH107" s="4"/>
      <c r="PFI107" s="4"/>
      <c r="PFJ107" s="4"/>
      <c r="PFK107" s="4"/>
      <c r="PFL107" s="4"/>
      <c r="PFM107" s="4"/>
      <c r="PFN107" s="4"/>
      <c r="PFO107" s="4"/>
      <c r="PFP107" s="4"/>
      <c r="PFQ107" s="4"/>
      <c r="PFR107" s="4"/>
      <c r="PFS107" s="4"/>
      <c r="PFT107" s="4"/>
      <c r="PFU107" s="4"/>
      <c r="PFV107" s="4"/>
      <c r="PFW107" s="4"/>
      <c r="PFX107" s="4"/>
      <c r="PFY107" s="4"/>
      <c r="PFZ107" s="4"/>
      <c r="PGA107" s="4"/>
      <c r="PGB107" s="4"/>
      <c r="PGC107" s="4"/>
      <c r="PGD107" s="4"/>
      <c r="PGE107" s="4"/>
      <c r="PGF107" s="4"/>
      <c r="PGG107" s="4"/>
      <c r="PGH107" s="4"/>
      <c r="PGI107" s="4"/>
      <c r="PGJ107" s="4"/>
      <c r="PGK107" s="4"/>
      <c r="PGL107" s="4"/>
      <c r="PGM107" s="4"/>
      <c r="PGN107" s="4"/>
      <c r="PGO107" s="4"/>
      <c r="PGP107" s="4"/>
      <c r="PGQ107" s="4"/>
      <c r="PGR107" s="4"/>
      <c r="PGS107" s="4"/>
      <c r="PGT107" s="4"/>
      <c r="PGU107" s="4"/>
      <c r="PGV107" s="4"/>
      <c r="PGW107" s="4"/>
      <c r="PGX107" s="4"/>
      <c r="PGY107" s="4"/>
      <c r="PGZ107" s="4"/>
      <c r="PHA107" s="4"/>
      <c r="PHB107" s="4"/>
      <c r="PHC107" s="4"/>
      <c r="PHD107" s="4"/>
      <c r="PHE107" s="4"/>
      <c r="PHF107" s="4"/>
      <c r="PHG107" s="4"/>
      <c r="PHH107" s="4"/>
      <c r="PHI107" s="4"/>
      <c r="PHJ107" s="4"/>
      <c r="PHK107" s="4"/>
      <c r="PHL107" s="4"/>
      <c r="PHM107" s="4"/>
      <c r="PHN107" s="4"/>
      <c r="PHO107" s="4"/>
      <c r="PHP107" s="4"/>
      <c r="PHQ107" s="4"/>
      <c r="PHR107" s="4"/>
      <c r="PHS107" s="4"/>
      <c r="PHT107" s="4"/>
      <c r="PHU107" s="4"/>
      <c r="PHV107" s="4"/>
      <c r="PHW107" s="4"/>
      <c r="PHX107" s="4"/>
      <c r="PHY107" s="4"/>
      <c r="PHZ107" s="4"/>
      <c r="PIA107" s="4"/>
      <c r="PIB107" s="4"/>
      <c r="PIC107" s="4"/>
      <c r="PID107" s="4"/>
      <c r="PIE107" s="4"/>
      <c r="PIF107" s="4"/>
      <c r="PIG107" s="4"/>
      <c r="PIH107" s="4"/>
      <c r="PII107" s="4"/>
      <c r="PIJ107" s="4"/>
      <c r="PIK107" s="4"/>
      <c r="PIL107" s="4"/>
      <c r="PIM107" s="4"/>
      <c r="PIN107" s="4"/>
      <c r="PIO107" s="4"/>
      <c r="PIP107" s="4"/>
      <c r="PIQ107" s="4"/>
      <c r="PIR107" s="4"/>
      <c r="PIS107" s="4"/>
      <c r="PIT107" s="4"/>
      <c r="PIU107" s="4"/>
      <c r="PIV107" s="4"/>
      <c r="PIW107" s="4"/>
      <c r="PIX107" s="4"/>
      <c r="PIY107" s="4"/>
      <c r="PIZ107" s="4"/>
      <c r="PJA107" s="4"/>
      <c r="PJB107" s="4"/>
      <c r="PJC107" s="4"/>
      <c r="PJD107" s="4"/>
      <c r="PJE107" s="4"/>
      <c r="PJF107" s="4"/>
      <c r="PJG107" s="4"/>
      <c r="PJH107" s="4"/>
      <c r="PJI107" s="4"/>
      <c r="PJJ107" s="4"/>
      <c r="PJK107" s="4"/>
      <c r="PJL107" s="4"/>
      <c r="PJM107" s="4"/>
      <c r="PJN107" s="4"/>
      <c r="PJO107" s="4"/>
      <c r="PJP107" s="4"/>
      <c r="PJQ107" s="4"/>
      <c r="PJR107" s="4"/>
      <c r="PJS107" s="4"/>
      <c r="PJT107" s="4"/>
      <c r="PJU107" s="4"/>
      <c r="PJV107" s="4"/>
      <c r="PJW107" s="4"/>
      <c r="PJX107" s="4"/>
      <c r="PJY107" s="4"/>
      <c r="PJZ107" s="4"/>
      <c r="PKA107" s="4"/>
      <c r="PKB107" s="4"/>
      <c r="PKC107" s="4"/>
      <c r="PKD107" s="4"/>
      <c r="PKE107" s="4"/>
      <c r="PKF107" s="4"/>
      <c r="PKG107" s="4"/>
      <c r="PKH107" s="4"/>
      <c r="PKI107" s="4"/>
      <c r="PKJ107" s="4"/>
      <c r="PKK107" s="4"/>
      <c r="PKL107" s="4"/>
      <c r="PKM107" s="4"/>
      <c r="PKN107" s="4"/>
      <c r="PKO107" s="4"/>
      <c r="PKP107" s="4"/>
      <c r="PKQ107" s="4"/>
      <c r="PKR107" s="4"/>
      <c r="PKS107" s="4"/>
      <c r="PKT107" s="4"/>
      <c r="PKU107" s="4"/>
      <c r="PKV107" s="4"/>
      <c r="PKW107" s="4"/>
      <c r="PKX107" s="4"/>
      <c r="PKY107" s="4"/>
      <c r="PKZ107" s="4"/>
      <c r="PLA107" s="4"/>
      <c r="PLB107" s="4"/>
      <c r="PLC107" s="4"/>
      <c r="PLD107" s="4"/>
      <c r="PLE107" s="4"/>
      <c r="PLF107" s="4"/>
      <c r="PLG107" s="4"/>
      <c r="PLH107" s="4"/>
      <c r="PLI107" s="4"/>
      <c r="PLJ107" s="4"/>
      <c r="PLK107" s="4"/>
      <c r="PLL107" s="4"/>
      <c r="PLM107" s="4"/>
      <c r="PLN107" s="4"/>
      <c r="PLO107" s="4"/>
      <c r="PLP107" s="4"/>
      <c r="PLQ107" s="4"/>
      <c r="PLR107" s="4"/>
      <c r="PLS107" s="4"/>
      <c r="PLT107" s="4"/>
      <c r="PLU107" s="4"/>
      <c r="PLV107" s="4"/>
      <c r="PLW107" s="4"/>
      <c r="PLX107" s="4"/>
      <c r="PLY107" s="4"/>
      <c r="PLZ107" s="4"/>
      <c r="PMA107" s="4"/>
      <c r="PMB107" s="4"/>
      <c r="PMC107" s="4"/>
      <c r="PMD107" s="4"/>
      <c r="PME107" s="4"/>
      <c r="PMF107" s="4"/>
      <c r="PMG107" s="4"/>
      <c r="PMH107" s="4"/>
      <c r="PMI107" s="4"/>
      <c r="PMJ107" s="4"/>
      <c r="PMK107" s="4"/>
      <c r="PML107" s="4"/>
      <c r="PMM107" s="4"/>
      <c r="PMN107" s="4"/>
      <c r="PMO107" s="4"/>
      <c r="PMP107" s="4"/>
      <c r="PMQ107" s="4"/>
      <c r="PMR107" s="4"/>
      <c r="PMS107" s="4"/>
      <c r="PMT107" s="4"/>
      <c r="PMU107" s="4"/>
      <c r="PMV107" s="4"/>
      <c r="PMW107" s="4"/>
      <c r="PMX107" s="4"/>
      <c r="PMY107" s="4"/>
      <c r="PMZ107" s="4"/>
      <c r="PNA107" s="4"/>
      <c r="PNB107" s="4"/>
      <c r="PNC107" s="4"/>
      <c r="PND107" s="4"/>
      <c r="PNE107" s="4"/>
      <c r="PNF107" s="4"/>
      <c r="PNG107" s="4"/>
      <c r="PNH107" s="4"/>
      <c r="PNI107" s="4"/>
      <c r="PNJ107" s="4"/>
      <c r="PNK107" s="4"/>
      <c r="PNL107" s="4"/>
      <c r="PNM107" s="4"/>
      <c r="PNN107" s="4"/>
      <c r="PNO107" s="4"/>
      <c r="PNP107" s="4"/>
      <c r="PNQ107" s="4"/>
      <c r="PNR107" s="4"/>
      <c r="PNS107" s="4"/>
      <c r="PNT107" s="4"/>
      <c r="PNU107" s="4"/>
      <c r="PNV107" s="4"/>
      <c r="PNW107" s="4"/>
      <c r="PNX107" s="4"/>
      <c r="PNY107" s="4"/>
      <c r="PNZ107" s="4"/>
      <c r="POA107" s="4"/>
      <c r="POB107" s="4"/>
      <c r="POC107" s="4"/>
      <c r="POD107" s="4"/>
      <c r="POE107" s="4"/>
      <c r="POF107" s="4"/>
      <c r="POG107" s="4"/>
      <c r="POH107" s="4"/>
      <c r="POI107" s="4"/>
      <c r="POJ107" s="4"/>
      <c r="POK107" s="4"/>
      <c r="POL107" s="4"/>
      <c r="POM107" s="4"/>
      <c r="PON107" s="4"/>
      <c r="POO107" s="4"/>
      <c r="POP107" s="4"/>
      <c r="POQ107" s="4"/>
      <c r="POR107" s="4"/>
      <c r="POS107" s="4"/>
      <c r="POT107" s="4"/>
      <c r="POU107" s="4"/>
      <c r="POV107" s="4"/>
      <c r="POW107" s="4"/>
      <c r="POX107" s="4"/>
      <c r="POY107" s="4"/>
      <c r="POZ107" s="4"/>
      <c r="PPA107" s="4"/>
      <c r="PPB107" s="4"/>
      <c r="PPC107" s="4"/>
      <c r="PPD107" s="4"/>
      <c r="PPE107" s="4"/>
      <c r="PPF107" s="4"/>
      <c r="PPG107" s="4"/>
      <c r="PPH107" s="4"/>
      <c r="PPI107" s="4"/>
      <c r="PPJ107" s="4"/>
      <c r="PPK107" s="4"/>
      <c r="PPL107" s="4"/>
      <c r="PPM107" s="4"/>
      <c r="PPN107" s="4"/>
      <c r="PPO107" s="4"/>
      <c r="PPP107" s="4"/>
      <c r="PPQ107" s="4"/>
      <c r="PPR107" s="4"/>
      <c r="PPS107" s="4"/>
      <c r="PPT107" s="4"/>
      <c r="PPU107" s="4"/>
      <c r="PPV107" s="4"/>
      <c r="PPW107" s="4"/>
      <c r="PPX107" s="4"/>
      <c r="PPY107" s="4"/>
      <c r="PPZ107" s="4"/>
      <c r="PQA107" s="4"/>
      <c r="PQB107" s="4"/>
      <c r="PQC107" s="4"/>
      <c r="PQD107" s="4"/>
      <c r="PQE107" s="4"/>
      <c r="PQF107" s="4"/>
      <c r="PQG107" s="4"/>
      <c r="PQH107" s="4"/>
      <c r="PQI107" s="4"/>
      <c r="PQJ107" s="4"/>
      <c r="PQK107" s="4"/>
      <c r="PQL107" s="4"/>
      <c r="PQM107" s="4"/>
      <c r="PQN107" s="4"/>
      <c r="PQO107" s="4"/>
      <c r="PQP107" s="4"/>
      <c r="PQQ107" s="4"/>
      <c r="PQR107" s="4"/>
      <c r="PQS107" s="4"/>
      <c r="PQT107" s="4"/>
      <c r="PQU107" s="4"/>
      <c r="PQV107" s="4"/>
      <c r="PQW107" s="4"/>
      <c r="PQX107" s="4"/>
      <c r="PQY107" s="4"/>
      <c r="PQZ107" s="4"/>
      <c r="PRA107" s="4"/>
      <c r="PRB107" s="4"/>
      <c r="PRC107" s="4"/>
      <c r="PRD107" s="4"/>
      <c r="PRE107" s="4"/>
      <c r="PRF107" s="4"/>
      <c r="PRG107" s="4"/>
      <c r="PRH107" s="4"/>
      <c r="PRI107" s="4"/>
      <c r="PRJ107" s="4"/>
      <c r="PRK107" s="4"/>
      <c r="PRL107" s="4"/>
      <c r="PRM107" s="4"/>
      <c r="PRN107" s="4"/>
      <c r="PRO107" s="4"/>
      <c r="PRP107" s="4"/>
      <c r="PRQ107" s="4"/>
      <c r="PRR107" s="4"/>
      <c r="PRS107" s="4"/>
      <c r="PRT107" s="4"/>
      <c r="PRU107" s="4"/>
      <c r="PRV107" s="4"/>
      <c r="PRW107" s="4"/>
      <c r="PRX107" s="4"/>
      <c r="PRY107" s="4"/>
      <c r="PRZ107" s="4"/>
      <c r="PSA107" s="4"/>
      <c r="PSB107" s="4"/>
      <c r="PSC107" s="4"/>
      <c r="PSD107" s="4"/>
      <c r="PSE107" s="4"/>
      <c r="PSF107" s="4"/>
      <c r="PSG107" s="4"/>
      <c r="PSH107" s="4"/>
      <c r="PSI107" s="4"/>
      <c r="PSJ107" s="4"/>
      <c r="PSK107" s="4"/>
      <c r="PSL107" s="4"/>
      <c r="PSM107" s="4"/>
      <c r="PSN107" s="4"/>
      <c r="PSO107" s="4"/>
      <c r="PSP107" s="4"/>
      <c r="PSQ107" s="4"/>
      <c r="PSR107" s="4"/>
      <c r="PSS107" s="4"/>
      <c r="PST107" s="4"/>
      <c r="PSU107" s="4"/>
      <c r="PSV107" s="4"/>
      <c r="PSW107" s="4"/>
      <c r="PSX107" s="4"/>
      <c r="PSY107" s="4"/>
      <c r="PSZ107" s="4"/>
      <c r="PTA107" s="4"/>
      <c r="PTB107" s="4"/>
      <c r="PTC107" s="4"/>
      <c r="PTD107" s="4"/>
      <c r="PTE107" s="4"/>
      <c r="PTF107" s="4"/>
      <c r="PTG107" s="4"/>
      <c r="PTH107" s="4"/>
      <c r="PTI107" s="4"/>
      <c r="PTJ107" s="4"/>
      <c r="PTK107" s="4"/>
      <c r="PTL107" s="4"/>
      <c r="PTM107" s="4"/>
      <c r="PTN107" s="4"/>
      <c r="PTO107" s="4"/>
      <c r="PTP107" s="4"/>
      <c r="PTQ107" s="4"/>
      <c r="PTR107" s="4"/>
      <c r="PTS107" s="4"/>
      <c r="PTT107" s="4"/>
      <c r="PTU107" s="4"/>
      <c r="PTV107" s="4"/>
      <c r="PTW107" s="4"/>
      <c r="PTX107" s="4"/>
      <c r="PTY107" s="4"/>
      <c r="PTZ107" s="4"/>
      <c r="PUA107" s="4"/>
      <c r="PUB107" s="4"/>
      <c r="PUC107" s="4"/>
      <c r="PUD107" s="4"/>
      <c r="PUE107" s="4"/>
      <c r="PUF107" s="4"/>
      <c r="PUG107" s="4"/>
      <c r="PUH107" s="4"/>
      <c r="PUI107" s="4"/>
      <c r="PUJ107" s="4"/>
      <c r="PUK107" s="4"/>
      <c r="PUL107" s="4"/>
      <c r="PUM107" s="4"/>
      <c r="PUN107" s="4"/>
      <c r="PUO107" s="4"/>
      <c r="PUP107" s="4"/>
      <c r="PUQ107" s="4"/>
      <c r="PUR107" s="4"/>
      <c r="PUS107" s="4"/>
      <c r="PUT107" s="4"/>
      <c r="PUU107" s="4"/>
      <c r="PUV107" s="4"/>
      <c r="PUW107" s="4"/>
      <c r="PUX107" s="4"/>
      <c r="PUY107" s="4"/>
      <c r="PUZ107" s="4"/>
      <c r="PVA107" s="4"/>
      <c r="PVB107" s="4"/>
      <c r="PVC107" s="4"/>
      <c r="PVD107" s="4"/>
      <c r="PVE107" s="4"/>
      <c r="PVF107" s="4"/>
      <c r="PVG107" s="4"/>
      <c r="PVH107" s="4"/>
      <c r="PVI107" s="4"/>
      <c r="PVJ107" s="4"/>
      <c r="PVK107" s="4"/>
      <c r="PVL107" s="4"/>
      <c r="PVM107" s="4"/>
      <c r="PVN107" s="4"/>
      <c r="PVO107" s="4"/>
      <c r="PVP107" s="4"/>
      <c r="PVQ107" s="4"/>
      <c r="PVR107" s="4"/>
      <c r="PVS107" s="4"/>
      <c r="PVT107" s="4"/>
      <c r="PVU107" s="4"/>
      <c r="PVV107" s="4"/>
      <c r="PVW107" s="4"/>
      <c r="PVX107" s="4"/>
      <c r="PVY107" s="4"/>
      <c r="PVZ107" s="4"/>
      <c r="PWA107" s="4"/>
      <c r="PWB107" s="4"/>
      <c r="PWC107" s="4"/>
      <c r="PWD107" s="4"/>
      <c r="PWE107" s="4"/>
      <c r="PWF107" s="4"/>
      <c r="PWG107" s="4"/>
      <c r="PWH107" s="4"/>
      <c r="PWI107" s="4"/>
      <c r="PWJ107" s="4"/>
      <c r="PWK107" s="4"/>
      <c r="PWL107" s="4"/>
      <c r="PWM107" s="4"/>
      <c r="PWN107" s="4"/>
      <c r="PWO107" s="4"/>
      <c r="PWP107" s="4"/>
      <c r="PWQ107" s="4"/>
      <c r="PWR107" s="4"/>
      <c r="PWS107" s="4"/>
      <c r="PWT107" s="4"/>
      <c r="PWU107" s="4"/>
      <c r="PWV107" s="4"/>
      <c r="PWW107" s="4"/>
      <c r="PWX107" s="4"/>
      <c r="PWY107" s="4"/>
      <c r="PWZ107" s="4"/>
      <c r="PXA107" s="4"/>
      <c r="PXB107" s="4"/>
      <c r="PXC107" s="4"/>
      <c r="PXD107" s="4"/>
      <c r="PXE107" s="4"/>
      <c r="PXF107" s="4"/>
      <c r="PXG107" s="4"/>
      <c r="PXH107" s="4"/>
      <c r="PXI107" s="4"/>
      <c r="PXJ107" s="4"/>
      <c r="PXK107" s="4"/>
      <c r="PXL107" s="4"/>
      <c r="PXM107" s="4"/>
      <c r="PXN107" s="4"/>
      <c r="PXO107" s="4"/>
      <c r="PXP107" s="4"/>
      <c r="PXQ107" s="4"/>
      <c r="PXR107" s="4"/>
      <c r="PXS107" s="4"/>
      <c r="PXT107" s="4"/>
      <c r="PXU107" s="4"/>
      <c r="PXV107" s="4"/>
      <c r="PXW107" s="4"/>
      <c r="PXX107" s="4"/>
      <c r="PXY107" s="4"/>
      <c r="PXZ107" s="4"/>
      <c r="PYA107" s="4"/>
      <c r="PYB107" s="4"/>
      <c r="PYC107" s="4"/>
      <c r="PYD107" s="4"/>
      <c r="PYE107" s="4"/>
      <c r="PYF107" s="4"/>
      <c r="PYG107" s="4"/>
      <c r="PYH107" s="4"/>
      <c r="PYI107" s="4"/>
      <c r="PYJ107" s="4"/>
      <c r="PYK107" s="4"/>
      <c r="PYL107" s="4"/>
      <c r="PYM107" s="4"/>
      <c r="PYN107" s="4"/>
      <c r="PYO107" s="4"/>
      <c r="PYP107" s="4"/>
      <c r="PYQ107" s="4"/>
      <c r="PYR107" s="4"/>
      <c r="PYS107" s="4"/>
      <c r="PYT107" s="4"/>
      <c r="PYU107" s="4"/>
      <c r="PYV107" s="4"/>
      <c r="PYW107" s="4"/>
      <c r="PYX107" s="4"/>
      <c r="PYY107" s="4"/>
      <c r="PYZ107" s="4"/>
      <c r="PZA107" s="4"/>
      <c r="PZB107" s="4"/>
      <c r="PZC107" s="4"/>
      <c r="PZD107" s="4"/>
      <c r="PZE107" s="4"/>
      <c r="PZF107" s="4"/>
      <c r="PZG107" s="4"/>
      <c r="PZH107" s="4"/>
      <c r="PZI107" s="4"/>
      <c r="PZJ107" s="4"/>
      <c r="PZK107" s="4"/>
      <c r="PZL107" s="4"/>
      <c r="PZM107" s="4"/>
      <c r="PZN107" s="4"/>
      <c r="PZO107" s="4"/>
      <c r="PZP107" s="4"/>
      <c r="PZQ107" s="4"/>
      <c r="PZR107" s="4"/>
      <c r="PZS107" s="4"/>
      <c r="PZT107" s="4"/>
      <c r="PZU107" s="4"/>
      <c r="PZV107" s="4"/>
      <c r="PZW107" s="4"/>
      <c r="PZX107" s="4"/>
      <c r="PZY107" s="4"/>
      <c r="PZZ107" s="4"/>
      <c r="QAA107" s="4"/>
      <c r="QAB107" s="4"/>
      <c r="QAC107" s="4"/>
      <c r="QAD107" s="4"/>
      <c r="QAE107" s="4"/>
      <c r="QAF107" s="4"/>
      <c r="QAG107" s="4"/>
      <c r="QAH107" s="4"/>
      <c r="QAI107" s="4"/>
      <c r="QAJ107" s="4"/>
      <c r="QAK107" s="4"/>
      <c r="QAL107" s="4"/>
      <c r="QAM107" s="4"/>
      <c r="QAN107" s="4"/>
      <c r="QAO107" s="4"/>
      <c r="QAP107" s="4"/>
      <c r="QAQ107" s="4"/>
      <c r="QAR107" s="4"/>
      <c r="QAS107" s="4"/>
      <c r="QAT107" s="4"/>
      <c r="QAU107" s="4"/>
      <c r="QAV107" s="4"/>
      <c r="QAW107" s="4"/>
      <c r="QAX107" s="4"/>
      <c r="QAY107" s="4"/>
      <c r="QAZ107" s="4"/>
      <c r="QBA107" s="4"/>
      <c r="QBB107" s="4"/>
      <c r="QBC107" s="4"/>
      <c r="QBD107" s="4"/>
      <c r="QBE107" s="4"/>
      <c r="QBF107" s="4"/>
      <c r="QBG107" s="4"/>
      <c r="QBH107" s="4"/>
      <c r="QBI107" s="4"/>
      <c r="QBJ107" s="4"/>
      <c r="QBK107" s="4"/>
      <c r="QBL107" s="4"/>
      <c r="QBM107" s="4"/>
      <c r="QBN107" s="4"/>
      <c r="QBO107" s="4"/>
      <c r="QBP107" s="4"/>
      <c r="QBQ107" s="4"/>
      <c r="QBR107" s="4"/>
      <c r="QBS107" s="4"/>
      <c r="QBT107" s="4"/>
      <c r="QBU107" s="4"/>
      <c r="QBV107" s="4"/>
      <c r="QBW107" s="4"/>
      <c r="QBX107" s="4"/>
      <c r="QBY107" s="4"/>
      <c r="QBZ107" s="4"/>
      <c r="QCA107" s="4"/>
      <c r="QCB107" s="4"/>
      <c r="QCC107" s="4"/>
      <c r="QCD107" s="4"/>
      <c r="QCE107" s="4"/>
      <c r="QCF107" s="4"/>
      <c r="QCG107" s="4"/>
      <c r="QCH107" s="4"/>
      <c r="QCI107" s="4"/>
      <c r="QCJ107" s="4"/>
      <c r="QCK107" s="4"/>
      <c r="QCL107" s="4"/>
      <c r="QCM107" s="4"/>
      <c r="QCN107" s="4"/>
      <c r="QCO107" s="4"/>
      <c r="QCP107" s="4"/>
      <c r="QCQ107" s="4"/>
      <c r="QCR107" s="4"/>
      <c r="QCS107" s="4"/>
      <c r="QCT107" s="4"/>
      <c r="QCU107" s="4"/>
      <c r="QCV107" s="4"/>
      <c r="QCW107" s="4"/>
      <c r="QCX107" s="4"/>
      <c r="QCY107" s="4"/>
      <c r="QCZ107" s="4"/>
      <c r="QDA107" s="4"/>
      <c r="QDB107" s="4"/>
      <c r="QDC107" s="4"/>
      <c r="QDD107" s="4"/>
      <c r="QDE107" s="4"/>
      <c r="QDF107" s="4"/>
      <c r="QDG107" s="4"/>
      <c r="QDH107" s="4"/>
      <c r="QDI107" s="4"/>
      <c r="QDJ107" s="4"/>
      <c r="QDK107" s="4"/>
      <c r="QDL107" s="4"/>
      <c r="QDM107" s="4"/>
      <c r="QDN107" s="4"/>
      <c r="QDO107" s="4"/>
      <c r="QDP107" s="4"/>
      <c r="QDQ107" s="4"/>
      <c r="QDR107" s="4"/>
      <c r="QDS107" s="4"/>
      <c r="QDT107" s="4"/>
      <c r="QDU107" s="4"/>
      <c r="QDV107" s="4"/>
      <c r="QDW107" s="4"/>
      <c r="QDX107" s="4"/>
      <c r="QDY107" s="4"/>
      <c r="QDZ107" s="4"/>
      <c r="QEA107" s="4"/>
      <c r="QEB107" s="4"/>
      <c r="QEC107" s="4"/>
      <c r="QED107" s="4"/>
      <c r="QEE107" s="4"/>
      <c r="QEF107" s="4"/>
      <c r="QEG107" s="4"/>
      <c r="QEH107" s="4"/>
      <c r="QEI107" s="4"/>
      <c r="QEJ107" s="4"/>
      <c r="QEK107" s="4"/>
      <c r="QEL107" s="4"/>
      <c r="QEM107" s="4"/>
      <c r="QEN107" s="4"/>
      <c r="QEO107" s="4"/>
      <c r="QEP107" s="4"/>
      <c r="QEQ107" s="4"/>
      <c r="QER107" s="4"/>
      <c r="QES107" s="4"/>
      <c r="QET107" s="4"/>
      <c r="QEU107" s="4"/>
      <c r="QEV107" s="4"/>
      <c r="QEW107" s="4"/>
      <c r="QEX107" s="4"/>
      <c r="QEY107" s="4"/>
      <c r="QEZ107" s="4"/>
      <c r="QFA107" s="4"/>
      <c r="QFB107" s="4"/>
      <c r="QFC107" s="4"/>
      <c r="QFD107" s="4"/>
      <c r="QFE107" s="4"/>
      <c r="QFF107" s="4"/>
      <c r="QFG107" s="4"/>
      <c r="QFH107" s="4"/>
      <c r="QFI107" s="4"/>
      <c r="QFJ107" s="4"/>
      <c r="QFK107" s="4"/>
      <c r="QFL107" s="4"/>
      <c r="QFM107" s="4"/>
      <c r="QFN107" s="4"/>
      <c r="QFO107" s="4"/>
      <c r="QFP107" s="4"/>
      <c r="QFQ107" s="4"/>
      <c r="QFR107" s="4"/>
      <c r="QFS107" s="4"/>
      <c r="QFT107" s="4"/>
      <c r="QFU107" s="4"/>
      <c r="QFV107" s="4"/>
      <c r="QFW107" s="4"/>
      <c r="QFX107" s="4"/>
      <c r="QFY107" s="4"/>
      <c r="QFZ107" s="4"/>
      <c r="QGA107" s="4"/>
      <c r="QGB107" s="4"/>
      <c r="QGC107" s="4"/>
      <c r="QGD107" s="4"/>
      <c r="QGE107" s="4"/>
      <c r="QGF107" s="4"/>
      <c r="QGG107" s="4"/>
      <c r="QGH107" s="4"/>
      <c r="QGI107" s="4"/>
      <c r="QGJ107" s="4"/>
      <c r="QGK107" s="4"/>
      <c r="QGL107" s="4"/>
      <c r="QGM107" s="4"/>
      <c r="QGN107" s="4"/>
      <c r="QGO107" s="4"/>
      <c r="QGP107" s="4"/>
      <c r="QGQ107" s="4"/>
      <c r="QGR107" s="4"/>
      <c r="QGS107" s="4"/>
      <c r="QGT107" s="4"/>
      <c r="QGU107" s="4"/>
      <c r="QGV107" s="4"/>
      <c r="QGW107" s="4"/>
      <c r="QGX107" s="4"/>
      <c r="QGY107" s="4"/>
      <c r="QGZ107" s="4"/>
      <c r="QHA107" s="4"/>
      <c r="QHB107" s="4"/>
      <c r="QHC107" s="4"/>
      <c r="QHD107" s="4"/>
      <c r="QHE107" s="4"/>
      <c r="QHF107" s="4"/>
      <c r="QHG107" s="4"/>
      <c r="QHH107" s="4"/>
      <c r="QHI107" s="4"/>
      <c r="QHJ107" s="4"/>
      <c r="QHK107" s="4"/>
      <c r="QHL107" s="4"/>
      <c r="QHM107" s="4"/>
      <c r="QHN107" s="4"/>
      <c r="QHO107" s="4"/>
      <c r="QHP107" s="4"/>
      <c r="QHQ107" s="4"/>
      <c r="QHR107" s="4"/>
      <c r="QHS107" s="4"/>
      <c r="QHT107" s="4"/>
      <c r="QHU107" s="4"/>
      <c r="QHV107" s="4"/>
      <c r="QHW107" s="4"/>
      <c r="QHX107" s="4"/>
      <c r="QHY107" s="4"/>
      <c r="QHZ107" s="4"/>
      <c r="QIA107" s="4"/>
      <c r="QIB107" s="4"/>
      <c r="QIC107" s="4"/>
      <c r="QID107" s="4"/>
      <c r="QIE107" s="4"/>
      <c r="QIF107" s="4"/>
      <c r="QIG107" s="4"/>
      <c r="QIH107" s="4"/>
      <c r="QII107" s="4"/>
      <c r="QIJ107" s="4"/>
      <c r="QIK107" s="4"/>
      <c r="QIL107" s="4"/>
      <c r="QIM107" s="4"/>
      <c r="QIN107" s="4"/>
      <c r="QIO107" s="4"/>
      <c r="QIP107" s="4"/>
      <c r="QIQ107" s="4"/>
      <c r="QIR107" s="4"/>
      <c r="QIS107" s="4"/>
      <c r="QIT107" s="4"/>
      <c r="QIU107" s="4"/>
      <c r="QIV107" s="4"/>
      <c r="QIW107" s="4"/>
      <c r="QIX107" s="4"/>
      <c r="QIY107" s="4"/>
      <c r="QIZ107" s="4"/>
      <c r="QJA107" s="4"/>
      <c r="QJB107" s="4"/>
      <c r="QJC107" s="4"/>
      <c r="QJD107" s="4"/>
      <c r="QJE107" s="4"/>
      <c r="QJF107" s="4"/>
      <c r="QJG107" s="4"/>
      <c r="QJH107" s="4"/>
      <c r="QJI107" s="4"/>
      <c r="QJJ107" s="4"/>
      <c r="QJK107" s="4"/>
      <c r="QJL107" s="4"/>
      <c r="QJM107" s="4"/>
      <c r="QJN107" s="4"/>
      <c r="QJO107" s="4"/>
      <c r="QJP107" s="4"/>
      <c r="QJQ107" s="4"/>
      <c r="QJR107" s="4"/>
      <c r="QJS107" s="4"/>
      <c r="QJT107" s="4"/>
      <c r="QJU107" s="4"/>
      <c r="QJV107" s="4"/>
      <c r="QJW107" s="4"/>
      <c r="QJX107" s="4"/>
      <c r="QJY107" s="4"/>
      <c r="QJZ107" s="4"/>
      <c r="QKA107" s="4"/>
      <c r="QKB107" s="4"/>
      <c r="QKC107" s="4"/>
      <c r="QKD107" s="4"/>
      <c r="QKE107" s="4"/>
      <c r="QKF107" s="4"/>
      <c r="QKG107" s="4"/>
      <c r="QKH107" s="4"/>
      <c r="QKI107" s="4"/>
      <c r="QKJ107" s="4"/>
      <c r="QKK107" s="4"/>
      <c r="QKL107" s="4"/>
      <c r="QKM107" s="4"/>
      <c r="QKN107" s="4"/>
      <c r="QKO107" s="4"/>
      <c r="QKP107" s="4"/>
      <c r="QKQ107" s="4"/>
      <c r="QKR107" s="4"/>
      <c r="QKS107" s="4"/>
      <c r="QKT107" s="4"/>
      <c r="QKU107" s="4"/>
      <c r="QKV107" s="4"/>
      <c r="QKW107" s="4"/>
      <c r="QKX107" s="4"/>
      <c r="QKY107" s="4"/>
      <c r="QKZ107" s="4"/>
      <c r="QLA107" s="4"/>
      <c r="QLB107" s="4"/>
      <c r="QLC107" s="4"/>
      <c r="QLD107" s="4"/>
      <c r="QLE107" s="4"/>
      <c r="QLF107" s="4"/>
      <c r="QLG107" s="4"/>
      <c r="QLH107" s="4"/>
      <c r="QLI107" s="4"/>
      <c r="QLJ107" s="4"/>
      <c r="QLK107" s="4"/>
      <c r="QLL107" s="4"/>
      <c r="QLM107" s="4"/>
      <c r="QLN107" s="4"/>
      <c r="QLO107" s="4"/>
      <c r="QLP107" s="4"/>
      <c r="QLQ107" s="4"/>
      <c r="QLR107" s="4"/>
      <c r="QLS107" s="4"/>
      <c r="QLT107" s="4"/>
      <c r="QLU107" s="4"/>
      <c r="QLV107" s="4"/>
      <c r="QLW107" s="4"/>
      <c r="QLX107" s="4"/>
      <c r="QLY107" s="4"/>
      <c r="QLZ107" s="4"/>
      <c r="QMA107" s="4"/>
      <c r="QMB107" s="4"/>
      <c r="QMC107" s="4"/>
      <c r="QMD107" s="4"/>
      <c r="QME107" s="4"/>
      <c r="QMF107" s="4"/>
      <c r="QMG107" s="4"/>
      <c r="QMH107" s="4"/>
      <c r="QMI107" s="4"/>
      <c r="QMJ107" s="4"/>
      <c r="QMK107" s="4"/>
      <c r="QML107" s="4"/>
      <c r="QMM107" s="4"/>
      <c r="QMN107" s="4"/>
      <c r="QMO107" s="4"/>
      <c r="QMP107" s="4"/>
      <c r="QMQ107" s="4"/>
      <c r="QMR107" s="4"/>
      <c r="QMS107" s="4"/>
      <c r="QMT107" s="4"/>
      <c r="QMU107" s="4"/>
      <c r="QMV107" s="4"/>
      <c r="QMW107" s="4"/>
      <c r="QMX107" s="4"/>
      <c r="QMY107" s="4"/>
      <c r="QMZ107" s="4"/>
      <c r="QNA107" s="4"/>
      <c r="QNB107" s="4"/>
      <c r="QNC107" s="4"/>
      <c r="QND107" s="4"/>
      <c r="QNE107" s="4"/>
      <c r="QNF107" s="4"/>
      <c r="QNG107" s="4"/>
      <c r="QNH107" s="4"/>
      <c r="QNI107" s="4"/>
      <c r="QNJ107" s="4"/>
      <c r="QNK107" s="4"/>
      <c r="QNL107" s="4"/>
      <c r="QNM107" s="4"/>
      <c r="QNN107" s="4"/>
      <c r="QNO107" s="4"/>
      <c r="QNP107" s="4"/>
      <c r="QNQ107" s="4"/>
      <c r="QNR107" s="4"/>
      <c r="QNS107" s="4"/>
      <c r="QNT107" s="4"/>
      <c r="QNU107" s="4"/>
      <c r="QNV107" s="4"/>
      <c r="QNW107" s="4"/>
      <c r="QNX107" s="4"/>
      <c r="QNY107" s="4"/>
      <c r="QNZ107" s="4"/>
      <c r="QOA107" s="4"/>
      <c r="QOB107" s="4"/>
      <c r="QOC107" s="4"/>
      <c r="QOD107" s="4"/>
      <c r="QOE107" s="4"/>
      <c r="QOF107" s="4"/>
      <c r="QOG107" s="4"/>
      <c r="QOH107" s="4"/>
      <c r="QOI107" s="4"/>
      <c r="QOJ107" s="4"/>
      <c r="QOK107" s="4"/>
      <c r="QOL107" s="4"/>
      <c r="QOM107" s="4"/>
      <c r="QON107" s="4"/>
      <c r="QOO107" s="4"/>
      <c r="QOP107" s="4"/>
      <c r="QOQ107" s="4"/>
      <c r="QOR107" s="4"/>
      <c r="QOS107" s="4"/>
      <c r="QOT107" s="4"/>
      <c r="QOU107" s="4"/>
      <c r="QOV107" s="4"/>
      <c r="QOW107" s="4"/>
      <c r="QOX107" s="4"/>
      <c r="QOY107" s="4"/>
      <c r="QOZ107" s="4"/>
      <c r="QPA107" s="4"/>
      <c r="QPB107" s="4"/>
      <c r="QPC107" s="4"/>
      <c r="QPD107" s="4"/>
      <c r="QPE107" s="4"/>
      <c r="QPF107" s="4"/>
      <c r="QPG107" s="4"/>
      <c r="QPH107" s="4"/>
      <c r="QPI107" s="4"/>
      <c r="QPJ107" s="4"/>
      <c r="QPK107" s="4"/>
      <c r="QPL107" s="4"/>
      <c r="QPM107" s="4"/>
      <c r="QPN107" s="4"/>
      <c r="QPO107" s="4"/>
      <c r="QPP107" s="4"/>
      <c r="QPQ107" s="4"/>
      <c r="QPR107" s="4"/>
      <c r="QPS107" s="4"/>
      <c r="QPT107" s="4"/>
      <c r="QPU107" s="4"/>
      <c r="QPV107" s="4"/>
      <c r="QPW107" s="4"/>
      <c r="QPX107" s="4"/>
      <c r="QPY107" s="4"/>
      <c r="QPZ107" s="4"/>
      <c r="QQA107" s="4"/>
      <c r="QQB107" s="4"/>
      <c r="QQC107" s="4"/>
      <c r="QQD107" s="4"/>
      <c r="QQE107" s="4"/>
      <c r="QQF107" s="4"/>
      <c r="QQG107" s="4"/>
      <c r="QQH107" s="4"/>
      <c r="QQI107" s="4"/>
      <c r="QQJ107" s="4"/>
      <c r="QQK107" s="4"/>
      <c r="QQL107" s="4"/>
      <c r="QQM107" s="4"/>
      <c r="QQN107" s="4"/>
      <c r="QQO107" s="4"/>
      <c r="QQP107" s="4"/>
      <c r="QQQ107" s="4"/>
      <c r="QQR107" s="4"/>
      <c r="QQS107" s="4"/>
      <c r="QQT107" s="4"/>
      <c r="QQU107" s="4"/>
      <c r="QQV107" s="4"/>
      <c r="QQW107" s="4"/>
      <c r="QQX107" s="4"/>
      <c r="QQY107" s="4"/>
      <c r="QQZ107" s="4"/>
      <c r="QRA107" s="4"/>
      <c r="QRB107" s="4"/>
      <c r="QRC107" s="4"/>
      <c r="QRD107" s="4"/>
      <c r="QRE107" s="4"/>
      <c r="QRF107" s="4"/>
      <c r="QRG107" s="4"/>
      <c r="QRH107" s="4"/>
      <c r="QRI107" s="4"/>
      <c r="QRJ107" s="4"/>
      <c r="QRK107" s="4"/>
      <c r="QRL107" s="4"/>
      <c r="QRM107" s="4"/>
      <c r="QRN107" s="4"/>
      <c r="QRO107" s="4"/>
      <c r="QRP107" s="4"/>
      <c r="QRQ107" s="4"/>
      <c r="QRR107" s="4"/>
      <c r="QRS107" s="4"/>
      <c r="QRT107" s="4"/>
      <c r="QRU107" s="4"/>
      <c r="QRV107" s="4"/>
      <c r="QRW107" s="4"/>
      <c r="QRX107" s="4"/>
      <c r="QRY107" s="4"/>
      <c r="QRZ107" s="4"/>
      <c r="QSA107" s="4"/>
      <c r="QSB107" s="4"/>
      <c r="QSC107" s="4"/>
      <c r="QSD107" s="4"/>
      <c r="QSE107" s="4"/>
      <c r="QSF107" s="4"/>
      <c r="QSG107" s="4"/>
      <c r="QSH107" s="4"/>
      <c r="QSI107" s="4"/>
      <c r="QSJ107" s="4"/>
      <c r="QSK107" s="4"/>
      <c r="QSL107" s="4"/>
      <c r="QSM107" s="4"/>
      <c r="QSN107" s="4"/>
      <c r="QSO107" s="4"/>
      <c r="QSP107" s="4"/>
      <c r="QSQ107" s="4"/>
      <c r="QSR107" s="4"/>
      <c r="QSS107" s="4"/>
      <c r="QST107" s="4"/>
      <c r="QSU107" s="4"/>
      <c r="QSV107" s="4"/>
      <c r="QSW107" s="4"/>
      <c r="QSX107" s="4"/>
      <c r="QSY107" s="4"/>
      <c r="QSZ107" s="4"/>
      <c r="QTA107" s="4"/>
      <c r="QTB107" s="4"/>
      <c r="QTC107" s="4"/>
      <c r="QTD107" s="4"/>
      <c r="QTE107" s="4"/>
      <c r="QTF107" s="4"/>
      <c r="QTG107" s="4"/>
      <c r="QTH107" s="4"/>
      <c r="QTI107" s="4"/>
      <c r="QTJ107" s="4"/>
      <c r="QTK107" s="4"/>
      <c r="QTL107" s="4"/>
      <c r="QTM107" s="4"/>
      <c r="QTN107" s="4"/>
      <c r="QTO107" s="4"/>
      <c r="QTP107" s="4"/>
      <c r="QTQ107" s="4"/>
      <c r="QTR107" s="4"/>
      <c r="QTS107" s="4"/>
      <c r="QTT107" s="4"/>
      <c r="QTU107" s="4"/>
      <c r="QTV107" s="4"/>
      <c r="QTW107" s="4"/>
      <c r="QTX107" s="4"/>
      <c r="QTY107" s="4"/>
      <c r="QTZ107" s="4"/>
      <c r="QUA107" s="4"/>
      <c r="QUB107" s="4"/>
      <c r="QUC107" s="4"/>
      <c r="QUD107" s="4"/>
      <c r="QUE107" s="4"/>
      <c r="QUF107" s="4"/>
      <c r="QUG107" s="4"/>
      <c r="QUH107" s="4"/>
      <c r="QUI107" s="4"/>
      <c r="QUJ107" s="4"/>
      <c r="QUK107" s="4"/>
      <c r="QUL107" s="4"/>
      <c r="QUM107" s="4"/>
      <c r="QUN107" s="4"/>
      <c r="QUO107" s="4"/>
      <c r="QUP107" s="4"/>
      <c r="QUQ107" s="4"/>
      <c r="QUR107" s="4"/>
      <c r="QUS107" s="4"/>
      <c r="QUT107" s="4"/>
      <c r="QUU107" s="4"/>
      <c r="QUV107" s="4"/>
      <c r="QUW107" s="4"/>
      <c r="QUX107" s="4"/>
      <c r="QUY107" s="4"/>
      <c r="QUZ107" s="4"/>
      <c r="QVA107" s="4"/>
      <c r="QVB107" s="4"/>
      <c r="QVC107" s="4"/>
      <c r="QVD107" s="4"/>
      <c r="QVE107" s="4"/>
      <c r="QVF107" s="4"/>
      <c r="QVG107" s="4"/>
      <c r="QVH107" s="4"/>
      <c r="QVI107" s="4"/>
      <c r="QVJ107" s="4"/>
      <c r="QVK107" s="4"/>
      <c r="QVL107" s="4"/>
      <c r="QVM107" s="4"/>
      <c r="QVN107" s="4"/>
      <c r="QVO107" s="4"/>
      <c r="QVP107" s="4"/>
      <c r="QVQ107" s="4"/>
      <c r="QVR107" s="4"/>
      <c r="QVS107" s="4"/>
      <c r="QVT107" s="4"/>
      <c r="QVU107" s="4"/>
      <c r="QVV107" s="4"/>
      <c r="QVW107" s="4"/>
      <c r="QVX107" s="4"/>
      <c r="QVY107" s="4"/>
      <c r="QVZ107" s="4"/>
      <c r="QWA107" s="4"/>
      <c r="QWB107" s="4"/>
      <c r="QWC107" s="4"/>
      <c r="QWD107" s="4"/>
      <c r="QWE107" s="4"/>
      <c r="QWF107" s="4"/>
      <c r="QWG107" s="4"/>
      <c r="QWH107" s="4"/>
      <c r="QWI107" s="4"/>
      <c r="QWJ107" s="4"/>
      <c r="QWK107" s="4"/>
      <c r="QWL107" s="4"/>
      <c r="QWM107" s="4"/>
      <c r="QWN107" s="4"/>
      <c r="QWO107" s="4"/>
      <c r="QWP107" s="4"/>
      <c r="QWQ107" s="4"/>
      <c r="QWR107" s="4"/>
      <c r="QWS107" s="4"/>
      <c r="QWT107" s="4"/>
      <c r="QWU107" s="4"/>
      <c r="QWV107" s="4"/>
      <c r="QWW107" s="4"/>
      <c r="QWX107" s="4"/>
      <c r="QWY107" s="4"/>
      <c r="QWZ107" s="4"/>
      <c r="QXA107" s="4"/>
      <c r="QXB107" s="4"/>
      <c r="QXC107" s="4"/>
      <c r="QXD107" s="4"/>
      <c r="QXE107" s="4"/>
      <c r="QXF107" s="4"/>
      <c r="QXG107" s="4"/>
      <c r="QXH107" s="4"/>
      <c r="QXI107" s="4"/>
      <c r="QXJ107" s="4"/>
      <c r="QXK107" s="4"/>
      <c r="QXL107" s="4"/>
      <c r="QXM107" s="4"/>
      <c r="QXN107" s="4"/>
      <c r="QXO107" s="4"/>
      <c r="QXP107" s="4"/>
      <c r="QXQ107" s="4"/>
      <c r="QXR107" s="4"/>
      <c r="QXS107" s="4"/>
      <c r="QXT107" s="4"/>
      <c r="QXU107" s="4"/>
      <c r="QXV107" s="4"/>
      <c r="QXW107" s="4"/>
      <c r="QXX107" s="4"/>
      <c r="QXY107" s="4"/>
      <c r="QXZ107" s="4"/>
      <c r="QYA107" s="4"/>
      <c r="QYB107" s="4"/>
      <c r="QYC107" s="4"/>
      <c r="QYD107" s="4"/>
      <c r="QYE107" s="4"/>
      <c r="QYF107" s="4"/>
      <c r="QYG107" s="4"/>
      <c r="QYH107" s="4"/>
      <c r="QYI107" s="4"/>
      <c r="QYJ107" s="4"/>
      <c r="QYK107" s="4"/>
      <c r="QYL107" s="4"/>
      <c r="QYM107" s="4"/>
      <c r="QYN107" s="4"/>
      <c r="QYO107" s="4"/>
      <c r="QYP107" s="4"/>
      <c r="QYQ107" s="4"/>
      <c r="QYR107" s="4"/>
      <c r="QYS107" s="4"/>
      <c r="QYT107" s="4"/>
      <c r="QYU107" s="4"/>
      <c r="QYV107" s="4"/>
      <c r="QYW107" s="4"/>
      <c r="QYX107" s="4"/>
      <c r="QYY107" s="4"/>
      <c r="QYZ107" s="4"/>
      <c r="QZA107" s="4"/>
      <c r="QZB107" s="4"/>
      <c r="QZC107" s="4"/>
      <c r="QZD107" s="4"/>
      <c r="QZE107" s="4"/>
      <c r="QZF107" s="4"/>
      <c r="QZG107" s="4"/>
      <c r="QZH107" s="4"/>
      <c r="QZI107" s="4"/>
      <c r="QZJ107" s="4"/>
      <c r="QZK107" s="4"/>
      <c r="QZL107" s="4"/>
      <c r="QZM107" s="4"/>
      <c r="QZN107" s="4"/>
      <c r="QZO107" s="4"/>
      <c r="QZP107" s="4"/>
      <c r="QZQ107" s="4"/>
      <c r="QZR107" s="4"/>
      <c r="QZS107" s="4"/>
      <c r="QZT107" s="4"/>
      <c r="QZU107" s="4"/>
      <c r="QZV107" s="4"/>
      <c r="QZW107" s="4"/>
      <c r="QZX107" s="4"/>
      <c r="QZY107" s="4"/>
      <c r="QZZ107" s="4"/>
      <c r="RAA107" s="4"/>
      <c r="RAB107" s="4"/>
      <c r="RAC107" s="4"/>
      <c r="RAD107" s="4"/>
      <c r="RAE107" s="4"/>
      <c r="RAF107" s="4"/>
      <c r="RAG107" s="4"/>
      <c r="RAH107" s="4"/>
      <c r="RAI107" s="4"/>
      <c r="RAJ107" s="4"/>
      <c r="RAK107" s="4"/>
      <c r="RAL107" s="4"/>
      <c r="RAM107" s="4"/>
      <c r="RAN107" s="4"/>
      <c r="RAO107" s="4"/>
      <c r="RAP107" s="4"/>
      <c r="RAQ107" s="4"/>
      <c r="RAR107" s="4"/>
      <c r="RAS107" s="4"/>
      <c r="RAT107" s="4"/>
      <c r="RAU107" s="4"/>
      <c r="RAV107" s="4"/>
      <c r="RAW107" s="4"/>
      <c r="RAX107" s="4"/>
      <c r="RAY107" s="4"/>
      <c r="RAZ107" s="4"/>
      <c r="RBA107" s="4"/>
      <c r="RBB107" s="4"/>
      <c r="RBC107" s="4"/>
      <c r="RBD107" s="4"/>
      <c r="RBE107" s="4"/>
      <c r="RBF107" s="4"/>
      <c r="RBG107" s="4"/>
      <c r="RBH107" s="4"/>
      <c r="RBI107" s="4"/>
      <c r="RBJ107" s="4"/>
      <c r="RBK107" s="4"/>
      <c r="RBL107" s="4"/>
      <c r="RBM107" s="4"/>
      <c r="RBN107" s="4"/>
      <c r="RBO107" s="4"/>
      <c r="RBP107" s="4"/>
      <c r="RBQ107" s="4"/>
      <c r="RBR107" s="4"/>
      <c r="RBS107" s="4"/>
      <c r="RBT107" s="4"/>
      <c r="RBU107" s="4"/>
      <c r="RBV107" s="4"/>
      <c r="RBW107" s="4"/>
      <c r="RBX107" s="4"/>
      <c r="RBY107" s="4"/>
      <c r="RBZ107" s="4"/>
      <c r="RCA107" s="4"/>
      <c r="RCB107" s="4"/>
      <c r="RCC107" s="4"/>
      <c r="RCD107" s="4"/>
      <c r="RCE107" s="4"/>
      <c r="RCF107" s="4"/>
      <c r="RCG107" s="4"/>
      <c r="RCH107" s="4"/>
      <c r="RCI107" s="4"/>
      <c r="RCJ107" s="4"/>
      <c r="RCK107" s="4"/>
      <c r="RCL107" s="4"/>
      <c r="RCM107" s="4"/>
      <c r="RCN107" s="4"/>
      <c r="RCO107" s="4"/>
      <c r="RCP107" s="4"/>
      <c r="RCQ107" s="4"/>
      <c r="RCR107" s="4"/>
      <c r="RCS107" s="4"/>
      <c r="RCT107" s="4"/>
      <c r="RCU107" s="4"/>
      <c r="RCV107" s="4"/>
      <c r="RCW107" s="4"/>
      <c r="RCX107" s="4"/>
      <c r="RCY107" s="4"/>
      <c r="RCZ107" s="4"/>
      <c r="RDA107" s="4"/>
      <c r="RDB107" s="4"/>
      <c r="RDC107" s="4"/>
      <c r="RDD107" s="4"/>
      <c r="RDE107" s="4"/>
      <c r="RDF107" s="4"/>
      <c r="RDG107" s="4"/>
      <c r="RDH107" s="4"/>
      <c r="RDI107" s="4"/>
      <c r="RDJ107" s="4"/>
      <c r="RDK107" s="4"/>
      <c r="RDL107" s="4"/>
      <c r="RDM107" s="4"/>
      <c r="RDN107" s="4"/>
      <c r="RDO107" s="4"/>
      <c r="RDP107" s="4"/>
      <c r="RDQ107" s="4"/>
      <c r="RDR107" s="4"/>
      <c r="RDS107" s="4"/>
      <c r="RDT107" s="4"/>
      <c r="RDU107" s="4"/>
      <c r="RDV107" s="4"/>
      <c r="RDW107" s="4"/>
      <c r="RDX107" s="4"/>
      <c r="RDY107" s="4"/>
      <c r="RDZ107" s="4"/>
      <c r="REA107" s="4"/>
      <c r="REB107" s="4"/>
      <c r="REC107" s="4"/>
      <c r="RED107" s="4"/>
      <c r="REE107" s="4"/>
      <c r="REF107" s="4"/>
      <c r="REG107" s="4"/>
      <c r="REH107" s="4"/>
      <c r="REI107" s="4"/>
      <c r="REJ107" s="4"/>
      <c r="REK107" s="4"/>
      <c r="REL107" s="4"/>
      <c r="REM107" s="4"/>
      <c r="REN107" s="4"/>
      <c r="REO107" s="4"/>
      <c r="REP107" s="4"/>
      <c r="REQ107" s="4"/>
      <c r="RER107" s="4"/>
      <c r="RES107" s="4"/>
      <c r="RET107" s="4"/>
      <c r="REU107" s="4"/>
      <c r="REV107" s="4"/>
      <c r="REW107" s="4"/>
      <c r="REX107" s="4"/>
      <c r="REY107" s="4"/>
      <c r="REZ107" s="4"/>
      <c r="RFA107" s="4"/>
      <c r="RFB107" s="4"/>
      <c r="RFC107" s="4"/>
      <c r="RFD107" s="4"/>
      <c r="RFE107" s="4"/>
      <c r="RFF107" s="4"/>
      <c r="RFG107" s="4"/>
      <c r="RFH107" s="4"/>
      <c r="RFI107" s="4"/>
      <c r="RFJ107" s="4"/>
      <c r="RFK107" s="4"/>
      <c r="RFL107" s="4"/>
      <c r="RFM107" s="4"/>
      <c r="RFN107" s="4"/>
      <c r="RFO107" s="4"/>
      <c r="RFP107" s="4"/>
      <c r="RFQ107" s="4"/>
      <c r="RFR107" s="4"/>
      <c r="RFS107" s="4"/>
      <c r="RFT107" s="4"/>
      <c r="RFU107" s="4"/>
      <c r="RFV107" s="4"/>
      <c r="RFW107" s="4"/>
      <c r="RFX107" s="4"/>
      <c r="RFY107" s="4"/>
      <c r="RFZ107" s="4"/>
      <c r="RGA107" s="4"/>
      <c r="RGB107" s="4"/>
      <c r="RGC107" s="4"/>
      <c r="RGD107" s="4"/>
      <c r="RGE107" s="4"/>
      <c r="RGF107" s="4"/>
      <c r="RGG107" s="4"/>
      <c r="RGH107" s="4"/>
      <c r="RGI107" s="4"/>
      <c r="RGJ107" s="4"/>
      <c r="RGK107" s="4"/>
      <c r="RGL107" s="4"/>
      <c r="RGM107" s="4"/>
      <c r="RGN107" s="4"/>
      <c r="RGO107" s="4"/>
      <c r="RGP107" s="4"/>
      <c r="RGQ107" s="4"/>
      <c r="RGR107" s="4"/>
      <c r="RGS107" s="4"/>
      <c r="RGT107" s="4"/>
      <c r="RGU107" s="4"/>
      <c r="RGV107" s="4"/>
      <c r="RGW107" s="4"/>
      <c r="RGX107" s="4"/>
      <c r="RGY107" s="4"/>
      <c r="RGZ107" s="4"/>
      <c r="RHA107" s="4"/>
      <c r="RHB107" s="4"/>
      <c r="RHC107" s="4"/>
      <c r="RHD107" s="4"/>
      <c r="RHE107" s="4"/>
      <c r="RHF107" s="4"/>
      <c r="RHG107" s="4"/>
      <c r="RHH107" s="4"/>
      <c r="RHI107" s="4"/>
      <c r="RHJ107" s="4"/>
      <c r="RHK107" s="4"/>
      <c r="RHL107" s="4"/>
      <c r="RHM107" s="4"/>
      <c r="RHN107" s="4"/>
      <c r="RHO107" s="4"/>
      <c r="RHP107" s="4"/>
      <c r="RHQ107" s="4"/>
      <c r="RHR107" s="4"/>
      <c r="RHS107" s="4"/>
      <c r="RHT107" s="4"/>
      <c r="RHU107" s="4"/>
      <c r="RHV107" s="4"/>
      <c r="RHW107" s="4"/>
      <c r="RHX107" s="4"/>
      <c r="RHY107" s="4"/>
      <c r="RHZ107" s="4"/>
      <c r="RIA107" s="4"/>
      <c r="RIB107" s="4"/>
      <c r="RIC107" s="4"/>
      <c r="RID107" s="4"/>
      <c r="RIE107" s="4"/>
      <c r="RIF107" s="4"/>
      <c r="RIG107" s="4"/>
      <c r="RIH107" s="4"/>
      <c r="RII107" s="4"/>
      <c r="RIJ107" s="4"/>
      <c r="RIK107" s="4"/>
      <c r="RIL107" s="4"/>
      <c r="RIM107" s="4"/>
      <c r="RIN107" s="4"/>
      <c r="RIO107" s="4"/>
      <c r="RIP107" s="4"/>
      <c r="RIQ107" s="4"/>
      <c r="RIR107" s="4"/>
      <c r="RIS107" s="4"/>
      <c r="RIT107" s="4"/>
      <c r="RIU107" s="4"/>
      <c r="RIV107" s="4"/>
      <c r="RIW107" s="4"/>
      <c r="RIX107" s="4"/>
      <c r="RIY107" s="4"/>
      <c r="RIZ107" s="4"/>
      <c r="RJA107" s="4"/>
      <c r="RJB107" s="4"/>
      <c r="RJC107" s="4"/>
      <c r="RJD107" s="4"/>
      <c r="RJE107" s="4"/>
      <c r="RJF107" s="4"/>
      <c r="RJG107" s="4"/>
      <c r="RJH107" s="4"/>
      <c r="RJI107" s="4"/>
      <c r="RJJ107" s="4"/>
      <c r="RJK107" s="4"/>
      <c r="RJL107" s="4"/>
      <c r="RJM107" s="4"/>
      <c r="RJN107" s="4"/>
      <c r="RJO107" s="4"/>
      <c r="RJP107" s="4"/>
      <c r="RJQ107" s="4"/>
      <c r="RJR107" s="4"/>
      <c r="RJS107" s="4"/>
      <c r="RJT107" s="4"/>
      <c r="RJU107" s="4"/>
      <c r="RJV107" s="4"/>
      <c r="RJW107" s="4"/>
      <c r="RJX107" s="4"/>
      <c r="RJY107" s="4"/>
      <c r="RJZ107" s="4"/>
      <c r="RKA107" s="4"/>
      <c r="RKB107" s="4"/>
      <c r="RKC107" s="4"/>
      <c r="RKD107" s="4"/>
      <c r="RKE107" s="4"/>
      <c r="RKF107" s="4"/>
      <c r="RKG107" s="4"/>
      <c r="RKH107" s="4"/>
      <c r="RKI107" s="4"/>
      <c r="RKJ107" s="4"/>
      <c r="RKK107" s="4"/>
      <c r="RKL107" s="4"/>
      <c r="RKM107" s="4"/>
      <c r="RKN107" s="4"/>
      <c r="RKO107" s="4"/>
      <c r="RKP107" s="4"/>
      <c r="RKQ107" s="4"/>
      <c r="RKR107" s="4"/>
      <c r="RKS107" s="4"/>
      <c r="RKT107" s="4"/>
      <c r="RKU107" s="4"/>
      <c r="RKV107" s="4"/>
      <c r="RKW107" s="4"/>
      <c r="RKX107" s="4"/>
      <c r="RKY107" s="4"/>
      <c r="RKZ107" s="4"/>
      <c r="RLA107" s="4"/>
      <c r="RLB107" s="4"/>
      <c r="RLC107" s="4"/>
      <c r="RLD107" s="4"/>
      <c r="RLE107" s="4"/>
      <c r="RLF107" s="4"/>
      <c r="RLG107" s="4"/>
      <c r="RLH107" s="4"/>
      <c r="RLI107" s="4"/>
      <c r="RLJ107" s="4"/>
      <c r="RLK107" s="4"/>
      <c r="RLL107" s="4"/>
      <c r="RLM107" s="4"/>
      <c r="RLN107" s="4"/>
      <c r="RLO107" s="4"/>
      <c r="RLP107" s="4"/>
      <c r="RLQ107" s="4"/>
      <c r="RLR107" s="4"/>
      <c r="RLS107" s="4"/>
      <c r="RLT107" s="4"/>
      <c r="RLU107" s="4"/>
      <c r="RLV107" s="4"/>
      <c r="RLW107" s="4"/>
      <c r="RLX107" s="4"/>
      <c r="RLY107" s="4"/>
      <c r="RLZ107" s="4"/>
      <c r="RMA107" s="4"/>
      <c r="RMB107" s="4"/>
      <c r="RMC107" s="4"/>
      <c r="RMD107" s="4"/>
      <c r="RME107" s="4"/>
      <c r="RMF107" s="4"/>
      <c r="RMG107" s="4"/>
      <c r="RMH107" s="4"/>
      <c r="RMI107" s="4"/>
      <c r="RMJ107" s="4"/>
      <c r="RMK107" s="4"/>
      <c r="RML107" s="4"/>
      <c r="RMM107" s="4"/>
      <c r="RMN107" s="4"/>
      <c r="RMO107" s="4"/>
      <c r="RMP107" s="4"/>
      <c r="RMQ107" s="4"/>
      <c r="RMR107" s="4"/>
      <c r="RMS107" s="4"/>
      <c r="RMT107" s="4"/>
      <c r="RMU107" s="4"/>
      <c r="RMV107" s="4"/>
      <c r="RMW107" s="4"/>
      <c r="RMX107" s="4"/>
      <c r="RMY107" s="4"/>
      <c r="RMZ107" s="4"/>
      <c r="RNA107" s="4"/>
      <c r="RNB107" s="4"/>
      <c r="RNC107" s="4"/>
      <c r="RND107" s="4"/>
      <c r="RNE107" s="4"/>
      <c r="RNF107" s="4"/>
      <c r="RNG107" s="4"/>
      <c r="RNH107" s="4"/>
      <c r="RNI107" s="4"/>
      <c r="RNJ107" s="4"/>
      <c r="RNK107" s="4"/>
      <c r="RNL107" s="4"/>
      <c r="RNM107" s="4"/>
      <c r="RNN107" s="4"/>
      <c r="RNO107" s="4"/>
      <c r="RNP107" s="4"/>
      <c r="RNQ107" s="4"/>
      <c r="RNR107" s="4"/>
      <c r="RNS107" s="4"/>
      <c r="RNT107" s="4"/>
      <c r="RNU107" s="4"/>
      <c r="RNV107" s="4"/>
      <c r="RNW107" s="4"/>
      <c r="RNX107" s="4"/>
      <c r="RNY107" s="4"/>
      <c r="RNZ107" s="4"/>
      <c r="ROA107" s="4"/>
      <c r="ROB107" s="4"/>
      <c r="ROC107" s="4"/>
      <c r="ROD107" s="4"/>
      <c r="ROE107" s="4"/>
      <c r="ROF107" s="4"/>
      <c r="ROG107" s="4"/>
      <c r="ROH107" s="4"/>
      <c r="ROI107" s="4"/>
      <c r="ROJ107" s="4"/>
      <c r="ROK107" s="4"/>
      <c r="ROL107" s="4"/>
      <c r="ROM107" s="4"/>
      <c r="RON107" s="4"/>
      <c r="ROO107" s="4"/>
      <c r="ROP107" s="4"/>
      <c r="ROQ107" s="4"/>
      <c r="ROR107" s="4"/>
      <c r="ROS107" s="4"/>
      <c r="ROT107" s="4"/>
      <c r="ROU107" s="4"/>
      <c r="ROV107" s="4"/>
      <c r="ROW107" s="4"/>
      <c r="ROX107" s="4"/>
      <c r="ROY107" s="4"/>
      <c r="ROZ107" s="4"/>
      <c r="RPA107" s="4"/>
      <c r="RPB107" s="4"/>
      <c r="RPC107" s="4"/>
      <c r="RPD107" s="4"/>
      <c r="RPE107" s="4"/>
      <c r="RPF107" s="4"/>
      <c r="RPG107" s="4"/>
      <c r="RPH107" s="4"/>
      <c r="RPI107" s="4"/>
      <c r="RPJ107" s="4"/>
      <c r="RPK107" s="4"/>
      <c r="RPL107" s="4"/>
      <c r="RPM107" s="4"/>
      <c r="RPN107" s="4"/>
      <c r="RPO107" s="4"/>
      <c r="RPP107" s="4"/>
      <c r="RPQ107" s="4"/>
      <c r="RPR107" s="4"/>
      <c r="RPS107" s="4"/>
      <c r="RPT107" s="4"/>
      <c r="RPU107" s="4"/>
      <c r="RPV107" s="4"/>
      <c r="RPW107" s="4"/>
      <c r="RPX107" s="4"/>
      <c r="RPY107" s="4"/>
      <c r="RPZ107" s="4"/>
      <c r="RQA107" s="4"/>
      <c r="RQB107" s="4"/>
      <c r="RQC107" s="4"/>
      <c r="RQD107" s="4"/>
      <c r="RQE107" s="4"/>
      <c r="RQF107" s="4"/>
      <c r="RQG107" s="4"/>
      <c r="RQH107" s="4"/>
      <c r="RQI107" s="4"/>
      <c r="RQJ107" s="4"/>
      <c r="RQK107" s="4"/>
      <c r="RQL107" s="4"/>
      <c r="RQM107" s="4"/>
      <c r="RQN107" s="4"/>
      <c r="RQO107" s="4"/>
      <c r="RQP107" s="4"/>
      <c r="RQQ107" s="4"/>
      <c r="RQR107" s="4"/>
      <c r="RQS107" s="4"/>
      <c r="RQT107" s="4"/>
      <c r="RQU107" s="4"/>
      <c r="RQV107" s="4"/>
      <c r="RQW107" s="4"/>
      <c r="RQX107" s="4"/>
      <c r="RQY107" s="4"/>
      <c r="RQZ107" s="4"/>
      <c r="RRA107" s="4"/>
      <c r="RRB107" s="4"/>
      <c r="RRC107" s="4"/>
      <c r="RRD107" s="4"/>
      <c r="RRE107" s="4"/>
      <c r="RRF107" s="4"/>
      <c r="RRG107" s="4"/>
      <c r="RRH107" s="4"/>
      <c r="RRI107" s="4"/>
      <c r="RRJ107" s="4"/>
      <c r="RRK107" s="4"/>
      <c r="RRL107" s="4"/>
      <c r="RRM107" s="4"/>
      <c r="RRN107" s="4"/>
      <c r="RRO107" s="4"/>
      <c r="RRP107" s="4"/>
      <c r="RRQ107" s="4"/>
      <c r="RRR107" s="4"/>
      <c r="RRS107" s="4"/>
      <c r="RRT107" s="4"/>
      <c r="RRU107" s="4"/>
      <c r="RRV107" s="4"/>
      <c r="RRW107" s="4"/>
      <c r="RRX107" s="4"/>
      <c r="RRY107" s="4"/>
      <c r="RRZ107" s="4"/>
      <c r="RSA107" s="4"/>
      <c r="RSB107" s="4"/>
      <c r="RSC107" s="4"/>
      <c r="RSD107" s="4"/>
      <c r="RSE107" s="4"/>
      <c r="RSF107" s="4"/>
      <c r="RSG107" s="4"/>
      <c r="RSH107" s="4"/>
      <c r="RSI107" s="4"/>
      <c r="RSJ107" s="4"/>
      <c r="RSK107" s="4"/>
      <c r="RSL107" s="4"/>
      <c r="RSM107" s="4"/>
      <c r="RSN107" s="4"/>
      <c r="RSO107" s="4"/>
      <c r="RSP107" s="4"/>
      <c r="RSQ107" s="4"/>
      <c r="RSR107" s="4"/>
      <c r="RSS107" s="4"/>
      <c r="RST107" s="4"/>
      <c r="RSU107" s="4"/>
      <c r="RSV107" s="4"/>
      <c r="RSW107" s="4"/>
      <c r="RSX107" s="4"/>
      <c r="RSY107" s="4"/>
      <c r="RSZ107" s="4"/>
      <c r="RTA107" s="4"/>
      <c r="RTB107" s="4"/>
      <c r="RTC107" s="4"/>
      <c r="RTD107" s="4"/>
      <c r="RTE107" s="4"/>
      <c r="RTF107" s="4"/>
      <c r="RTG107" s="4"/>
      <c r="RTH107" s="4"/>
      <c r="RTI107" s="4"/>
      <c r="RTJ107" s="4"/>
      <c r="RTK107" s="4"/>
      <c r="RTL107" s="4"/>
      <c r="RTM107" s="4"/>
      <c r="RTN107" s="4"/>
      <c r="RTO107" s="4"/>
      <c r="RTP107" s="4"/>
      <c r="RTQ107" s="4"/>
      <c r="RTR107" s="4"/>
      <c r="RTS107" s="4"/>
      <c r="RTT107" s="4"/>
      <c r="RTU107" s="4"/>
      <c r="RTV107" s="4"/>
      <c r="RTW107" s="4"/>
      <c r="RTX107" s="4"/>
      <c r="RTY107" s="4"/>
      <c r="RTZ107" s="4"/>
      <c r="RUA107" s="4"/>
      <c r="RUB107" s="4"/>
      <c r="RUC107" s="4"/>
      <c r="RUD107" s="4"/>
      <c r="RUE107" s="4"/>
      <c r="RUF107" s="4"/>
      <c r="RUG107" s="4"/>
      <c r="RUH107" s="4"/>
      <c r="RUI107" s="4"/>
      <c r="RUJ107" s="4"/>
      <c r="RUK107" s="4"/>
      <c r="RUL107" s="4"/>
      <c r="RUM107" s="4"/>
      <c r="RUN107" s="4"/>
      <c r="RUO107" s="4"/>
      <c r="RUP107" s="4"/>
      <c r="RUQ107" s="4"/>
      <c r="RUR107" s="4"/>
      <c r="RUS107" s="4"/>
      <c r="RUT107" s="4"/>
      <c r="RUU107" s="4"/>
      <c r="RUV107" s="4"/>
      <c r="RUW107" s="4"/>
      <c r="RUX107" s="4"/>
      <c r="RUY107" s="4"/>
      <c r="RUZ107" s="4"/>
      <c r="RVA107" s="4"/>
      <c r="RVB107" s="4"/>
      <c r="RVC107" s="4"/>
      <c r="RVD107" s="4"/>
      <c r="RVE107" s="4"/>
      <c r="RVF107" s="4"/>
      <c r="RVG107" s="4"/>
      <c r="RVH107" s="4"/>
      <c r="RVI107" s="4"/>
      <c r="RVJ107" s="4"/>
      <c r="RVK107" s="4"/>
      <c r="RVL107" s="4"/>
      <c r="RVM107" s="4"/>
      <c r="RVN107" s="4"/>
      <c r="RVO107" s="4"/>
      <c r="RVP107" s="4"/>
      <c r="RVQ107" s="4"/>
      <c r="RVR107" s="4"/>
      <c r="RVS107" s="4"/>
      <c r="RVT107" s="4"/>
      <c r="RVU107" s="4"/>
      <c r="RVV107" s="4"/>
      <c r="RVW107" s="4"/>
      <c r="RVX107" s="4"/>
      <c r="RVY107" s="4"/>
      <c r="RVZ107" s="4"/>
      <c r="RWA107" s="4"/>
      <c r="RWB107" s="4"/>
      <c r="RWC107" s="4"/>
      <c r="RWD107" s="4"/>
      <c r="RWE107" s="4"/>
      <c r="RWF107" s="4"/>
      <c r="RWG107" s="4"/>
      <c r="RWH107" s="4"/>
      <c r="RWI107" s="4"/>
      <c r="RWJ107" s="4"/>
      <c r="RWK107" s="4"/>
      <c r="RWL107" s="4"/>
      <c r="RWM107" s="4"/>
      <c r="RWN107" s="4"/>
      <c r="RWO107" s="4"/>
      <c r="RWP107" s="4"/>
      <c r="RWQ107" s="4"/>
      <c r="RWR107" s="4"/>
      <c r="RWS107" s="4"/>
      <c r="RWT107" s="4"/>
      <c r="RWU107" s="4"/>
      <c r="RWV107" s="4"/>
      <c r="RWW107" s="4"/>
      <c r="RWX107" s="4"/>
      <c r="RWY107" s="4"/>
      <c r="RWZ107" s="4"/>
      <c r="RXA107" s="4"/>
      <c r="RXB107" s="4"/>
      <c r="RXC107" s="4"/>
      <c r="RXD107" s="4"/>
      <c r="RXE107" s="4"/>
      <c r="RXF107" s="4"/>
      <c r="RXG107" s="4"/>
      <c r="RXH107" s="4"/>
      <c r="RXI107" s="4"/>
      <c r="RXJ107" s="4"/>
      <c r="RXK107" s="4"/>
      <c r="RXL107" s="4"/>
      <c r="RXM107" s="4"/>
      <c r="RXN107" s="4"/>
      <c r="RXO107" s="4"/>
      <c r="RXP107" s="4"/>
      <c r="RXQ107" s="4"/>
      <c r="RXR107" s="4"/>
      <c r="RXS107" s="4"/>
      <c r="RXT107" s="4"/>
      <c r="RXU107" s="4"/>
      <c r="RXV107" s="4"/>
      <c r="RXW107" s="4"/>
      <c r="RXX107" s="4"/>
      <c r="RXY107" s="4"/>
      <c r="RXZ107" s="4"/>
      <c r="RYA107" s="4"/>
      <c r="RYB107" s="4"/>
      <c r="RYC107" s="4"/>
      <c r="RYD107" s="4"/>
      <c r="RYE107" s="4"/>
      <c r="RYF107" s="4"/>
      <c r="RYG107" s="4"/>
      <c r="RYH107" s="4"/>
      <c r="RYI107" s="4"/>
      <c r="RYJ107" s="4"/>
      <c r="RYK107" s="4"/>
      <c r="RYL107" s="4"/>
      <c r="RYM107" s="4"/>
      <c r="RYN107" s="4"/>
      <c r="RYO107" s="4"/>
      <c r="RYP107" s="4"/>
      <c r="RYQ107" s="4"/>
      <c r="RYR107" s="4"/>
      <c r="RYS107" s="4"/>
      <c r="RYT107" s="4"/>
      <c r="RYU107" s="4"/>
      <c r="RYV107" s="4"/>
      <c r="RYW107" s="4"/>
      <c r="RYX107" s="4"/>
      <c r="RYY107" s="4"/>
      <c r="RYZ107" s="4"/>
      <c r="RZA107" s="4"/>
      <c r="RZB107" s="4"/>
      <c r="RZC107" s="4"/>
      <c r="RZD107" s="4"/>
      <c r="RZE107" s="4"/>
      <c r="RZF107" s="4"/>
      <c r="RZG107" s="4"/>
      <c r="RZH107" s="4"/>
      <c r="RZI107" s="4"/>
      <c r="RZJ107" s="4"/>
      <c r="RZK107" s="4"/>
      <c r="RZL107" s="4"/>
      <c r="RZM107" s="4"/>
      <c r="RZN107" s="4"/>
      <c r="RZO107" s="4"/>
      <c r="RZP107" s="4"/>
      <c r="RZQ107" s="4"/>
      <c r="RZR107" s="4"/>
      <c r="RZS107" s="4"/>
      <c r="RZT107" s="4"/>
      <c r="RZU107" s="4"/>
      <c r="RZV107" s="4"/>
      <c r="RZW107" s="4"/>
      <c r="RZX107" s="4"/>
      <c r="RZY107" s="4"/>
      <c r="RZZ107" s="4"/>
      <c r="SAA107" s="4"/>
      <c r="SAB107" s="4"/>
      <c r="SAC107" s="4"/>
      <c r="SAD107" s="4"/>
      <c r="SAE107" s="4"/>
      <c r="SAF107" s="4"/>
      <c r="SAG107" s="4"/>
      <c r="SAH107" s="4"/>
      <c r="SAI107" s="4"/>
      <c r="SAJ107" s="4"/>
      <c r="SAK107" s="4"/>
      <c r="SAL107" s="4"/>
      <c r="SAM107" s="4"/>
      <c r="SAN107" s="4"/>
      <c r="SAO107" s="4"/>
      <c r="SAP107" s="4"/>
      <c r="SAQ107" s="4"/>
      <c r="SAR107" s="4"/>
      <c r="SAS107" s="4"/>
      <c r="SAT107" s="4"/>
      <c r="SAU107" s="4"/>
      <c r="SAV107" s="4"/>
      <c r="SAW107" s="4"/>
      <c r="SAX107" s="4"/>
      <c r="SAY107" s="4"/>
      <c r="SAZ107" s="4"/>
      <c r="SBA107" s="4"/>
      <c r="SBB107" s="4"/>
      <c r="SBC107" s="4"/>
      <c r="SBD107" s="4"/>
      <c r="SBE107" s="4"/>
      <c r="SBF107" s="4"/>
      <c r="SBG107" s="4"/>
      <c r="SBH107" s="4"/>
      <c r="SBI107" s="4"/>
      <c r="SBJ107" s="4"/>
      <c r="SBK107" s="4"/>
      <c r="SBL107" s="4"/>
      <c r="SBM107" s="4"/>
      <c r="SBN107" s="4"/>
      <c r="SBO107" s="4"/>
      <c r="SBP107" s="4"/>
      <c r="SBQ107" s="4"/>
      <c r="SBR107" s="4"/>
      <c r="SBS107" s="4"/>
      <c r="SBT107" s="4"/>
      <c r="SBU107" s="4"/>
      <c r="SBV107" s="4"/>
      <c r="SBW107" s="4"/>
      <c r="SBX107" s="4"/>
      <c r="SBY107" s="4"/>
      <c r="SBZ107" s="4"/>
      <c r="SCA107" s="4"/>
      <c r="SCB107" s="4"/>
      <c r="SCC107" s="4"/>
      <c r="SCD107" s="4"/>
      <c r="SCE107" s="4"/>
      <c r="SCF107" s="4"/>
      <c r="SCG107" s="4"/>
      <c r="SCH107" s="4"/>
      <c r="SCI107" s="4"/>
      <c r="SCJ107" s="4"/>
      <c r="SCK107" s="4"/>
      <c r="SCL107" s="4"/>
      <c r="SCM107" s="4"/>
      <c r="SCN107" s="4"/>
      <c r="SCO107" s="4"/>
      <c r="SCP107" s="4"/>
      <c r="SCQ107" s="4"/>
      <c r="SCR107" s="4"/>
      <c r="SCS107" s="4"/>
      <c r="SCT107" s="4"/>
      <c r="SCU107" s="4"/>
      <c r="SCV107" s="4"/>
      <c r="SCW107" s="4"/>
      <c r="SCX107" s="4"/>
      <c r="SCY107" s="4"/>
      <c r="SCZ107" s="4"/>
      <c r="SDA107" s="4"/>
      <c r="SDB107" s="4"/>
      <c r="SDC107" s="4"/>
      <c r="SDD107" s="4"/>
      <c r="SDE107" s="4"/>
      <c r="SDF107" s="4"/>
      <c r="SDG107" s="4"/>
      <c r="SDH107" s="4"/>
      <c r="SDI107" s="4"/>
      <c r="SDJ107" s="4"/>
      <c r="SDK107" s="4"/>
      <c r="SDL107" s="4"/>
      <c r="SDM107" s="4"/>
      <c r="SDN107" s="4"/>
      <c r="SDO107" s="4"/>
      <c r="SDP107" s="4"/>
      <c r="SDQ107" s="4"/>
      <c r="SDR107" s="4"/>
      <c r="SDS107" s="4"/>
      <c r="SDT107" s="4"/>
      <c r="SDU107" s="4"/>
      <c r="SDV107" s="4"/>
      <c r="SDW107" s="4"/>
      <c r="SDX107" s="4"/>
      <c r="SDY107" s="4"/>
      <c r="SDZ107" s="4"/>
      <c r="SEA107" s="4"/>
      <c r="SEB107" s="4"/>
      <c r="SEC107" s="4"/>
      <c r="SED107" s="4"/>
      <c r="SEE107" s="4"/>
      <c r="SEF107" s="4"/>
      <c r="SEG107" s="4"/>
      <c r="SEH107" s="4"/>
      <c r="SEI107" s="4"/>
      <c r="SEJ107" s="4"/>
      <c r="SEK107" s="4"/>
      <c r="SEL107" s="4"/>
      <c r="SEM107" s="4"/>
      <c r="SEN107" s="4"/>
      <c r="SEO107" s="4"/>
      <c r="SEP107" s="4"/>
      <c r="SEQ107" s="4"/>
      <c r="SER107" s="4"/>
      <c r="SES107" s="4"/>
      <c r="SET107" s="4"/>
      <c r="SEU107" s="4"/>
      <c r="SEV107" s="4"/>
      <c r="SEW107" s="4"/>
      <c r="SEX107" s="4"/>
      <c r="SEY107" s="4"/>
      <c r="SEZ107" s="4"/>
      <c r="SFA107" s="4"/>
      <c r="SFB107" s="4"/>
      <c r="SFC107" s="4"/>
      <c r="SFD107" s="4"/>
      <c r="SFE107" s="4"/>
      <c r="SFF107" s="4"/>
      <c r="SFG107" s="4"/>
      <c r="SFH107" s="4"/>
      <c r="SFI107" s="4"/>
      <c r="SFJ107" s="4"/>
      <c r="SFK107" s="4"/>
      <c r="SFL107" s="4"/>
      <c r="SFM107" s="4"/>
      <c r="SFN107" s="4"/>
      <c r="SFO107" s="4"/>
      <c r="SFP107" s="4"/>
      <c r="SFQ107" s="4"/>
      <c r="SFR107" s="4"/>
      <c r="SFS107" s="4"/>
      <c r="SFT107" s="4"/>
      <c r="SFU107" s="4"/>
      <c r="SFV107" s="4"/>
      <c r="SFW107" s="4"/>
      <c r="SFX107" s="4"/>
      <c r="SFY107" s="4"/>
      <c r="SFZ107" s="4"/>
      <c r="SGA107" s="4"/>
      <c r="SGB107" s="4"/>
      <c r="SGC107" s="4"/>
      <c r="SGD107" s="4"/>
      <c r="SGE107" s="4"/>
      <c r="SGF107" s="4"/>
      <c r="SGG107" s="4"/>
      <c r="SGH107" s="4"/>
      <c r="SGI107" s="4"/>
      <c r="SGJ107" s="4"/>
      <c r="SGK107" s="4"/>
      <c r="SGL107" s="4"/>
      <c r="SGM107" s="4"/>
      <c r="SGN107" s="4"/>
      <c r="SGO107" s="4"/>
      <c r="SGP107" s="4"/>
      <c r="SGQ107" s="4"/>
      <c r="SGR107" s="4"/>
      <c r="SGS107" s="4"/>
      <c r="SGT107" s="4"/>
      <c r="SGU107" s="4"/>
      <c r="SGV107" s="4"/>
      <c r="SGW107" s="4"/>
      <c r="SGX107" s="4"/>
      <c r="SGY107" s="4"/>
      <c r="SGZ107" s="4"/>
      <c r="SHA107" s="4"/>
      <c r="SHB107" s="4"/>
      <c r="SHC107" s="4"/>
      <c r="SHD107" s="4"/>
      <c r="SHE107" s="4"/>
      <c r="SHF107" s="4"/>
      <c r="SHG107" s="4"/>
      <c r="SHH107" s="4"/>
      <c r="SHI107" s="4"/>
      <c r="SHJ107" s="4"/>
      <c r="SHK107" s="4"/>
      <c r="SHL107" s="4"/>
      <c r="SHM107" s="4"/>
      <c r="SHN107" s="4"/>
      <c r="SHO107" s="4"/>
      <c r="SHP107" s="4"/>
      <c r="SHQ107" s="4"/>
      <c r="SHR107" s="4"/>
      <c r="SHS107" s="4"/>
      <c r="SHT107" s="4"/>
      <c r="SHU107" s="4"/>
      <c r="SHV107" s="4"/>
      <c r="SHW107" s="4"/>
      <c r="SHX107" s="4"/>
      <c r="SHY107" s="4"/>
      <c r="SHZ107" s="4"/>
      <c r="SIA107" s="4"/>
      <c r="SIB107" s="4"/>
      <c r="SIC107" s="4"/>
      <c r="SID107" s="4"/>
      <c r="SIE107" s="4"/>
      <c r="SIF107" s="4"/>
      <c r="SIG107" s="4"/>
      <c r="SIH107" s="4"/>
      <c r="SII107" s="4"/>
      <c r="SIJ107" s="4"/>
      <c r="SIK107" s="4"/>
      <c r="SIL107" s="4"/>
      <c r="SIM107" s="4"/>
      <c r="SIN107" s="4"/>
      <c r="SIO107" s="4"/>
      <c r="SIP107" s="4"/>
      <c r="SIQ107" s="4"/>
      <c r="SIR107" s="4"/>
      <c r="SIS107" s="4"/>
      <c r="SIT107" s="4"/>
      <c r="SIU107" s="4"/>
      <c r="SIV107" s="4"/>
      <c r="SIW107" s="4"/>
      <c r="SIX107" s="4"/>
      <c r="SIY107" s="4"/>
      <c r="SIZ107" s="4"/>
      <c r="SJA107" s="4"/>
      <c r="SJB107" s="4"/>
      <c r="SJC107" s="4"/>
      <c r="SJD107" s="4"/>
      <c r="SJE107" s="4"/>
      <c r="SJF107" s="4"/>
      <c r="SJG107" s="4"/>
      <c r="SJH107" s="4"/>
      <c r="SJI107" s="4"/>
      <c r="SJJ107" s="4"/>
      <c r="SJK107" s="4"/>
      <c r="SJL107" s="4"/>
      <c r="SJM107" s="4"/>
      <c r="SJN107" s="4"/>
      <c r="SJO107" s="4"/>
      <c r="SJP107" s="4"/>
      <c r="SJQ107" s="4"/>
      <c r="SJR107" s="4"/>
      <c r="SJS107" s="4"/>
      <c r="SJT107" s="4"/>
      <c r="SJU107" s="4"/>
      <c r="SJV107" s="4"/>
      <c r="SJW107" s="4"/>
      <c r="SJX107" s="4"/>
      <c r="SJY107" s="4"/>
      <c r="SJZ107" s="4"/>
      <c r="SKA107" s="4"/>
      <c r="SKB107" s="4"/>
      <c r="SKC107" s="4"/>
      <c r="SKD107" s="4"/>
      <c r="SKE107" s="4"/>
      <c r="SKF107" s="4"/>
      <c r="SKG107" s="4"/>
      <c r="SKH107" s="4"/>
      <c r="SKI107" s="4"/>
      <c r="SKJ107" s="4"/>
      <c r="SKK107" s="4"/>
      <c r="SKL107" s="4"/>
      <c r="SKM107" s="4"/>
      <c r="SKN107" s="4"/>
      <c r="SKO107" s="4"/>
      <c r="SKP107" s="4"/>
      <c r="SKQ107" s="4"/>
      <c r="SKR107" s="4"/>
      <c r="SKS107" s="4"/>
      <c r="SKT107" s="4"/>
      <c r="SKU107" s="4"/>
      <c r="SKV107" s="4"/>
      <c r="SKW107" s="4"/>
      <c r="SKX107" s="4"/>
      <c r="SKY107" s="4"/>
      <c r="SKZ107" s="4"/>
      <c r="SLA107" s="4"/>
      <c r="SLB107" s="4"/>
      <c r="SLC107" s="4"/>
      <c r="SLD107" s="4"/>
      <c r="SLE107" s="4"/>
      <c r="SLF107" s="4"/>
      <c r="SLG107" s="4"/>
      <c r="SLH107" s="4"/>
      <c r="SLI107" s="4"/>
      <c r="SLJ107" s="4"/>
      <c r="SLK107" s="4"/>
      <c r="SLL107" s="4"/>
      <c r="SLM107" s="4"/>
      <c r="SLN107" s="4"/>
      <c r="SLO107" s="4"/>
      <c r="SLP107" s="4"/>
      <c r="SLQ107" s="4"/>
      <c r="SLR107" s="4"/>
      <c r="SLS107" s="4"/>
      <c r="SLT107" s="4"/>
      <c r="SLU107" s="4"/>
      <c r="SLV107" s="4"/>
      <c r="SLW107" s="4"/>
      <c r="SLX107" s="4"/>
      <c r="SLY107" s="4"/>
      <c r="SLZ107" s="4"/>
      <c r="SMA107" s="4"/>
      <c r="SMB107" s="4"/>
      <c r="SMC107" s="4"/>
      <c r="SMD107" s="4"/>
      <c r="SME107" s="4"/>
      <c r="SMF107" s="4"/>
      <c r="SMG107" s="4"/>
      <c r="SMH107" s="4"/>
      <c r="SMI107" s="4"/>
      <c r="SMJ107" s="4"/>
      <c r="SMK107" s="4"/>
      <c r="SML107" s="4"/>
      <c r="SMM107" s="4"/>
      <c r="SMN107" s="4"/>
      <c r="SMO107" s="4"/>
      <c r="SMP107" s="4"/>
      <c r="SMQ107" s="4"/>
      <c r="SMR107" s="4"/>
      <c r="SMS107" s="4"/>
      <c r="SMT107" s="4"/>
      <c r="SMU107" s="4"/>
      <c r="SMV107" s="4"/>
      <c r="SMW107" s="4"/>
      <c r="SMX107" s="4"/>
      <c r="SMY107" s="4"/>
      <c r="SMZ107" s="4"/>
      <c r="SNA107" s="4"/>
      <c r="SNB107" s="4"/>
      <c r="SNC107" s="4"/>
      <c r="SND107" s="4"/>
      <c r="SNE107" s="4"/>
      <c r="SNF107" s="4"/>
      <c r="SNG107" s="4"/>
      <c r="SNH107" s="4"/>
      <c r="SNI107" s="4"/>
      <c r="SNJ107" s="4"/>
      <c r="SNK107" s="4"/>
      <c r="SNL107" s="4"/>
      <c r="SNM107" s="4"/>
      <c r="SNN107" s="4"/>
      <c r="SNO107" s="4"/>
      <c r="SNP107" s="4"/>
      <c r="SNQ107" s="4"/>
      <c r="SNR107" s="4"/>
      <c r="SNS107" s="4"/>
      <c r="SNT107" s="4"/>
      <c r="SNU107" s="4"/>
      <c r="SNV107" s="4"/>
      <c r="SNW107" s="4"/>
      <c r="SNX107" s="4"/>
      <c r="SNY107" s="4"/>
      <c r="SNZ107" s="4"/>
      <c r="SOA107" s="4"/>
      <c r="SOB107" s="4"/>
      <c r="SOC107" s="4"/>
      <c r="SOD107" s="4"/>
      <c r="SOE107" s="4"/>
      <c r="SOF107" s="4"/>
      <c r="SOG107" s="4"/>
      <c r="SOH107" s="4"/>
      <c r="SOI107" s="4"/>
      <c r="SOJ107" s="4"/>
      <c r="SOK107" s="4"/>
      <c r="SOL107" s="4"/>
      <c r="SOM107" s="4"/>
      <c r="SON107" s="4"/>
      <c r="SOO107" s="4"/>
      <c r="SOP107" s="4"/>
      <c r="SOQ107" s="4"/>
      <c r="SOR107" s="4"/>
      <c r="SOS107" s="4"/>
      <c r="SOT107" s="4"/>
      <c r="SOU107" s="4"/>
      <c r="SOV107" s="4"/>
      <c r="SOW107" s="4"/>
      <c r="SOX107" s="4"/>
      <c r="SOY107" s="4"/>
      <c r="SOZ107" s="4"/>
      <c r="SPA107" s="4"/>
      <c r="SPB107" s="4"/>
      <c r="SPC107" s="4"/>
      <c r="SPD107" s="4"/>
      <c r="SPE107" s="4"/>
      <c r="SPF107" s="4"/>
      <c r="SPG107" s="4"/>
      <c r="SPH107" s="4"/>
      <c r="SPI107" s="4"/>
      <c r="SPJ107" s="4"/>
      <c r="SPK107" s="4"/>
      <c r="SPL107" s="4"/>
      <c r="SPM107" s="4"/>
      <c r="SPN107" s="4"/>
      <c r="SPO107" s="4"/>
      <c r="SPP107" s="4"/>
      <c r="SPQ107" s="4"/>
      <c r="SPR107" s="4"/>
      <c r="SPS107" s="4"/>
      <c r="SPT107" s="4"/>
      <c r="SPU107" s="4"/>
      <c r="SPV107" s="4"/>
      <c r="SPW107" s="4"/>
      <c r="SPX107" s="4"/>
      <c r="SPY107" s="4"/>
      <c r="SPZ107" s="4"/>
      <c r="SQA107" s="4"/>
      <c r="SQB107" s="4"/>
      <c r="SQC107" s="4"/>
      <c r="SQD107" s="4"/>
      <c r="SQE107" s="4"/>
      <c r="SQF107" s="4"/>
      <c r="SQG107" s="4"/>
      <c r="SQH107" s="4"/>
      <c r="SQI107" s="4"/>
      <c r="SQJ107" s="4"/>
      <c r="SQK107" s="4"/>
      <c r="SQL107" s="4"/>
      <c r="SQM107" s="4"/>
      <c r="SQN107" s="4"/>
      <c r="SQO107" s="4"/>
      <c r="SQP107" s="4"/>
      <c r="SQQ107" s="4"/>
      <c r="SQR107" s="4"/>
      <c r="SQS107" s="4"/>
      <c r="SQT107" s="4"/>
      <c r="SQU107" s="4"/>
      <c r="SQV107" s="4"/>
      <c r="SQW107" s="4"/>
      <c r="SQX107" s="4"/>
      <c r="SQY107" s="4"/>
      <c r="SQZ107" s="4"/>
      <c r="SRA107" s="4"/>
      <c r="SRB107" s="4"/>
      <c r="SRC107" s="4"/>
      <c r="SRD107" s="4"/>
      <c r="SRE107" s="4"/>
      <c r="SRF107" s="4"/>
      <c r="SRG107" s="4"/>
      <c r="SRH107" s="4"/>
      <c r="SRI107" s="4"/>
      <c r="SRJ107" s="4"/>
      <c r="SRK107" s="4"/>
      <c r="SRL107" s="4"/>
      <c r="SRM107" s="4"/>
      <c r="SRN107" s="4"/>
      <c r="SRO107" s="4"/>
      <c r="SRP107" s="4"/>
      <c r="SRQ107" s="4"/>
      <c r="SRR107" s="4"/>
      <c r="SRS107" s="4"/>
      <c r="SRT107" s="4"/>
      <c r="SRU107" s="4"/>
      <c r="SRV107" s="4"/>
      <c r="SRW107" s="4"/>
      <c r="SRX107" s="4"/>
      <c r="SRY107" s="4"/>
      <c r="SRZ107" s="4"/>
      <c r="SSA107" s="4"/>
      <c r="SSB107" s="4"/>
      <c r="SSC107" s="4"/>
      <c r="SSD107" s="4"/>
      <c r="SSE107" s="4"/>
      <c r="SSF107" s="4"/>
      <c r="SSG107" s="4"/>
      <c r="SSH107" s="4"/>
      <c r="SSI107" s="4"/>
      <c r="SSJ107" s="4"/>
      <c r="SSK107" s="4"/>
      <c r="SSL107" s="4"/>
      <c r="SSM107" s="4"/>
      <c r="SSN107" s="4"/>
      <c r="SSO107" s="4"/>
      <c r="SSP107" s="4"/>
      <c r="SSQ107" s="4"/>
      <c r="SSR107" s="4"/>
      <c r="SSS107" s="4"/>
      <c r="SST107" s="4"/>
      <c r="SSU107" s="4"/>
      <c r="SSV107" s="4"/>
      <c r="SSW107" s="4"/>
      <c r="SSX107" s="4"/>
      <c r="SSY107" s="4"/>
      <c r="SSZ107" s="4"/>
      <c r="STA107" s="4"/>
      <c r="STB107" s="4"/>
      <c r="STC107" s="4"/>
      <c r="STD107" s="4"/>
      <c r="STE107" s="4"/>
      <c r="STF107" s="4"/>
      <c r="STG107" s="4"/>
      <c r="STH107" s="4"/>
      <c r="STI107" s="4"/>
      <c r="STJ107" s="4"/>
      <c r="STK107" s="4"/>
      <c r="STL107" s="4"/>
      <c r="STM107" s="4"/>
      <c r="STN107" s="4"/>
      <c r="STO107" s="4"/>
      <c r="STP107" s="4"/>
      <c r="STQ107" s="4"/>
      <c r="STR107" s="4"/>
      <c r="STS107" s="4"/>
      <c r="STT107" s="4"/>
      <c r="STU107" s="4"/>
      <c r="STV107" s="4"/>
      <c r="STW107" s="4"/>
      <c r="STX107" s="4"/>
      <c r="STY107" s="4"/>
      <c r="STZ107" s="4"/>
      <c r="SUA107" s="4"/>
      <c r="SUB107" s="4"/>
      <c r="SUC107" s="4"/>
      <c r="SUD107" s="4"/>
      <c r="SUE107" s="4"/>
      <c r="SUF107" s="4"/>
      <c r="SUG107" s="4"/>
      <c r="SUH107" s="4"/>
      <c r="SUI107" s="4"/>
      <c r="SUJ107" s="4"/>
      <c r="SUK107" s="4"/>
      <c r="SUL107" s="4"/>
      <c r="SUM107" s="4"/>
      <c r="SUN107" s="4"/>
      <c r="SUO107" s="4"/>
      <c r="SUP107" s="4"/>
      <c r="SUQ107" s="4"/>
      <c r="SUR107" s="4"/>
      <c r="SUS107" s="4"/>
      <c r="SUT107" s="4"/>
      <c r="SUU107" s="4"/>
      <c r="SUV107" s="4"/>
      <c r="SUW107" s="4"/>
      <c r="SUX107" s="4"/>
      <c r="SUY107" s="4"/>
      <c r="SUZ107" s="4"/>
      <c r="SVA107" s="4"/>
      <c r="SVB107" s="4"/>
      <c r="SVC107" s="4"/>
      <c r="SVD107" s="4"/>
      <c r="SVE107" s="4"/>
      <c r="SVF107" s="4"/>
      <c r="SVG107" s="4"/>
      <c r="SVH107" s="4"/>
      <c r="SVI107" s="4"/>
      <c r="SVJ107" s="4"/>
      <c r="SVK107" s="4"/>
      <c r="SVL107" s="4"/>
      <c r="SVM107" s="4"/>
      <c r="SVN107" s="4"/>
      <c r="SVO107" s="4"/>
      <c r="SVP107" s="4"/>
      <c r="SVQ107" s="4"/>
      <c r="SVR107" s="4"/>
      <c r="SVS107" s="4"/>
      <c r="SVT107" s="4"/>
      <c r="SVU107" s="4"/>
      <c r="SVV107" s="4"/>
      <c r="SVW107" s="4"/>
      <c r="SVX107" s="4"/>
      <c r="SVY107" s="4"/>
      <c r="SVZ107" s="4"/>
      <c r="SWA107" s="4"/>
      <c r="SWB107" s="4"/>
      <c r="SWC107" s="4"/>
      <c r="SWD107" s="4"/>
      <c r="SWE107" s="4"/>
      <c r="SWF107" s="4"/>
      <c r="SWG107" s="4"/>
      <c r="SWH107" s="4"/>
      <c r="SWI107" s="4"/>
      <c r="SWJ107" s="4"/>
      <c r="SWK107" s="4"/>
      <c r="SWL107" s="4"/>
      <c r="SWM107" s="4"/>
      <c r="SWN107" s="4"/>
      <c r="SWO107" s="4"/>
      <c r="SWP107" s="4"/>
      <c r="SWQ107" s="4"/>
      <c r="SWR107" s="4"/>
      <c r="SWS107" s="4"/>
      <c r="SWT107" s="4"/>
      <c r="SWU107" s="4"/>
      <c r="SWV107" s="4"/>
      <c r="SWW107" s="4"/>
      <c r="SWX107" s="4"/>
      <c r="SWY107" s="4"/>
      <c r="SWZ107" s="4"/>
      <c r="SXA107" s="4"/>
      <c r="SXB107" s="4"/>
      <c r="SXC107" s="4"/>
      <c r="SXD107" s="4"/>
      <c r="SXE107" s="4"/>
      <c r="SXF107" s="4"/>
      <c r="SXG107" s="4"/>
      <c r="SXH107" s="4"/>
      <c r="SXI107" s="4"/>
      <c r="SXJ107" s="4"/>
      <c r="SXK107" s="4"/>
      <c r="SXL107" s="4"/>
      <c r="SXM107" s="4"/>
      <c r="SXN107" s="4"/>
      <c r="SXO107" s="4"/>
      <c r="SXP107" s="4"/>
      <c r="SXQ107" s="4"/>
      <c r="SXR107" s="4"/>
      <c r="SXS107" s="4"/>
      <c r="SXT107" s="4"/>
      <c r="SXU107" s="4"/>
      <c r="SXV107" s="4"/>
      <c r="SXW107" s="4"/>
      <c r="SXX107" s="4"/>
      <c r="SXY107" s="4"/>
      <c r="SXZ107" s="4"/>
      <c r="SYA107" s="4"/>
      <c r="SYB107" s="4"/>
      <c r="SYC107" s="4"/>
      <c r="SYD107" s="4"/>
      <c r="SYE107" s="4"/>
      <c r="SYF107" s="4"/>
      <c r="SYG107" s="4"/>
      <c r="SYH107" s="4"/>
      <c r="SYI107" s="4"/>
      <c r="SYJ107" s="4"/>
      <c r="SYK107" s="4"/>
      <c r="SYL107" s="4"/>
      <c r="SYM107" s="4"/>
      <c r="SYN107" s="4"/>
      <c r="SYO107" s="4"/>
      <c r="SYP107" s="4"/>
      <c r="SYQ107" s="4"/>
      <c r="SYR107" s="4"/>
      <c r="SYS107" s="4"/>
      <c r="SYT107" s="4"/>
      <c r="SYU107" s="4"/>
      <c r="SYV107" s="4"/>
      <c r="SYW107" s="4"/>
      <c r="SYX107" s="4"/>
      <c r="SYY107" s="4"/>
      <c r="SYZ107" s="4"/>
      <c r="SZA107" s="4"/>
      <c r="SZB107" s="4"/>
      <c r="SZC107" s="4"/>
      <c r="SZD107" s="4"/>
      <c r="SZE107" s="4"/>
      <c r="SZF107" s="4"/>
      <c r="SZG107" s="4"/>
      <c r="SZH107" s="4"/>
      <c r="SZI107" s="4"/>
      <c r="SZJ107" s="4"/>
      <c r="SZK107" s="4"/>
      <c r="SZL107" s="4"/>
      <c r="SZM107" s="4"/>
      <c r="SZN107" s="4"/>
      <c r="SZO107" s="4"/>
      <c r="SZP107" s="4"/>
      <c r="SZQ107" s="4"/>
      <c r="SZR107" s="4"/>
      <c r="SZS107" s="4"/>
      <c r="SZT107" s="4"/>
      <c r="SZU107" s="4"/>
      <c r="SZV107" s="4"/>
      <c r="SZW107" s="4"/>
      <c r="SZX107" s="4"/>
      <c r="SZY107" s="4"/>
      <c r="SZZ107" s="4"/>
      <c r="TAA107" s="4"/>
      <c r="TAB107" s="4"/>
      <c r="TAC107" s="4"/>
      <c r="TAD107" s="4"/>
      <c r="TAE107" s="4"/>
      <c r="TAF107" s="4"/>
      <c r="TAG107" s="4"/>
      <c r="TAH107" s="4"/>
      <c r="TAI107" s="4"/>
      <c r="TAJ107" s="4"/>
      <c r="TAK107" s="4"/>
      <c r="TAL107" s="4"/>
      <c r="TAM107" s="4"/>
      <c r="TAN107" s="4"/>
      <c r="TAO107" s="4"/>
      <c r="TAP107" s="4"/>
      <c r="TAQ107" s="4"/>
      <c r="TAR107" s="4"/>
      <c r="TAS107" s="4"/>
      <c r="TAT107" s="4"/>
      <c r="TAU107" s="4"/>
      <c r="TAV107" s="4"/>
      <c r="TAW107" s="4"/>
      <c r="TAX107" s="4"/>
      <c r="TAY107" s="4"/>
      <c r="TAZ107" s="4"/>
      <c r="TBA107" s="4"/>
      <c r="TBB107" s="4"/>
      <c r="TBC107" s="4"/>
      <c r="TBD107" s="4"/>
      <c r="TBE107" s="4"/>
      <c r="TBF107" s="4"/>
      <c r="TBG107" s="4"/>
      <c r="TBH107" s="4"/>
      <c r="TBI107" s="4"/>
      <c r="TBJ107" s="4"/>
      <c r="TBK107" s="4"/>
      <c r="TBL107" s="4"/>
      <c r="TBM107" s="4"/>
      <c r="TBN107" s="4"/>
      <c r="TBO107" s="4"/>
      <c r="TBP107" s="4"/>
      <c r="TBQ107" s="4"/>
      <c r="TBR107" s="4"/>
      <c r="TBS107" s="4"/>
      <c r="TBT107" s="4"/>
      <c r="TBU107" s="4"/>
      <c r="TBV107" s="4"/>
      <c r="TBW107" s="4"/>
      <c r="TBX107" s="4"/>
      <c r="TBY107" s="4"/>
      <c r="TBZ107" s="4"/>
      <c r="TCA107" s="4"/>
      <c r="TCB107" s="4"/>
      <c r="TCC107" s="4"/>
      <c r="TCD107" s="4"/>
      <c r="TCE107" s="4"/>
      <c r="TCF107" s="4"/>
      <c r="TCG107" s="4"/>
      <c r="TCH107" s="4"/>
      <c r="TCI107" s="4"/>
      <c r="TCJ107" s="4"/>
      <c r="TCK107" s="4"/>
      <c r="TCL107" s="4"/>
      <c r="TCM107" s="4"/>
      <c r="TCN107" s="4"/>
      <c r="TCO107" s="4"/>
      <c r="TCP107" s="4"/>
      <c r="TCQ107" s="4"/>
      <c r="TCR107" s="4"/>
      <c r="TCS107" s="4"/>
      <c r="TCT107" s="4"/>
      <c r="TCU107" s="4"/>
      <c r="TCV107" s="4"/>
      <c r="TCW107" s="4"/>
      <c r="TCX107" s="4"/>
      <c r="TCY107" s="4"/>
      <c r="TCZ107" s="4"/>
      <c r="TDA107" s="4"/>
      <c r="TDB107" s="4"/>
      <c r="TDC107" s="4"/>
      <c r="TDD107" s="4"/>
      <c r="TDE107" s="4"/>
      <c r="TDF107" s="4"/>
      <c r="TDG107" s="4"/>
      <c r="TDH107" s="4"/>
      <c r="TDI107" s="4"/>
      <c r="TDJ107" s="4"/>
      <c r="TDK107" s="4"/>
      <c r="TDL107" s="4"/>
      <c r="TDM107" s="4"/>
      <c r="TDN107" s="4"/>
      <c r="TDO107" s="4"/>
      <c r="TDP107" s="4"/>
      <c r="TDQ107" s="4"/>
      <c r="TDR107" s="4"/>
      <c r="TDS107" s="4"/>
      <c r="TDT107" s="4"/>
      <c r="TDU107" s="4"/>
      <c r="TDV107" s="4"/>
      <c r="TDW107" s="4"/>
      <c r="TDX107" s="4"/>
      <c r="TDY107" s="4"/>
      <c r="TDZ107" s="4"/>
      <c r="TEA107" s="4"/>
      <c r="TEB107" s="4"/>
      <c r="TEC107" s="4"/>
      <c r="TED107" s="4"/>
      <c r="TEE107" s="4"/>
      <c r="TEF107" s="4"/>
      <c r="TEG107" s="4"/>
      <c r="TEH107" s="4"/>
      <c r="TEI107" s="4"/>
      <c r="TEJ107" s="4"/>
      <c r="TEK107" s="4"/>
      <c r="TEL107" s="4"/>
      <c r="TEM107" s="4"/>
      <c r="TEN107" s="4"/>
      <c r="TEO107" s="4"/>
      <c r="TEP107" s="4"/>
      <c r="TEQ107" s="4"/>
      <c r="TER107" s="4"/>
      <c r="TES107" s="4"/>
      <c r="TET107" s="4"/>
      <c r="TEU107" s="4"/>
      <c r="TEV107" s="4"/>
      <c r="TEW107" s="4"/>
      <c r="TEX107" s="4"/>
      <c r="TEY107" s="4"/>
      <c r="TEZ107" s="4"/>
      <c r="TFA107" s="4"/>
      <c r="TFB107" s="4"/>
      <c r="TFC107" s="4"/>
      <c r="TFD107" s="4"/>
      <c r="TFE107" s="4"/>
      <c r="TFF107" s="4"/>
      <c r="TFG107" s="4"/>
      <c r="TFH107" s="4"/>
      <c r="TFI107" s="4"/>
      <c r="TFJ107" s="4"/>
      <c r="TFK107" s="4"/>
      <c r="TFL107" s="4"/>
      <c r="TFM107" s="4"/>
      <c r="TFN107" s="4"/>
      <c r="TFO107" s="4"/>
      <c r="TFP107" s="4"/>
      <c r="TFQ107" s="4"/>
      <c r="TFR107" s="4"/>
      <c r="TFS107" s="4"/>
      <c r="TFT107" s="4"/>
      <c r="TFU107" s="4"/>
      <c r="TFV107" s="4"/>
      <c r="TFW107" s="4"/>
      <c r="TFX107" s="4"/>
      <c r="TFY107" s="4"/>
      <c r="TFZ107" s="4"/>
      <c r="TGA107" s="4"/>
      <c r="TGB107" s="4"/>
      <c r="TGC107" s="4"/>
      <c r="TGD107" s="4"/>
      <c r="TGE107" s="4"/>
      <c r="TGF107" s="4"/>
      <c r="TGG107" s="4"/>
      <c r="TGH107" s="4"/>
      <c r="TGI107" s="4"/>
      <c r="TGJ107" s="4"/>
      <c r="TGK107" s="4"/>
      <c r="TGL107" s="4"/>
      <c r="TGM107" s="4"/>
      <c r="TGN107" s="4"/>
      <c r="TGO107" s="4"/>
      <c r="TGP107" s="4"/>
      <c r="TGQ107" s="4"/>
      <c r="TGR107" s="4"/>
      <c r="TGS107" s="4"/>
      <c r="TGT107" s="4"/>
      <c r="TGU107" s="4"/>
      <c r="TGV107" s="4"/>
      <c r="TGW107" s="4"/>
      <c r="TGX107" s="4"/>
      <c r="TGY107" s="4"/>
      <c r="TGZ107" s="4"/>
      <c r="THA107" s="4"/>
      <c r="THB107" s="4"/>
      <c r="THC107" s="4"/>
      <c r="THD107" s="4"/>
      <c r="THE107" s="4"/>
      <c r="THF107" s="4"/>
      <c r="THG107" s="4"/>
      <c r="THH107" s="4"/>
      <c r="THI107" s="4"/>
      <c r="THJ107" s="4"/>
      <c r="THK107" s="4"/>
      <c r="THL107" s="4"/>
      <c r="THM107" s="4"/>
      <c r="THN107" s="4"/>
      <c r="THO107" s="4"/>
      <c r="THP107" s="4"/>
      <c r="THQ107" s="4"/>
      <c r="THR107" s="4"/>
      <c r="THS107" s="4"/>
      <c r="THT107" s="4"/>
      <c r="THU107" s="4"/>
      <c r="THV107" s="4"/>
      <c r="THW107" s="4"/>
      <c r="THX107" s="4"/>
      <c r="THY107" s="4"/>
      <c r="THZ107" s="4"/>
      <c r="TIA107" s="4"/>
      <c r="TIB107" s="4"/>
      <c r="TIC107" s="4"/>
      <c r="TID107" s="4"/>
      <c r="TIE107" s="4"/>
      <c r="TIF107" s="4"/>
      <c r="TIG107" s="4"/>
      <c r="TIH107" s="4"/>
      <c r="TII107" s="4"/>
      <c r="TIJ107" s="4"/>
      <c r="TIK107" s="4"/>
      <c r="TIL107" s="4"/>
      <c r="TIM107" s="4"/>
      <c r="TIN107" s="4"/>
      <c r="TIO107" s="4"/>
      <c r="TIP107" s="4"/>
      <c r="TIQ107" s="4"/>
      <c r="TIR107" s="4"/>
      <c r="TIS107" s="4"/>
      <c r="TIT107" s="4"/>
      <c r="TIU107" s="4"/>
      <c r="TIV107" s="4"/>
      <c r="TIW107" s="4"/>
      <c r="TIX107" s="4"/>
      <c r="TIY107" s="4"/>
      <c r="TIZ107" s="4"/>
      <c r="TJA107" s="4"/>
      <c r="TJB107" s="4"/>
      <c r="TJC107" s="4"/>
      <c r="TJD107" s="4"/>
      <c r="TJE107" s="4"/>
      <c r="TJF107" s="4"/>
      <c r="TJG107" s="4"/>
      <c r="TJH107" s="4"/>
      <c r="TJI107" s="4"/>
      <c r="TJJ107" s="4"/>
      <c r="TJK107" s="4"/>
      <c r="TJL107" s="4"/>
      <c r="TJM107" s="4"/>
      <c r="TJN107" s="4"/>
      <c r="TJO107" s="4"/>
      <c r="TJP107" s="4"/>
      <c r="TJQ107" s="4"/>
      <c r="TJR107" s="4"/>
      <c r="TJS107" s="4"/>
      <c r="TJT107" s="4"/>
      <c r="TJU107" s="4"/>
      <c r="TJV107" s="4"/>
      <c r="TJW107" s="4"/>
      <c r="TJX107" s="4"/>
      <c r="TJY107" s="4"/>
      <c r="TJZ107" s="4"/>
      <c r="TKA107" s="4"/>
      <c r="TKB107" s="4"/>
      <c r="TKC107" s="4"/>
      <c r="TKD107" s="4"/>
      <c r="TKE107" s="4"/>
      <c r="TKF107" s="4"/>
      <c r="TKG107" s="4"/>
      <c r="TKH107" s="4"/>
      <c r="TKI107" s="4"/>
      <c r="TKJ107" s="4"/>
      <c r="TKK107" s="4"/>
      <c r="TKL107" s="4"/>
      <c r="TKM107" s="4"/>
      <c r="TKN107" s="4"/>
      <c r="TKO107" s="4"/>
      <c r="TKP107" s="4"/>
      <c r="TKQ107" s="4"/>
      <c r="TKR107" s="4"/>
      <c r="TKS107" s="4"/>
      <c r="TKT107" s="4"/>
      <c r="TKU107" s="4"/>
      <c r="TKV107" s="4"/>
      <c r="TKW107" s="4"/>
      <c r="TKX107" s="4"/>
      <c r="TKY107" s="4"/>
      <c r="TKZ107" s="4"/>
      <c r="TLA107" s="4"/>
      <c r="TLB107" s="4"/>
      <c r="TLC107" s="4"/>
      <c r="TLD107" s="4"/>
      <c r="TLE107" s="4"/>
      <c r="TLF107" s="4"/>
      <c r="TLG107" s="4"/>
      <c r="TLH107" s="4"/>
      <c r="TLI107" s="4"/>
      <c r="TLJ107" s="4"/>
      <c r="TLK107" s="4"/>
      <c r="TLL107" s="4"/>
      <c r="TLM107" s="4"/>
      <c r="TLN107" s="4"/>
      <c r="TLO107" s="4"/>
      <c r="TLP107" s="4"/>
      <c r="TLQ107" s="4"/>
      <c r="TLR107" s="4"/>
      <c r="TLS107" s="4"/>
      <c r="TLT107" s="4"/>
      <c r="TLU107" s="4"/>
      <c r="TLV107" s="4"/>
      <c r="TLW107" s="4"/>
      <c r="TLX107" s="4"/>
      <c r="TLY107" s="4"/>
      <c r="TLZ107" s="4"/>
      <c r="TMA107" s="4"/>
      <c r="TMB107" s="4"/>
      <c r="TMC107" s="4"/>
      <c r="TMD107" s="4"/>
      <c r="TME107" s="4"/>
      <c r="TMF107" s="4"/>
      <c r="TMG107" s="4"/>
      <c r="TMH107" s="4"/>
      <c r="TMI107" s="4"/>
      <c r="TMJ107" s="4"/>
      <c r="TMK107" s="4"/>
      <c r="TML107" s="4"/>
      <c r="TMM107" s="4"/>
      <c r="TMN107" s="4"/>
      <c r="TMO107" s="4"/>
      <c r="TMP107" s="4"/>
      <c r="TMQ107" s="4"/>
      <c r="TMR107" s="4"/>
      <c r="TMS107" s="4"/>
      <c r="TMT107" s="4"/>
      <c r="TMU107" s="4"/>
      <c r="TMV107" s="4"/>
      <c r="TMW107" s="4"/>
      <c r="TMX107" s="4"/>
      <c r="TMY107" s="4"/>
      <c r="TMZ107" s="4"/>
      <c r="TNA107" s="4"/>
      <c r="TNB107" s="4"/>
      <c r="TNC107" s="4"/>
      <c r="TND107" s="4"/>
      <c r="TNE107" s="4"/>
      <c r="TNF107" s="4"/>
      <c r="TNG107" s="4"/>
      <c r="TNH107" s="4"/>
      <c r="TNI107" s="4"/>
      <c r="TNJ107" s="4"/>
      <c r="TNK107" s="4"/>
      <c r="TNL107" s="4"/>
      <c r="TNM107" s="4"/>
      <c r="TNN107" s="4"/>
      <c r="TNO107" s="4"/>
      <c r="TNP107" s="4"/>
      <c r="TNQ107" s="4"/>
      <c r="TNR107" s="4"/>
      <c r="TNS107" s="4"/>
      <c r="TNT107" s="4"/>
      <c r="TNU107" s="4"/>
      <c r="TNV107" s="4"/>
      <c r="TNW107" s="4"/>
      <c r="TNX107" s="4"/>
      <c r="TNY107" s="4"/>
      <c r="TNZ107" s="4"/>
      <c r="TOA107" s="4"/>
      <c r="TOB107" s="4"/>
      <c r="TOC107" s="4"/>
      <c r="TOD107" s="4"/>
      <c r="TOE107" s="4"/>
      <c r="TOF107" s="4"/>
      <c r="TOG107" s="4"/>
      <c r="TOH107" s="4"/>
      <c r="TOI107" s="4"/>
      <c r="TOJ107" s="4"/>
      <c r="TOK107" s="4"/>
      <c r="TOL107" s="4"/>
      <c r="TOM107" s="4"/>
      <c r="TON107" s="4"/>
      <c r="TOO107" s="4"/>
      <c r="TOP107" s="4"/>
      <c r="TOQ107" s="4"/>
      <c r="TOR107" s="4"/>
      <c r="TOS107" s="4"/>
      <c r="TOT107" s="4"/>
      <c r="TOU107" s="4"/>
      <c r="TOV107" s="4"/>
      <c r="TOW107" s="4"/>
      <c r="TOX107" s="4"/>
      <c r="TOY107" s="4"/>
      <c r="TOZ107" s="4"/>
      <c r="TPA107" s="4"/>
      <c r="TPB107" s="4"/>
      <c r="TPC107" s="4"/>
      <c r="TPD107" s="4"/>
      <c r="TPE107" s="4"/>
      <c r="TPF107" s="4"/>
      <c r="TPG107" s="4"/>
      <c r="TPH107" s="4"/>
      <c r="TPI107" s="4"/>
      <c r="TPJ107" s="4"/>
      <c r="TPK107" s="4"/>
      <c r="TPL107" s="4"/>
      <c r="TPM107" s="4"/>
      <c r="TPN107" s="4"/>
      <c r="TPO107" s="4"/>
      <c r="TPP107" s="4"/>
      <c r="TPQ107" s="4"/>
      <c r="TPR107" s="4"/>
      <c r="TPS107" s="4"/>
      <c r="TPT107" s="4"/>
      <c r="TPU107" s="4"/>
      <c r="TPV107" s="4"/>
      <c r="TPW107" s="4"/>
      <c r="TPX107" s="4"/>
      <c r="TPY107" s="4"/>
      <c r="TPZ107" s="4"/>
      <c r="TQA107" s="4"/>
      <c r="TQB107" s="4"/>
      <c r="TQC107" s="4"/>
      <c r="TQD107" s="4"/>
      <c r="TQE107" s="4"/>
      <c r="TQF107" s="4"/>
      <c r="TQG107" s="4"/>
      <c r="TQH107" s="4"/>
      <c r="TQI107" s="4"/>
      <c r="TQJ107" s="4"/>
      <c r="TQK107" s="4"/>
      <c r="TQL107" s="4"/>
      <c r="TQM107" s="4"/>
      <c r="TQN107" s="4"/>
      <c r="TQO107" s="4"/>
      <c r="TQP107" s="4"/>
      <c r="TQQ107" s="4"/>
      <c r="TQR107" s="4"/>
      <c r="TQS107" s="4"/>
      <c r="TQT107" s="4"/>
      <c r="TQU107" s="4"/>
      <c r="TQV107" s="4"/>
      <c r="TQW107" s="4"/>
      <c r="TQX107" s="4"/>
      <c r="TQY107" s="4"/>
      <c r="TQZ107" s="4"/>
      <c r="TRA107" s="4"/>
      <c r="TRB107" s="4"/>
      <c r="TRC107" s="4"/>
      <c r="TRD107" s="4"/>
      <c r="TRE107" s="4"/>
      <c r="TRF107" s="4"/>
      <c r="TRG107" s="4"/>
      <c r="TRH107" s="4"/>
      <c r="TRI107" s="4"/>
      <c r="TRJ107" s="4"/>
      <c r="TRK107" s="4"/>
      <c r="TRL107" s="4"/>
      <c r="TRM107" s="4"/>
      <c r="TRN107" s="4"/>
      <c r="TRO107" s="4"/>
      <c r="TRP107" s="4"/>
      <c r="TRQ107" s="4"/>
      <c r="TRR107" s="4"/>
      <c r="TRS107" s="4"/>
      <c r="TRT107" s="4"/>
      <c r="TRU107" s="4"/>
      <c r="TRV107" s="4"/>
      <c r="TRW107" s="4"/>
      <c r="TRX107" s="4"/>
      <c r="TRY107" s="4"/>
      <c r="TRZ107" s="4"/>
      <c r="TSA107" s="4"/>
      <c r="TSB107" s="4"/>
      <c r="TSC107" s="4"/>
      <c r="TSD107" s="4"/>
      <c r="TSE107" s="4"/>
      <c r="TSF107" s="4"/>
      <c r="TSG107" s="4"/>
      <c r="TSH107" s="4"/>
      <c r="TSI107" s="4"/>
      <c r="TSJ107" s="4"/>
      <c r="TSK107" s="4"/>
      <c r="TSL107" s="4"/>
      <c r="TSM107" s="4"/>
      <c r="TSN107" s="4"/>
      <c r="TSO107" s="4"/>
      <c r="TSP107" s="4"/>
      <c r="TSQ107" s="4"/>
      <c r="TSR107" s="4"/>
      <c r="TSS107" s="4"/>
      <c r="TST107" s="4"/>
      <c r="TSU107" s="4"/>
      <c r="TSV107" s="4"/>
      <c r="TSW107" s="4"/>
      <c r="TSX107" s="4"/>
      <c r="TSY107" s="4"/>
      <c r="TSZ107" s="4"/>
      <c r="TTA107" s="4"/>
      <c r="TTB107" s="4"/>
      <c r="TTC107" s="4"/>
      <c r="TTD107" s="4"/>
      <c r="TTE107" s="4"/>
      <c r="TTF107" s="4"/>
      <c r="TTG107" s="4"/>
      <c r="TTH107" s="4"/>
      <c r="TTI107" s="4"/>
      <c r="TTJ107" s="4"/>
      <c r="TTK107" s="4"/>
      <c r="TTL107" s="4"/>
      <c r="TTM107" s="4"/>
      <c r="TTN107" s="4"/>
      <c r="TTO107" s="4"/>
      <c r="TTP107" s="4"/>
      <c r="TTQ107" s="4"/>
      <c r="TTR107" s="4"/>
      <c r="TTS107" s="4"/>
      <c r="TTT107" s="4"/>
      <c r="TTU107" s="4"/>
      <c r="TTV107" s="4"/>
      <c r="TTW107" s="4"/>
      <c r="TTX107" s="4"/>
      <c r="TTY107" s="4"/>
      <c r="TTZ107" s="4"/>
      <c r="TUA107" s="4"/>
      <c r="TUB107" s="4"/>
      <c r="TUC107" s="4"/>
      <c r="TUD107" s="4"/>
      <c r="TUE107" s="4"/>
      <c r="TUF107" s="4"/>
      <c r="TUG107" s="4"/>
      <c r="TUH107" s="4"/>
      <c r="TUI107" s="4"/>
      <c r="TUJ107" s="4"/>
      <c r="TUK107" s="4"/>
      <c r="TUL107" s="4"/>
      <c r="TUM107" s="4"/>
      <c r="TUN107" s="4"/>
      <c r="TUO107" s="4"/>
      <c r="TUP107" s="4"/>
      <c r="TUQ107" s="4"/>
      <c r="TUR107" s="4"/>
      <c r="TUS107" s="4"/>
      <c r="TUT107" s="4"/>
      <c r="TUU107" s="4"/>
      <c r="TUV107" s="4"/>
      <c r="TUW107" s="4"/>
      <c r="TUX107" s="4"/>
      <c r="TUY107" s="4"/>
      <c r="TUZ107" s="4"/>
      <c r="TVA107" s="4"/>
      <c r="TVB107" s="4"/>
      <c r="TVC107" s="4"/>
      <c r="TVD107" s="4"/>
      <c r="TVE107" s="4"/>
      <c r="TVF107" s="4"/>
      <c r="TVG107" s="4"/>
      <c r="TVH107" s="4"/>
      <c r="TVI107" s="4"/>
      <c r="TVJ107" s="4"/>
      <c r="TVK107" s="4"/>
      <c r="TVL107" s="4"/>
      <c r="TVM107" s="4"/>
      <c r="TVN107" s="4"/>
      <c r="TVO107" s="4"/>
      <c r="TVP107" s="4"/>
      <c r="TVQ107" s="4"/>
      <c r="TVR107" s="4"/>
      <c r="TVS107" s="4"/>
      <c r="TVT107" s="4"/>
      <c r="TVU107" s="4"/>
      <c r="TVV107" s="4"/>
      <c r="TVW107" s="4"/>
      <c r="TVX107" s="4"/>
      <c r="TVY107" s="4"/>
      <c r="TVZ107" s="4"/>
      <c r="TWA107" s="4"/>
      <c r="TWB107" s="4"/>
      <c r="TWC107" s="4"/>
      <c r="TWD107" s="4"/>
      <c r="TWE107" s="4"/>
      <c r="TWF107" s="4"/>
      <c r="TWG107" s="4"/>
      <c r="TWH107" s="4"/>
      <c r="TWI107" s="4"/>
      <c r="TWJ107" s="4"/>
      <c r="TWK107" s="4"/>
      <c r="TWL107" s="4"/>
      <c r="TWM107" s="4"/>
      <c r="TWN107" s="4"/>
      <c r="TWO107" s="4"/>
      <c r="TWP107" s="4"/>
      <c r="TWQ107" s="4"/>
      <c r="TWR107" s="4"/>
      <c r="TWS107" s="4"/>
      <c r="TWT107" s="4"/>
      <c r="TWU107" s="4"/>
      <c r="TWV107" s="4"/>
      <c r="TWW107" s="4"/>
      <c r="TWX107" s="4"/>
      <c r="TWY107" s="4"/>
      <c r="TWZ107" s="4"/>
      <c r="TXA107" s="4"/>
      <c r="TXB107" s="4"/>
      <c r="TXC107" s="4"/>
      <c r="TXD107" s="4"/>
      <c r="TXE107" s="4"/>
      <c r="TXF107" s="4"/>
      <c r="TXG107" s="4"/>
      <c r="TXH107" s="4"/>
      <c r="TXI107" s="4"/>
      <c r="TXJ107" s="4"/>
      <c r="TXK107" s="4"/>
      <c r="TXL107" s="4"/>
      <c r="TXM107" s="4"/>
      <c r="TXN107" s="4"/>
      <c r="TXO107" s="4"/>
      <c r="TXP107" s="4"/>
      <c r="TXQ107" s="4"/>
      <c r="TXR107" s="4"/>
      <c r="TXS107" s="4"/>
      <c r="TXT107" s="4"/>
      <c r="TXU107" s="4"/>
      <c r="TXV107" s="4"/>
      <c r="TXW107" s="4"/>
      <c r="TXX107" s="4"/>
      <c r="TXY107" s="4"/>
      <c r="TXZ107" s="4"/>
      <c r="TYA107" s="4"/>
      <c r="TYB107" s="4"/>
      <c r="TYC107" s="4"/>
      <c r="TYD107" s="4"/>
      <c r="TYE107" s="4"/>
      <c r="TYF107" s="4"/>
      <c r="TYG107" s="4"/>
      <c r="TYH107" s="4"/>
      <c r="TYI107" s="4"/>
      <c r="TYJ107" s="4"/>
      <c r="TYK107" s="4"/>
      <c r="TYL107" s="4"/>
      <c r="TYM107" s="4"/>
      <c r="TYN107" s="4"/>
      <c r="TYO107" s="4"/>
      <c r="TYP107" s="4"/>
      <c r="TYQ107" s="4"/>
      <c r="TYR107" s="4"/>
      <c r="TYS107" s="4"/>
      <c r="TYT107" s="4"/>
      <c r="TYU107" s="4"/>
      <c r="TYV107" s="4"/>
      <c r="TYW107" s="4"/>
      <c r="TYX107" s="4"/>
      <c r="TYY107" s="4"/>
      <c r="TYZ107" s="4"/>
      <c r="TZA107" s="4"/>
      <c r="TZB107" s="4"/>
      <c r="TZC107" s="4"/>
      <c r="TZD107" s="4"/>
      <c r="TZE107" s="4"/>
      <c r="TZF107" s="4"/>
      <c r="TZG107" s="4"/>
      <c r="TZH107" s="4"/>
      <c r="TZI107" s="4"/>
      <c r="TZJ107" s="4"/>
      <c r="TZK107" s="4"/>
      <c r="TZL107" s="4"/>
      <c r="TZM107" s="4"/>
      <c r="TZN107" s="4"/>
      <c r="TZO107" s="4"/>
      <c r="TZP107" s="4"/>
      <c r="TZQ107" s="4"/>
      <c r="TZR107" s="4"/>
      <c r="TZS107" s="4"/>
      <c r="TZT107" s="4"/>
      <c r="TZU107" s="4"/>
      <c r="TZV107" s="4"/>
      <c r="TZW107" s="4"/>
      <c r="TZX107" s="4"/>
      <c r="TZY107" s="4"/>
      <c r="TZZ107" s="4"/>
      <c r="UAA107" s="4"/>
      <c r="UAB107" s="4"/>
      <c r="UAC107" s="4"/>
      <c r="UAD107" s="4"/>
      <c r="UAE107" s="4"/>
      <c r="UAF107" s="4"/>
      <c r="UAG107" s="4"/>
      <c r="UAH107" s="4"/>
      <c r="UAI107" s="4"/>
      <c r="UAJ107" s="4"/>
      <c r="UAK107" s="4"/>
      <c r="UAL107" s="4"/>
      <c r="UAM107" s="4"/>
      <c r="UAN107" s="4"/>
      <c r="UAO107" s="4"/>
      <c r="UAP107" s="4"/>
      <c r="UAQ107" s="4"/>
      <c r="UAR107" s="4"/>
      <c r="UAS107" s="4"/>
      <c r="UAT107" s="4"/>
      <c r="UAU107" s="4"/>
      <c r="UAV107" s="4"/>
      <c r="UAW107" s="4"/>
      <c r="UAX107" s="4"/>
      <c r="UAY107" s="4"/>
      <c r="UAZ107" s="4"/>
      <c r="UBA107" s="4"/>
      <c r="UBB107" s="4"/>
      <c r="UBC107" s="4"/>
      <c r="UBD107" s="4"/>
      <c r="UBE107" s="4"/>
      <c r="UBF107" s="4"/>
      <c r="UBG107" s="4"/>
      <c r="UBH107" s="4"/>
      <c r="UBI107" s="4"/>
      <c r="UBJ107" s="4"/>
      <c r="UBK107" s="4"/>
      <c r="UBL107" s="4"/>
      <c r="UBM107" s="4"/>
      <c r="UBN107" s="4"/>
      <c r="UBO107" s="4"/>
      <c r="UBP107" s="4"/>
      <c r="UBQ107" s="4"/>
      <c r="UBR107" s="4"/>
      <c r="UBS107" s="4"/>
      <c r="UBT107" s="4"/>
      <c r="UBU107" s="4"/>
      <c r="UBV107" s="4"/>
      <c r="UBW107" s="4"/>
      <c r="UBX107" s="4"/>
      <c r="UBY107" s="4"/>
      <c r="UBZ107" s="4"/>
      <c r="UCA107" s="4"/>
      <c r="UCB107" s="4"/>
      <c r="UCC107" s="4"/>
      <c r="UCD107" s="4"/>
      <c r="UCE107" s="4"/>
      <c r="UCF107" s="4"/>
      <c r="UCG107" s="4"/>
      <c r="UCH107" s="4"/>
      <c r="UCI107" s="4"/>
      <c r="UCJ107" s="4"/>
      <c r="UCK107" s="4"/>
      <c r="UCL107" s="4"/>
      <c r="UCM107" s="4"/>
      <c r="UCN107" s="4"/>
      <c r="UCO107" s="4"/>
      <c r="UCP107" s="4"/>
      <c r="UCQ107" s="4"/>
      <c r="UCR107" s="4"/>
      <c r="UCS107" s="4"/>
      <c r="UCT107" s="4"/>
      <c r="UCU107" s="4"/>
      <c r="UCV107" s="4"/>
      <c r="UCW107" s="4"/>
      <c r="UCX107" s="4"/>
      <c r="UCY107" s="4"/>
      <c r="UCZ107" s="4"/>
      <c r="UDA107" s="4"/>
      <c r="UDB107" s="4"/>
      <c r="UDC107" s="4"/>
      <c r="UDD107" s="4"/>
      <c r="UDE107" s="4"/>
      <c r="UDF107" s="4"/>
      <c r="UDG107" s="4"/>
      <c r="UDH107" s="4"/>
      <c r="UDI107" s="4"/>
      <c r="UDJ107" s="4"/>
      <c r="UDK107" s="4"/>
      <c r="UDL107" s="4"/>
      <c r="UDM107" s="4"/>
      <c r="UDN107" s="4"/>
      <c r="UDO107" s="4"/>
      <c r="UDP107" s="4"/>
      <c r="UDQ107" s="4"/>
      <c r="UDR107" s="4"/>
      <c r="UDS107" s="4"/>
      <c r="UDT107" s="4"/>
      <c r="UDU107" s="4"/>
      <c r="UDV107" s="4"/>
      <c r="UDW107" s="4"/>
      <c r="UDX107" s="4"/>
      <c r="UDY107" s="4"/>
      <c r="UDZ107" s="4"/>
      <c r="UEA107" s="4"/>
      <c r="UEB107" s="4"/>
      <c r="UEC107" s="4"/>
      <c r="UED107" s="4"/>
      <c r="UEE107" s="4"/>
      <c r="UEF107" s="4"/>
      <c r="UEG107" s="4"/>
      <c r="UEH107" s="4"/>
      <c r="UEI107" s="4"/>
      <c r="UEJ107" s="4"/>
      <c r="UEK107" s="4"/>
      <c r="UEL107" s="4"/>
      <c r="UEM107" s="4"/>
      <c r="UEN107" s="4"/>
      <c r="UEO107" s="4"/>
      <c r="UEP107" s="4"/>
      <c r="UEQ107" s="4"/>
      <c r="UER107" s="4"/>
      <c r="UES107" s="4"/>
      <c r="UET107" s="4"/>
      <c r="UEU107" s="4"/>
      <c r="UEV107" s="4"/>
      <c r="UEW107" s="4"/>
      <c r="UEX107" s="4"/>
      <c r="UEY107" s="4"/>
      <c r="UEZ107" s="4"/>
      <c r="UFA107" s="4"/>
      <c r="UFB107" s="4"/>
      <c r="UFC107" s="4"/>
      <c r="UFD107" s="4"/>
      <c r="UFE107" s="4"/>
      <c r="UFF107" s="4"/>
      <c r="UFG107" s="4"/>
      <c r="UFH107" s="4"/>
      <c r="UFI107" s="4"/>
      <c r="UFJ107" s="4"/>
      <c r="UFK107" s="4"/>
      <c r="UFL107" s="4"/>
      <c r="UFM107" s="4"/>
      <c r="UFN107" s="4"/>
      <c r="UFO107" s="4"/>
      <c r="UFP107" s="4"/>
      <c r="UFQ107" s="4"/>
      <c r="UFR107" s="4"/>
      <c r="UFS107" s="4"/>
      <c r="UFT107" s="4"/>
      <c r="UFU107" s="4"/>
      <c r="UFV107" s="4"/>
      <c r="UFW107" s="4"/>
      <c r="UFX107" s="4"/>
      <c r="UFY107" s="4"/>
      <c r="UFZ107" s="4"/>
      <c r="UGA107" s="4"/>
      <c r="UGB107" s="4"/>
      <c r="UGC107" s="4"/>
      <c r="UGD107" s="4"/>
      <c r="UGE107" s="4"/>
      <c r="UGF107" s="4"/>
      <c r="UGG107" s="4"/>
      <c r="UGH107" s="4"/>
      <c r="UGI107" s="4"/>
      <c r="UGJ107" s="4"/>
      <c r="UGK107" s="4"/>
      <c r="UGL107" s="4"/>
      <c r="UGM107" s="4"/>
      <c r="UGN107" s="4"/>
      <c r="UGO107" s="4"/>
      <c r="UGP107" s="4"/>
      <c r="UGQ107" s="4"/>
      <c r="UGR107" s="4"/>
      <c r="UGS107" s="4"/>
      <c r="UGT107" s="4"/>
      <c r="UGU107" s="4"/>
      <c r="UGV107" s="4"/>
      <c r="UGW107" s="4"/>
      <c r="UGX107" s="4"/>
      <c r="UGY107" s="4"/>
      <c r="UGZ107" s="4"/>
      <c r="UHA107" s="4"/>
      <c r="UHB107" s="4"/>
      <c r="UHC107" s="4"/>
      <c r="UHD107" s="4"/>
      <c r="UHE107" s="4"/>
      <c r="UHF107" s="4"/>
      <c r="UHG107" s="4"/>
      <c r="UHH107" s="4"/>
      <c r="UHI107" s="4"/>
      <c r="UHJ107" s="4"/>
      <c r="UHK107" s="4"/>
      <c r="UHL107" s="4"/>
      <c r="UHM107" s="4"/>
      <c r="UHN107" s="4"/>
      <c r="UHO107" s="4"/>
      <c r="UHP107" s="4"/>
      <c r="UHQ107" s="4"/>
      <c r="UHR107" s="4"/>
      <c r="UHS107" s="4"/>
      <c r="UHT107" s="4"/>
      <c r="UHU107" s="4"/>
      <c r="UHV107" s="4"/>
      <c r="UHW107" s="4"/>
      <c r="UHX107" s="4"/>
      <c r="UHY107" s="4"/>
      <c r="UHZ107" s="4"/>
      <c r="UIA107" s="4"/>
      <c r="UIB107" s="4"/>
      <c r="UIC107" s="4"/>
      <c r="UID107" s="4"/>
      <c r="UIE107" s="4"/>
      <c r="UIF107" s="4"/>
      <c r="UIG107" s="4"/>
      <c r="UIH107" s="4"/>
      <c r="UII107" s="4"/>
      <c r="UIJ107" s="4"/>
      <c r="UIK107" s="4"/>
      <c r="UIL107" s="4"/>
      <c r="UIM107" s="4"/>
      <c r="UIN107" s="4"/>
      <c r="UIO107" s="4"/>
      <c r="UIP107" s="4"/>
      <c r="UIQ107" s="4"/>
      <c r="UIR107" s="4"/>
      <c r="UIS107" s="4"/>
      <c r="UIT107" s="4"/>
      <c r="UIU107" s="4"/>
      <c r="UIV107" s="4"/>
      <c r="UIW107" s="4"/>
      <c r="UIX107" s="4"/>
      <c r="UIY107" s="4"/>
      <c r="UIZ107" s="4"/>
      <c r="UJA107" s="4"/>
      <c r="UJB107" s="4"/>
      <c r="UJC107" s="4"/>
      <c r="UJD107" s="4"/>
      <c r="UJE107" s="4"/>
      <c r="UJF107" s="4"/>
      <c r="UJG107" s="4"/>
      <c r="UJH107" s="4"/>
      <c r="UJI107" s="4"/>
      <c r="UJJ107" s="4"/>
      <c r="UJK107" s="4"/>
      <c r="UJL107" s="4"/>
      <c r="UJM107" s="4"/>
      <c r="UJN107" s="4"/>
      <c r="UJO107" s="4"/>
      <c r="UJP107" s="4"/>
      <c r="UJQ107" s="4"/>
      <c r="UJR107" s="4"/>
      <c r="UJS107" s="4"/>
      <c r="UJT107" s="4"/>
      <c r="UJU107" s="4"/>
      <c r="UJV107" s="4"/>
      <c r="UJW107" s="4"/>
      <c r="UJX107" s="4"/>
      <c r="UJY107" s="4"/>
      <c r="UJZ107" s="4"/>
      <c r="UKA107" s="4"/>
      <c r="UKB107" s="4"/>
      <c r="UKC107" s="4"/>
      <c r="UKD107" s="4"/>
      <c r="UKE107" s="4"/>
      <c r="UKF107" s="4"/>
      <c r="UKG107" s="4"/>
      <c r="UKH107" s="4"/>
      <c r="UKI107" s="4"/>
      <c r="UKJ107" s="4"/>
      <c r="UKK107" s="4"/>
      <c r="UKL107" s="4"/>
      <c r="UKM107" s="4"/>
      <c r="UKN107" s="4"/>
      <c r="UKO107" s="4"/>
      <c r="UKP107" s="4"/>
      <c r="UKQ107" s="4"/>
      <c r="UKR107" s="4"/>
      <c r="UKS107" s="4"/>
      <c r="UKT107" s="4"/>
      <c r="UKU107" s="4"/>
      <c r="UKV107" s="4"/>
      <c r="UKW107" s="4"/>
      <c r="UKX107" s="4"/>
      <c r="UKY107" s="4"/>
      <c r="UKZ107" s="4"/>
      <c r="ULA107" s="4"/>
      <c r="ULB107" s="4"/>
      <c r="ULC107" s="4"/>
      <c r="ULD107" s="4"/>
      <c r="ULE107" s="4"/>
      <c r="ULF107" s="4"/>
      <c r="ULG107" s="4"/>
      <c r="ULH107" s="4"/>
      <c r="ULI107" s="4"/>
      <c r="ULJ107" s="4"/>
      <c r="ULK107" s="4"/>
      <c r="ULL107" s="4"/>
      <c r="ULM107" s="4"/>
      <c r="ULN107" s="4"/>
      <c r="ULO107" s="4"/>
      <c r="ULP107" s="4"/>
      <c r="ULQ107" s="4"/>
      <c r="ULR107" s="4"/>
      <c r="ULS107" s="4"/>
      <c r="ULT107" s="4"/>
      <c r="ULU107" s="4"/>
      <c r="ULV107" s="4"/>
      <c r="ULW107" s="4"/>
      <c r="ULX107" s="4"/>
      <c r="ULY107" s="4"/>
      <c r="ULZ107" s="4"/>
      <c r="UMA107" s="4"/>
      <c r="UMB107" s="4"/>
      <c r="UMC107" s="4"/>
      <c r="UMD107" s="4"/>
      <c r="UME107" s="4"/>
      <c r="UMF107" s="4"/>
      <c r="UMG107" s="4"/>
      <c r="UMH107" s="4"/>
      <c r="UMI107" s="4"/>
      <c r="UMJ107" s="4"/>
      <c r="UMK107" s="4"/>
      <c r="UML107" s="4"/>
      <c r="UMM107" s="4"/>
      <c r="UMN107" s="4"/>
      <c r="UMO107" s="4"/>
      <c r="UMP107" s="4"/>
      <c r="UMQ107" s="4"/>
      <c r="UMR107" s="4"/>
      <c r="UMS107" s="4"/>
      <c r="UMT107" s="4"/>
      <c r="UMU107" s="4"/>
      <c r="UMV107" s="4"/>
      <c r="UMW107" s="4"/>
      <c r="UMX107" s="4"/>
      <c r="UMY107" s="4"/>
      <c r="UMZ107" s="4"/>
      <c r="UNA107" s="4"/>
      <c r="UNB107" s="4"/>
      <c r="UNC107" s="4"/>
      <c r="UND107" s="4"/>
      <c r="UNE107" s="4"/>
      <c r="UNF107" s="4"/>
      <c r="UNG107" s="4"/>
      <c r="UNH107" s="4"/>
      <c r="UNI107" s="4"/>
      <c r="UNJ107" s="4"/>
      <c r="UNK107" s="4"/>
      <c r="UNL107" s="4"/>
      <c r="UNM107" s="4"/>
      <c r="UNN107" s="4"/>
      <c r="UNO107" s="4"/>
      <c r="UNP107" s="4"/>
      <c r="UNQ107" s="4"/>
      <c r="UNR107" s="4"/>
      <c r="UNS107" s="4"/>
      <c r="UNT107" s="4"/>
      <c r="UNU107" s="4"/>
      <c r="UNV107" s="4"/>
      <c r="UNW107" s="4"/>
      <c r="UNX107" s="4"/>
      <c r="UNY107" s="4"/>
      <c r="UNZ107" s="4"/>
      <c r="UOA107" s="4"/>
      <c r="UOB107" s="4"/>
      <c r="UOC107" s="4"/>
      <c r="UOD107" s="4"/>
      <c r="UOE107" s="4"/>
      <c r="UOF107" s="4"/>
      <c r="UOG107" s="4"/>
      <c r="UOH107" s="4"/>
      <c r="UOI107" s="4"/>
      <c r="UOJ107" s="4"/>
      <c r="UOK107" s="4"/>
      <c r="UOL107" s="4"/>
      <c r="UOM107" s="4"/>
      <c r="UON107" s="4"/>
      <c r="UOO107" s="4"/>
      <c r="UOP107" s="4"/>
      <c r="UOQ107" s="4"/>
      <c r="UOR107" s="4"/>
      <c r="UOS107" s="4"/>
      <c r="UOT107" s="4"/>
      <c r="UOU107" s="4"/>
      <c r="UOV107" s="4"/>
      <c r="UOW107" s="4"/>
      <c r="UOX107" s="4"/>
      <c r="UOY107" s="4"/>
      <c r="UOZ107" s="4"/>
      <c r="UPA107" s="4"/>
      <c r="UPB107" s="4"/>
      <c r="UPC107" s="4"/>
      <c r="UPD107" s="4"/>
      <c r="UPE107" s="4"/>
      <c r="UPF107" s="4"/>
      <c r="UPG107" s="4"/>
      <c r="UPH107" s="4"/>
      <c r="UPI107" s="4"/>
      <c r="UPJ107" s="4"/>
      <c r="UPK107" s="4"/>
      <c r="UPL107" s="4"/>
      <c r="UPM107" s="4"/>
      <c r="UPN107" s="4"/>
      <c r="UPO107" s="4"/>
      <c r="UPP107" s="4"/>
      <c r="UPQ107" s="4"/>
      <c r="UPR107" s="4"/>
      <c r="UPS107" s="4"/>
      <c r="UPT107" s="4"/>
      <c r="UPU107" s="4"/>
      <c r="UPV107" s="4"/>
      <c r="UPW107" s="4"/>
      <c r="UPX107" s="4"/>
      <c r="UPY107" s="4"/>
      <c r="UPZ107" s="4"/>
      <c r="UQA107" s="4"/>
      <c r="UQB107" s="4"/>
      <c r="UQC107" s="4"/>
      <c r="UQD107" s="4"/>
      <c r="UQE107" s="4"/>
      <c r="UQF107" s="4"/>
      <c r="UQG107" s="4"/>
      <c r="UQH107" s="4"/>
      <c r="UQI107" s="4"/>
      <c r="UQJ107" s="4"/>
      <c r="UQK107" s="4"/>
      <c r="UQL107" s="4"/>
      <c r="UQM107" s="4"/>
      <c r="UQN107" s="4"/>
      <c r="UQO107" s="4"/>
      <c r="UQP107" s="4"/>
      <c r="UQQ107" s="4"/>
      <c r="UQR107" s="4"/>
      <c r="UQS107" s="4"/>
      <c r="UQT107" s="4"/>
      <c r="UQU107" s="4"/>
      <c r="UQV107" s="4"/>
      <c r="UQW107" s="4"/>
      <c r="UQX107" s="4"/>
      <c r="UQY107" s="4"/>
      <c r="UQZ107" s="4"/>
      <c r="URA107" s="4"/>
      <c r="URB107" s="4"/>
      <c r="URC107" s="4"/>
      <c r="URD107" s="4"/>
      <c r="URE107" s="4"/>
      <c r="URF107" s="4"/>
      <c r="URG107" s="4"/>
      <c r="URH107" s="4"/>
      <c r="URI107" s="4"/>
      <c r="URJ107" s="4"/>
      <c r="URK107" s="4"/>
      <c r="URL107" s="4"/>
      <c r="URM107" s="4"/>
      <c r="URN107" s="4"/>
      <c r="URO107" s="4"/>
      <c r="URP107" s="4"/>
      <c r="URQ107" s="4"/>
      <c r="URR107" s="4"/>
      <c r="URS107" s="4"/>
      <c r="URT107" s="4"/>
      <c r="URU107" s="4"/>
      <c r="URV107" s="4"/>
      <c r="URW107" s="4"/>
      <c r="URX107" s="4"/>
      <c r="URY107" s="4"/>
      <c r="URZ107" s="4"/>
      <c r="USA107" s="4"/>
      <c r="USB107" s="4"/>
      <c r="USC107" s="4"/>
      <c r="USD107" s="4"/>
      <c r="USE107" s="4"/>
      <c r="USF107" s="4"/>
      <c r="USG107" s="4"/>
      <c r="USH107" s="4"/>
      <c r="USI107" s="4"/>
      <c r="USJ107" s="4"/>
      <c r="USK107" s="4"/>
      <c r="USL107" s="4"/>
      <c r="USM107" s="4"/>
      <c r="USN107" s="4"/>
      <c r="USO107" s="4"/>
      <c r="USP107" s="4"/>
      <c r="USQ107" s="4"/>
      <c r="USR107" s="4"/>
      <c r="USS107" s="4"/>
      <c r="UST107" s="4"/>
      <c r="USU107" s="4"/>
      <c r="USV107" s="4"/>
      <c r="USW107" s="4"/>
      <c r="USX107" s="4"/>
      <c r="USY107" s="4"/>
      <c r="USZ107" s="4"/>
      <c r="UTA107" s="4"/>
      <c r="UTB107" s="4"/>
      <c r="UTC107" s="4"/>
      <c r="UTD107" s="4"/>
      <c r="UTE107" s="4"/>
      <c r="UTF107" s="4"/>
      <c r="UTG107" s="4"/>
      <c r="UTH107" s="4"/>
      <c r="UTI107" s="4"/>
      <c r="UTJ107" s="4"/>
      <c r="UTK107" s="4"/>
      <c r="UTL107" s="4"/>
      <c r="UTM107" s="4"/>
      <c r="UTN107" s="4"/>
      <c r="UTO107" s="4"/>
      <c r="UTP107" s="4"/>
      <c r="UTQ107" s="4"/>
      <c r="UTR107" s="4"/>
      <c r="UTS107" s="4"/>
      <c r="UTT107" s="4"/>
      <c r="UTU107" s="4"/>
      <c r="UTV107" s="4"/>
      <c r="UTW107" s="4"/>
      <c r="UTX107" s="4"/>
      <c r="UTY107" s="4"/>
      <c r="UTZ107" s="4"/>
      <c r="UUA107" s="4"/>
      <c r="UUB107" s="4"/>
      <c r="UUC107" s="4"/>
      <c r="UUD107" s="4"/>
      <c r="UUE107" s="4"/>
      <c r="UUF107" s="4"/>
      <c r="UUG107" s="4"/>
      <c r="UUH107" s="4"/>
      <c r="UUI107" s="4"/>
      <c r="UUJ107" s="4"/>
      <c r="UUK107" s="4"/>
      <c r="UUL107" s="4"/>
      <c r="UUM107" s="4"/>
      <c r="UUN107" s="4"/>
      <c r="UUO107" s="4"/>
      <c r="UUP107" s="4"/>
      <c r="UUQ107" s="4"/>
      <c r="UUR107" s="4"/>
      <c r="UUS107" s="4"/>
      <c r="UUT107" s="4"/>
      <c r="UUU107" s="4"/>
      <c r="UUV107" s="4"/>
      <c r="UUW107" s="4"/>
      <c r="UUX107" s="4"/>
      <c r="UUY107" s="4"/>
      <c r="UUZ107" s="4"/>
      <c r="UVA107" s="4"/>
      <c r="UVB107" s="4"/>
      <c r="UVC107" s="4"/>
      <c r="UVD107" s="4"/>
      <c r="UVE107" s="4"/>
      <c r="UVF107" s="4"/>
      <c r="UVG107" s="4"/>
      <c r="UVH107" s="4"/>
      <c r="UVI107" s="4"/>
      <c r="UVJ107" s="4"/>
      <c r="UVK107" s="4"/>
      <c r="UVL107" s="4"/>
      <c r="UVM107" s="4"/>
      <c r="UVN107" s="4"/>
      <c r="UVO107" s="4"/>
      <c r="UVP107" s="4"/>
      <c r="UVQ107" s="4"/>
      <c r="UVR107" s="4"/>
      <c r="UVS107" s="4"/>
      <c r="UVT107" s="4"/>
      <c r="UVU107" s="4"/>
      <c r="UVV107" s="4"/>
      <c r="UVW107" s="4"/>
      <c r="UVX107" s="4"/>
      <c r="UVY107" s="4"/>
      <c r="UVZ107" s="4"/>
      <c r="UWA107" s="4"/>
      <c r="UWB107" s="4"/>
      <c r="UWC107" s="4"/>
      <c r="UWD107" s="4"/>
      <c r="UWE107" s="4"/>
      <c r="UWF107" s="4"/>
      <c r="UWG107" s="4"/>
      <c r="UWH107" s="4"/>
      <c r="UWI107" s="4"/>
      <c r="UWJ107" s="4"/>
      <c r="UWK107" s="4"/>
      <c r="UWL107" s="4"/>
      <c r="UWM107" s="4"/>
      <c r="UWN107" s="4"/>
      <c r="UWO107" s="4"/>
      <c r="UWP107" s="4"/>
      <c r="UWQ107" s="4"/>
      <c r="UWR107" s="4"/>
      <c r="UWS107" s="4"/>
      <c r="UWT107" s="4"/>
      <c r="UWU107" s="4"/>
      <c r="UWV107" s="4"/>
      <c r="UWW107" s="4"/>
      <c r="UWX107" s="4"/>
      <c r="UWY107" s="4"/>
      <c r="UWZ107" s="4"/>
      <c r="UXA107" s="4"/>
      <c r="UXB107" s="4"/>
      <c r="UXC107" s="4"/>
      <c r="UXD107" s="4"/>
      <c r="UXE107" s="4"/>
      <c r="UXF107" s="4"/>
      <c r="UXG107" s="4"/>
      <c r="UXH107" s="4"/>
      <c r="UXI107" s="4"/>
      <c r="UXJ107" s="4"/>
      <c r="UXK107" s="4"/>
      <c r="UXL107" s="4"/>
      <c r="UXM107" s="4"/>
      <c r="UXN107" s="4"/>
      <c r="UXO107" s="4"/>
      <c r="UXP107" s="4"/>
      <c r="UXQ107" s="4"/>
      <c r="UXR107" s="4"/>
      <c r="UXS107" s="4"/>
      <c r="UXT107" s="4"/>
      <c r="UXU107" s="4"/>
      <c r="UXV107" s="4"/>
      <c r="UXW107" s="4"/>
      <c r="UXX107" s="4"/>
      <c r="UXY107" s="4"/>
      <c r="UXZ107" s="4"/>
      <c r="UYA107" s="4"/>
      <c r="UYB107" s="4"/>
      <c r="UYC107" s="4"/>
      <c r="UYD107" s="4"/>
      <c r="UYE107" s="4"/>
      <c r="UYF107" s="4"/>
      <c r="UYG107" s="4"/>
      <c r="UYH107" s="4"/>
      <c r="UYI107" s="4"/>
      <c r="UYJ107" s="4"/>
      <c r="UYK107" s="4"/>
      <c r="UYL107" s="4"/>
      <c r="UYM107" s="4"/>
      <c r="UYN107" s="4"/>
      <c r="UYO107" s="4"/>
      <c r="UYP107" s="4"/>
      <c r="UYQ107" s="4"/>
      <c r="UYR107" s="4"/>
      <c r="UYS107" s="4"/>
      <c r="UYT107" s="4"/>
      <c r="UYU107" s="4"/>
      <c r="UYV107" s="4"/>
      <c r="UYW107" s="4"/>
      <c r="UYX107" s="4"/>
      <c r="UYY107" s="4"/>
      <c r="UYZ107" s="4"/>
      <c r="UZA107" s="4"/>
      <c r="UZB107" s="4"/>
      <c r="UZC107" s="4"/>
      <c r="UZD107" s="4"/>
      <c r="UZE107" s="4"/>
      <c r="UZF107" s="4"/>
      <c r="UZG107" s="4"/>
      <c r="UZH107" s="4"/>
      <c r="UZI107" s="4"/>
      <c r="UZJ107" s="4"/>
      <c r="UZK107" s="4"/>
      <c r="UZL107" s="4"/>
      <c r="UZM107" s="4"/>
      <c r="UZN107" s="4"/>
      <c r="UZO107" s="4"/>
      <c r="UZP107" s="4"/>
      <c r="UZQ107" s="4"/>
      <c r="UZR107" s="4"/>
      <c r="UZS107" s="4"/>
      <c r="UZT107" s="4"/>
      <c r="UZU107" s="4"/>
      <c r="UZV107" s="4"/>
      <c r="UZW107" s="4"/>
      <c r="UZX107" s="4"/>
      <c r="UZY107" s="4"/>
      <c r="UZZ107" s="4"/>
      <c r="VAA107" s="4"/>
      <c r="VAB107" s="4"/>
      <c r="VAC107" s="4"/>
      <c r="VAD107" s="4"/>
      <c r="VAE107" s="4"/>
      <c r="VAF107" s="4"/>
      <c r="VAG107" s="4"/>
      <c r="VAH107" s="4"/>
      <c r="VAI107" s="4"/>
      <c r="VAJ107" s="4"/>
      <c r="VAK107" s="4"/>
      <c r="VAL107" s="4"/>
      <c r="VAM107" s="4"/>
      <c r="VAN107" s="4"/>
      <c r="VAO107" s="4"/>
      <c r="VAP107" s="4"/>
      <c r="VAQ107" s="4"/>
      <c r="VAR107" s="4"/>
      <c r="VAS107" s="4"/>
      <c r="VAT107" s="4"/>
      <c r="VAU107" s="4"/>
      <c r="VAV107" s="4"/>
      <c r="VAW107" s="4"/>
      <c r="VAX107" s="4"/>
      <c r="VAY107" s="4"/>
      <c r="VAZ107" s="4"/>
      <c r="VBA107" s="4"/>
      <c r="VBB107" s="4"/>
      <c r="VBC107" s="4"/>
      <c r="VBD107" s="4"/>
      <c r="VBE107" s="4"/>
      <c r="VBF107" s="4"/>
      <c r="VBG107" s="4"/>
      <c r="VBH107" s="4"/>
      <c r="VBI107" s="4"/>
      <c r="VBJ107" s="4"/>
      <c r="VBK107" s="4"/>
      <c r="VBL107" s="4"/>
      <c r="VBM107" s="4"/>
      <c r="VBN107" s="4"/>
      <c r="VBO107" s="4"/>
      <c r="VBP107" s="4"/>
      <c r="VBQ107" s="4"/>
      <c r="VBR107" s="4"/>
      <c r="VBS107" s="4"/>
      <c r="VBT107" s="4"/>
      <c r="VBU107" s="4"/>
      <c r="VBV107" s="4"/>
      <c r="VBW107" s="4"/>
      <c r="VBX107" s="4"/>
      <c r="VBY107" s="4"/>
      <c r="VBZ107" s="4"/>
      <c r="VCA107" s="4"/>
      <c r="VCB107" s="4"/>
      <c r="VCC107" s="4"/>
      <c r="VCD107" s="4"/>
      <c r="VCE107" s="4"/>
      <c r="VCF107" s="4"/>
      <c r="VCG107" s="4"/>
      <c r="VCH107" s="4"/>
      <c r="VCI107" s="4"/>
      <c r="VCJ107" s="4"/>
      <c r="VCK107" s="4"/>
      <c r="VCL107" s="4"/>
      <c r="VCM107" s="4"/>
      <c r="VCN107" s="4"/>
      <c r="VCO107" s="4"/>
      <c r="VCP107" s="4"/>
      <c r="VCQ107" s="4"/>
      <c r="VCR107" s="4"/>
      <c r="VCS107" s="4"/>
      <c r="VCT107" s="4"/>
      <c r="VCU107" s="4"/>
      <c r="VCV107" s="4"/>
      <c r="VCW107" s="4"/>
      <c r="VCX107" s="4"/>
      <c r="VCY107" s="4"/>
      <c r="VCZ107" s="4"/>
      <c r="VDA107" s="4"/>
      <c r="VDB107" s="4"/>
      <c r="VDC107" s="4"/>
      <c r="VDD107" s="4"/>
      <c r="VDE107" s="4"/>
      <c r="VDF107" s="4"/>
      <c r="VDG107" s="4"/>
      <c r="VDH107" s="4"/>
      <c r="VDI107" s="4"/>
      <c r="VDJ107" s="4"/>
      <c r="VDK107" s="4"/>
      <c r="VDL107" s="4"/>
      <c r="VDM107" s="4"/>
      <c r="VDN107" s="4"/>
      <c r="VDO107" s="4"/>
      <c r="VDP107" s="4"/>
      <c r="VDQ107" s="4"/>
      <c r="VDR107" s="4"/>
      <c r="VDS107" s="4"/>
      <c r="VDT107" s="4"/>
      <c r="VDU107" s="4"/>
      <c r="VDV107" s="4"/>
      <c r="VDW107" s="4"/>
      <c r="VDX107" s="4"/>
      <c r="VDY107" s="4"/>
      <c r="VDZ107" s="4"/>
      <c r="VEA107" s="4"/>
      <c r="VEB107" s="4"/>
      <c r="VEC107" s="4"/>
      <c r="VED107" s="4"/>
      <c r="VEE107" s="4"/>
      <c r="VEF107" s="4"/>
      <c r="VEG107" s="4"/>
      <c r="VEH107" s="4"/>
      <c r="VEI107" s="4"/>
      <c r="VEJ107" s="4"/>
      <c r="VEK107" s="4"/>
      <c r="VEL107" s="4"/>
      <c r="VEM107" s="4"/>
      <c r="VEN107" s="4"/>
      <c r="VEO107" s="4"/>
      <c r="VEP107" s="4"/>
      <c r="VEQ107" s="4"/>
      <c r="VER107" s="4"/>
      <c r="VES107" s="4"/>
      <c r="VET107" s="4"/>
      <c r="VEU107" s="4"/>
      <c r="VEV107" s="4"/>
      <c r="VEW107" s="4"/>
      <c r="VEX107" s="4"/>
      <c r="VEY107" s="4"/>
      <c r="VEZ107" s="4"/>
      <c r="VFA107" s="4"/>
      <c r="VFB107" s="4"/>
      <c r="VFC107" s="4"/>
      <c r="VFD107" s="4"/>
      <c r="VFE107" s="4"/>
      <c r="VFF107" s="4"/>
      <c r="VFG107" s="4"/>
      <c r="VFH107" s="4"/>
      <c r="VFI107" s="4"/>
      <c r="VFJ107" s="4"/>
      <c r="VFK107" s="4"/>
      <c r="VFL107" s="4"/>
      <c r="VFM107" s="4"/>
      <c r="VFN107" s="4"/>
      <c r="VFO107" s="4"/>
      <c r="VFP107" s="4"/>
      <c r="VFQ107" s="4"/>
      <c r="VFR107" s="4"/>
      <c r="VFS107" s="4"/>
      <c r="VFT107" s="4"/>
      <c r="VFU107" s="4"/>
      <c r="VFV107" s="4"/>
      <c r="VFW107" s="4"/>
      <c r="VFX107" s="4"/>
      <c r="VFY107" s="4"/>
      <c r="VFZ107" s="4"/>
      <c r="VGA107" s="4"/>
      <c r="VGB107" s="4"/>
      <c r="VGC107" s="4"/>
      <c r="VGD107" s="4"/>
      <c r="VGE107" s="4"/>
      <c r="VGF107" s="4"/>
      <c r="VGG107" s="4"/>
      <c r="VGH107" s="4"/>
      <c r="VGI107" s="4"/>
      <c r="VGJ107" s="4"/>
      <c r="VGK107" s="4"/>
      <c r="VGL107" s="4"/>
      <c r="VGM107" s="4"/>
      <c r="VGN107" s="4"/>
      <c r="VGO107" s="4"/>
      <c r="VGP107" s="4"/>
      <c r="VGQ107" s="4"/>
      <c r="VGR107" s="4"/>
      <c r="VGS107" s="4"/>
      <c r="VGT107" s="4"/>
      <c r="VGU107" s="4"/>
      <c r="VGV107" s="4"/>
      <c r="VGW107" s="4"/>
      <c r="VGX107" s="4"/>
      <c r="VGY107" s="4"/>
      <c r="VGZ107" s="4"/>
      <c r="VHA107" s="4"/>
      <c r="VHB107" s="4"/>
      <c r="VHC107" s="4"/>
      <c r="VHD107" s="4"/>
      <c r="VHE107" s="4"/>
      <c r="VHF107" s="4"/>
      <c r="VHG107" s="4"/>
      <c r="VHH107" s="4"/>
      <c r="VHI107" s="4"/>
      <c r="VHJ107" s="4"/>
      <c r="VHK107" s="4"/>
      <c r="VHL107" s="4"/>
      <c r="VHM107" s="4"/>
      <c r="VHN107" s="4"/>
      <c r="VHO107" s="4"/>
      <c r="VHP107" s="4"/>
      <c r="VHQ107" s="4"/>
      <c r="VHR107" s="4"/>
      <c r="VHS107" s="4"/>
      <c r="VHT107" s="4"/>
      <c r="VHU107" s="4"/>
      <c r="VHV107" s="4"/>
      <c r="VHW107" s="4"/>
      <c r="VHX107" s="4"/>
      <c r="VHY107" s="4"/>
      <c r="VHZ107" s="4"/>
      <c r="VIA107" s="4"/>
      <c r="VIB107" s="4"/>
      <c r="VIC107" s="4"/>
      <c r="VID107" s="4"/>
      <c r="VIE107" s="4"/>
      <c r="VIF107" s="4"/>
      <c r="VIG107" s="4"/>
      <c r="VIH107" s="4"/>
      <c r="VII107" s="4"/>
      <c r="VIJ107" s="4"/>
      <c r="VIK107" s="4"/>
      <c r="VIL107" s="4"/>
      <c r="VIM107" s="4"/>
      <c r="VIN107" s="4"/>
      <c r="VIO107" s="4"/>
      <c r="VIP107" s="4"/>
      <c r="VIQ107" s="4"/>
      <c r="VIR107" s="4"/>
      <c r="VIS107" s="4"/>
      <c r="VIT107" s="4"/>
      <c r="VIU107" s="4"/>
      <c r="VIV107" s="4"/>
      <c r="VIW107" s="4"/>
      <c r="VIX107" s="4"/>
      <c r="VIY107" s="4"/>
      <c r="VIZ107" s="4"/>
      <c r="VJA107" s="4"/>
      <c r="VJB107" s="4"/>
      <c r="VJC107" s="4"/>
      <c r="VJD107" s="4"/>
      <c r="VJE107" s="4"/>
      <c r="VJF107" s="4"/>
      <c r="VJG107" s="4"/>
      <c r="VJH107" s="4"/>
      <c r="VJI107" s="4"/>
      <c r="VJJ107" s="4"/>
      <c r="VJK107" s="4"/>
      <c r="VJL107" s="4"/>
      <c r="VJM107" s="4"/>
      <c r="VJN107" s="4"/>
      <c r="VJO107" s="4"/>
      <c r="VJP107" s="4"/>
      <c r="VJQ107" s="4"/>
      <c r="VJR107" s="4"/>
      <c r="VJS107" s="4"/>
      <c r="VJT107" s="4"/>
      <c r="VJU107" s="4"/>
      <c r="VJV107" s="4"/>
      <c r="VJW107" s="4"/>
      <c r="VJX107" s="4"/>
      <c r="VJY107" s="4"/>
      <c r="VJZ107" s="4"/>
      <c r="VKA107" s="4"/>
      <c r="VKB107" s="4"/>
      <c r="VKC107" s="4"/>
      <c r="VKD107" s="4"/>
      <c r="VKE107" s="4"/>
      <c r="VKF107" s="4"/>
      <c r="VKG107" s="4"/>
      <c r="VKH107" s="4"/>
      <c r="VKI107" s="4"/>
      <c r="VKJ107" s="4"/>
      <c r="VKK107" s="4"/>
      <c r="VKL107" s="4"/>
      <c r="VKM107" s="4"/>
      <c r="VKN107" s="4"/>
      <c r="VKO107" s="4"/>
      <c r="VKP107" s="4"/>
      <c r="VKQ107" s="4"/>
      <c r="VKR107" s="4"/>
      <c r="VKS107" s="4"/>
      <c r="VKT107" s="4"/>
      <c r="VKU107" s="4"/>
      <c r="VKV107" s="4"/>
      <c r="VKW107" s="4"/>
      <c r="VKX107" s="4"/>
      <c r="VKY107" s="4"/>
      <c r="VKZ107" s="4"/>
      <c r="VLA107" s="4"/>
      <c r="VLB107" s="4"/>
      <c r="VLC107" s="4"/>
      <c r="VLD107" s="4"/>
      <c r="VLE107" s="4"/>
      <c r="VLF107" s="4"/>
      <c r="VLG107" s="4"/>
      <c r="VLH107" s="4"/>
      <c r="VLI107" s="4"/>
      <c r="VLJ107" s="4"/>
      <c r="VLK107" s="4"/>
      <c r="VLL107" s="4"/>
      <c r="VLM107" s="4"/>
      <c r="VLN107" s="4"/>
      <c r="VLO107" s="4"/>
      <c r="VLP107" s="4"/>
      <c r="VLQ107" s="4"/>
      <c r="VLR107" s="4"/>
      <c r="VLS107" s="4"/>
      <c r="VLT107" s="4"/>
      <c r="VLU107" s="4"/>
      <c r="VLV107" s="4"/>
      <c r="VLW107" s="4"/>
      <c r="VLX107" s="4"/>
      <c r="VLY107" s="4"/>
      <c r="VLZ107" s="4"/>
      <c r="VMA107" s="4"/>
      <c r="VMB107" s="4"/>
      <c r="VMC107" s="4"/>
      <c r="VMD107" s="4"/>
      <c r="VME107" s="4"/>
      <c r="VMF107" s="4"/>
      <c r="VMG107" s="4"/>
      <c r="VMH107" s="4"/>
      <c r="VMI107" s="4"/>
      <c r="VMJ107" s="4"/>
      <c r="VMK107" s="4"/>
      <c r="VML107" s="4"/>
      <c r="VMM107" s="4"/>
      <c r="VMN107" s="4"/>
      <c r="VMO107" s="4"/>
      <c r="VMP107" s="4"/>
      <c r="VMQ107" s="4"/>
      <c r="VMR107" s="4"/>
      <c r="VMS107" s="4"/>
      <c r="VMT107" s="4"/>
      <c r="VMU107" s="4"/>
      <c r="VMV107" s="4"/>
      <c r="VMW107" s="4"/>
      <c r="VMX107" s="4"/>
      <c r="VMY107" s="4"/>
      <c r="VMZ107" s="4"/>
      <c r="VNA107" s="4"/>
      <c r="VNB107" s="4"/>
      <c r="VNC107" s="4"/>
      <c r="VND107" s="4"/>
      <c r="VNE107" s="4"/>
      <c r="VNF107" s="4"/>
      <c r="VNG107" s="4"/>
      <c r="VNH107" s="4"/>
      <c r="VNI107" s="4"/>
      <c r="VNJ107" s="4"/>
      <c r="VNK107" s="4"/>
      <c r="VNL107" s="4"/>
      <c r="VNM107" s="4"/>
      <c r="VNN107" s="4"/>
      <c r="VNO107" s="4"/>
      <c r="VNP107" s="4"/>
      <c r="VNQ107" s="4"/>
      <c r="VNR107" s="4"/>
      <c r="VNS107" s="4"/>
      <c r="VNT107" s="4"/>
      <c r="VNU107" s="4"/>
      <c r="VNV107" s="4"/>
      <c r="VNW107" s="4"/>
      <c r="VNX107" s="4"/>
      <c r="VNY107" s="4"/>
      <c r="VNZ107" s="4"/>
      <c r="VOA107" s="4"/>
      <c r="VOB107" s="4"/>
      <c r="VOC107" s="4"/>
      <c r="VOD107" s="4"/>
      <c r="VOE107" s="4"/>
      <c r="VOF107" s="4"/>
      <c r="VOG107" s="4"/>
      <c r="VOH107" s="4"/>
      <c r="VOI107" s="4"/>
      <c r="VOJ107" s="4"/>
      <c r="VOK107" s="4"/>
      <c r="VOL107" s="4"/>
      <c r="VOM107" s="4"/>
      <c r="VON107" s="4"/>
      <c r="VOO107" s="4"/>
      <c r="VOP107" s="4"/>
      <c r="VOQ107" s="4"/>
      <c r="VOR107" s="4"/>
      <c r="VOS107" s="4"/>
      <c r="VOT107" s="4"/>
      <c r="VOU107" s="4"/>
      <c r="VOV107" s="4"/>
      <c r="VOW107" s="4"/>
      <c r="VOX107" s="4"/>
      <c r="VOY107" s="4"/>
      <c r="VOZ107" s="4"/>
      <c r="VPA107" s="4"/>
      <c r="VPB107" s="4"/>
      <c r="VPC107" s="4"/>
      <c r="VPD107" s="4"/>
      <c r="VPE107" s="4"/>
      <c r="VPF107" s="4"/>
      <c r="VPG107" s="4"/>
      <c r="VPH107" s="4"/>
      <c r="VPI107" s="4"/>
      <c r="VPJ107" s="4"/>
      <c r="VPK107" s="4"/>
      <c r="VPL107" s="4"/>
      <c r="VPM107" s="4"/>
      <c r="VPN107" s="4"/>
      <c r="VPO107" s="4"/>
      <c r="VPP107" s="4"/>
      <c r="VPQ107" s="4"/>
      <c r="VPR107" s="4"/>
      <c r="VPS107" s="4"/>
      <c r="VPT107" s="4"/>
      <c r="VPU107" s="4"/>
      <c r="VPV107" s="4"/>
      <c r="VPW107" s="4"/>
      <c r="VPX107" s="4"/>
      <c r="VPY107" s="4"/>
      <c r="VPZ107" s="4"/>
      <c r="VQA107" s="4"/>
      <c r="VQB107" s="4"/>
      <c r="VQC107" s="4"/>
      <c r="VQD107" s="4"/>
      <c r="VQE107" s="4"/>
      <c r="VQF107" s="4"/>
      <c r="VQG107" s="4"/>
      <c r="VQH107" s="4"/>
      <c r="VQI107" s="4"/>
      <c r="VQJ107" s="4"/>
      <c r="VQK107" s="4"/>
      <c r="VQL107" s="4"/>
      <c r="VQM107" s="4"/>
      <c r="VQN107" s="4"/>
      <c r="VQO107" s="4"/>
      <c r="VQP107" s="4"/>
      <c r="VQQ107" s="4"/>
      <c r="VQR107" s="4"/>
      <c r="VQS107" s="4"/>
      <c r="VQT107" s="4"/>
      <c r="VQU107" s="4"/>
      <c r="VQV107" s="4"/>
      <c r="VQW107" s="4"/>
      <c r="VQX107" s="4"/>
      <c r="VQY107" s="4"/>
      <c r="VQZ107" s="4"/>
      <c r="VRA107" s="4"/>
      <c r="VRB107" s="4"/>
      <c r="VRC107" s="4"/>
      <c r="VRD107" s="4"/>
      <c r="VRE107" s="4"/>
      <c r="VRF107" s="4"/>
      <c r="VRG107" s="4"/>
      <c r="VRH107" s="4"/>
      <c r="VRI107" s="4"/>
      <c r="VRJ107" s="4"/>
      <c r="VRK107" s="4"/>
      <c r="VRL107" s="4"/>
      <c r="VRM107" s="4"/>
      <c r="VRN107" s="4"/>
      <c r="VRO107" s="4"/>
      <c r="VRP107" s="4"/>
      <c r="VRQ107" s="4"/>
      <c r="VRR107" s="4"/>
      <c r="VRS107" s="4"/>
      <c r="VRT107" s="4"/>
      <c r="VRU107" s="4"/>
      <c r="VRV107" s="4"/>
      <c r="VRW107" s="4"/>
      <c r="VRX107" s="4"/>
      <c r="VRY107" s="4"/>
      <c r="VRZ107" s="4"/>
      <c r="VSA107" s="4"/>
      <c r="VSB107" s="4"/>
      <c r="VSC107" s="4"/>
      <c r="VSD107" s="4"/>
      <c r="VSE107" s="4"/>
      <c r="VSF107" s="4"/>
      <c r="VSG107" s="4"/>
      <c r="VSH107" s="4"/>
      <c r="VSI107" s="4"/>
      <c r="VSJ107" s="4"/>
      <c r="VSK107" s="4"/>
      <c r="VSL107" s="4"/>
      <c r="VSM107" s="4"/>
      <c r="VSN107" s="4"/>
      <c r="VSO107" s="4"/>
      <c r="VSP107" s="4"/>
      <c r="VSQ107" s="4"/>
      <c r="VSR107" s="4"/>
      <c r="VSS107" s="4"/>
      <c r="VST107" s="4"/>
      <c r="VSU107" s="4"/>
      <c r="VSV107" s="4"/>
      <c r="VSW107" s="4"/>
      <c r="VSX107" s="4"/>
      <c r="VSY107" s="4"/>
      <c r="VSZ107" s="4"/>
      <c r="VTA107" s="4"/>
      <c r="VTB107" s="4"/>
      <c r="VTC107" s="4"/>
      <c r="VTD107" s="4"/>
      <c r="VTE107" s="4"/>
      <c r="VTF107" s="4"/>
      <c r="VTG107" s="4"/>
      <c r="VTH107" s="4"/>
      <c r="VTI107" s="4"/>
      <c r="VTJ107" s="4"/>
      <c r="VTK107" s="4"/>
      <c r="VTL107" s="4"/>
      <c r="VTM107" s="4"/>
      <c r="VTN107" s="4"/>
      <c r="VTO107" s="4"/>
      <c r="VTP107" s="4"/>
      <c r="VTQ107" s="4"/>
      <c r="VTR107" s="4"/>
      <c r="VTS107" s="4"/>
      <c r="VTT107" s="4"/>
      <c r="VTU107" s="4"/>
      <c r="VTV107" s="4"/>
      <c r="VTW107" s="4"/>
      <c r="VTX107" s="4"/>
      <c r="VTY107" s="4"/>
      <c r="VTZ107" s="4"/>
      <c r="VUA107" s="4"/>
      <c r="VUB107" s="4"/>
      <c r="VUC107" s="4"/>
      <c r="VUD107" s="4"/>
      <c r="VUE107" s="4"/>
      <c r="VUF107" s="4"/>
      <c r="VUG107" s="4"/>
      <c r="VUH107" s="4"/>
      <c r="VUI107" s="4"/>
      <c r="VUJ107" s="4"/>
      <c r="VUK107" s="4"/>
      <c r="VUL107" s="4"/>
      <c r="VUM107" s="4"/>
      <c r="VUN107" s="4"/>
      <c r="VUO107" s="4"/>
      <c r="VUP107" s="4"/>
      <c r="VUQ107" s="4"/>
      <c r="VUR107" s="4"/>
      <c r="VUS107" s="4"/>
      <c r="VUT107" s="4"/>
      <c r="VUU107" s="4"/>
      <c r="VUV107" s="4"/>
      <c r="VUW107" s="4"/>
      <c r="VUX107" s="4"/>
      <c r="VUY107" s="4"/>
      <c r="VUZ107" s="4"/>
      <c r="VVA107" s="4"/>
      <c r="VVB107" s="4"/>
      <c r="VVC107" s="4"/>
      <c r="VVD107" s="4"/>
      <c r="VVE107" s="4"/>
      <c r="VVF107" s="4"/>
      <c r="VVG107" s="4"/>
      <c r="VVH107" s="4"/>
      <c r="VVI107" s="4"/>
      <c r="VVJ107" s="4"/>
      <c r="VVK107" s="4"/>
      <c r="VVL107" s="4"/>
      <c r="VVM107" s="4"/>
      <c r="VVN107" s="4"/>
      <c r="VVO107" s="4"/>
      <c r="VVP107" s="4"/>
      <c r="VVQ107" s="4"/>
      <c r="VVR107" s="4"/>
      <c r="VVS107" s="4"/>
      <c r="VVT107" s="4"/>
      <c r="VVU107" s="4"/>
      <c r="VVV107" s="4"/>
      <c r="VVW107" s="4"/>
      <c r="VVX107" s="4"/>
      <c r="VVY107" s="4"/>
      <c r="VVZ107" s="4"/>
      <c r="VWA107" s="4"/>
      <c r="VWB107" s="4"/>
      <c r="VWC107" s="4"/>
      <c r="VWD107" s="4"/>
      <c r="VWE107" s="4"/>
      <c r="VWF107" s="4"/>
      <c r="VWG107" s="4"/>
      <c r="VWH107" s="4"/>
      <c r="VWI107" s="4"/>
      <c r="VWJ107" s="4"/>
      <c r="VWK107" s="4"/>
      <c r="VWL107" s="4"/>
      <c r="VWM107" s="4"/>
      <c r="VWN107" s="4"/>
      <c r="VWO107" s="4"/>
      <c r="VWP107" s="4"/>
      <c r="VWQ107" s="4"/>
      <c r="VWR107" s="4"/>
      <c r="VWS107" s="4"/>
      <c r="VWT107" s="4"/>
      <c r="VWU107" s="4"/>
      <c r="VWV107" s="4"/>
      <c r="VWW107" s="4"/>
      <c r="VWX107" s="4"/>
      <c r="VWY107" s="4"/>
      <c r="VWZ107" s="4"/>
      <c r="VXA107" s="4"/>
      <c r="VXB107" s="4"/>
      <c r="VXC107" s="4"/>
      <c r="VXD107" s="4"/>
      <c r="VXE107" s="4"/>
      <c r="VXF107" s="4"/>
      <c r="VXG107" s="4"/>
      <c r="VXH107" s="4"/>
      <c r="VXI107" s="4"/>
      <c r="VXJ107" s="4"/>
      <c r="VXK107" s="4"/>
      <c r="VXL107" s="4"/>
      <c r="VXM107" s="4"/>
      <c r="VXN107" s="4"/>
      <c r="VXO107" s="4"/>
      <c r="VXP107" s="4"/>
      <c r="VXQ107" s="4"/>
      <c r="VXR107" s="4"/>
      <c r="VXS107" s="4"/>
      <c r="VXT107" s="4"/>
      <c r="VXU107" s="4"/>
      <c r="VXV107" s="4"/>
      <c r="VXW107" s="4"/>
      <c r="VXX107" s="4"/>
      <c r="VXY107" s="4"/>
      <c r="VXZ107" s="4"/>
      <c r="VYA107" s="4"/>
      <c r="VYB107" s="4"/>
      <c r="VYC107" s="4"/>
      <c r="VYD107" s="4"/>
      <c r="VYE107" s="4"/>
      <c r="VYF107" s="4"/>
      <c r="VYG107" s="4"/>
      <c r="VYH107" s="4"/>
      <c r="VYI107" s="4"/>
      <c r="VYJ107" s="4"/>
      <c r="VYK107" s="4"/>
      <c r="VYL107" s="4"/>
      <c r="VYM107" s="4"/>
      <c r="VYN107" s="4"/>
      <c r="VYO107" s="4"/>
      <c r="VYP107" s="4"/>
      <c r="VYQ107" s="4"/>
      <c r="VYR107" s="4"/>
      <c r="VYS107" s="4"/>
      <c r="VYT107" s="4"/>
      <c r="VYU107" s="4"/>
      <c r="VYV107" s="4"/>
      <c r="VYW107" s="4"/>
      <c r="VYX107" s="4"/>
      <c r="VYY107" s="4"/>
      <c r="VYZ107" s="4"/>
      <c r="VZA107" s="4"/>
      <c r="VZB107" s="4"/>
      <c r="VZC107" s="4"/>
      <c r="VZD107" s="4"/>
      <c r="VZE107" s="4"/>
      <c r="VZF107" s="4"/>
      <c r="VZG107" s="4"/>
      <c r="VZH107" s="4"/>
      <c r="VZI107" s="4"/>
      <c r="VZJ107" s="4"/>
      <c r="VZK107" s="4"/>
      <c r="VZL107" s="4"/>
      <c r="VZM107" s="4"/>
      <c r="VZN107" s="4"/>
      <c r="VZO107" s="4"/>
      <c r="VZP107" s="4"/>
      <c r="VZQ107" s="4"/>
      <c r="VZR107" s="4"/>
      <c r="VZS107" s="4"/>
      <c r="VZT107" s="4"/>
      <c r="VZU107" s="4"/>
      <c r="VZV107" s="4"/>
      <c r="VZW107" s="4"/>
      <c r="VZX107" s="4"/>
      <c r="VZY107" s="4"/>
      <c r="VZZ107" s="4"/>
      <c r="WAA107" s="4"/>
      <c r="WAB107" s="4"/>
      <c r="WAC107" s="4"/>
      <c r="WAD107" s="4"/>
      <c r="WAE107" s="4"/>
      <c r="WAF107" s="4"/>
      <c r="WAG107" s="4"/>
      <c r="WAH107" s="4"/>
      <c r="WAI107" s="4"/>
      <c r="WAJ107" s="4"/>
      <c r="WAK107" s="4"/>
      <c r="WAL107" s="4"/>
      <c r="WAM107" s="4"/>
      <c r="WAN107" s="4"/>
      <c r="WAO107" s="4"/>
      <c r="WAP107" s="4"/>
      <c r="WAQ107" s="4"/>
      <c r="WAR107" s="4"/>
      <c r="WAS107" s="4"/>
      <c r="WAT107" s="4"/>
      <c r="WAU107" s="4"/>
      <c r="WAV107" s="4"/>
      <c r="WAW107" s="4"/>
      <c r="WAX107" s="4"/>
      <c r="WAY107" s="4"/>
      <c r="WAZ107" s="4"/>
      <c r="WBA107" s="4"/>
      <c r="WBB107" s="4"/>
      <c r="WBC107" s="4"/>
      <c r="WBD107" s="4"/>
      <c r="WBE107" s="4"/>
      <c r="WBF107" s="4"/>
      <c r="WBG107" s="4"/>
      <c r="WBH107" s="4"/>
      <c r="WBI107" s="4"/>
      <c r="WBJ107" s="4"/>
      <c r="WBK107" s="4"/>
      <c r="WBL107" s="4"/>
      <c r="WBM107" s="4"/>
      <c r="WBN107" s="4"/>
      <c r="WBO107" s="4"/>
      <c r="WBP107" s="4"/>
      <c r="WBQ107" s="4"/>
      <c r="WBR107" s="4"/>
      <c r="WBS107" s="4"/>
      <c r="WBT107" s="4"/>
      <c r="WBU107" s="4"/>
      <c r="WBV107" s="4"/>
      <c r="WBW107" s="4"/>
      <c r="WBX107" s="4"/>
      <c r="WBY107" s="4"/>
      <c r="WBZ107" s="4"/>
      <c r="WCA107" s="4"/>
      <c r="WCB107" s="4"/>
      <c r="WCC107" s="4"/>
      <c r="WCD107" s="4"/>
      <c r="WCE107" s="4"/>
      <c r="WCF107" s="4"/>
      <c r="WCG107" s="4"/>
      <c r="WCH107" s="4"/>
      <c r="WCI107" s="4"/>
      <c r="WCJ107" s="4"/>
      <c r="WCK107" s="4"/>
      <c r="WCL107" s="4"/>
      <c r="WCM107" s="4"/>
      <c r="WCN107" s="4"/>
      <c r="WCO107" s="4"/>
      <c r="WCP107" s="4"/>
      <c r="WCQ107" s="4"/>
      <c r="WCR107" s="4"/>
      <c r="WCS107" s="4"/>
      <c r="WCT107" s="4"/>
      <c r="WCU107" s="4"/>
      <c r="WCV107" s="4"/>
      <c r="WCW107" s="4"/>
      <c r="WCX107" s="4"/>
      <c r="WCY107" s="4"/>
      <c r="WCZ107" s="4"/>
      <c r="WDA107" s="4"/>
      <c r="WDB107" s="4"/>
      <c r="WDC107" s="4"/>
      <c r="WDD107" s="4"/>
      <c r="WDE107" s="4"/>
      <c r="WDF107" s="4"/>
      <c r="WDG107" s="4"/>
      <c r="WDH107" s="4"/>
      <c r="WDI107" s="4"/>
      <c r="WDJ107" s="4"/>
      <c r="WDK107" s="4"/>
      <c r="WDL107" s="4"/>
      <c r="WDM107" s="4"/>
      <c r="WDN107" s="4"/>
      <c r="WDO107" s="4"/>
      <c r="WDP107" s="4"/>
      <c r="WDQ107" s="4"/>
      <c r="WDR107" s="4"/>
      <c r="WDS107" s="4"/>
      <c r="WDT107" s="4"/>
      <c r="WDU107" s="4"/>
      <c r="WDV107" s="4"/>
      <c r="WDW107" s="4"/>
      <c r="WDX107" s="4"/>
      <c r="WDY107" s="4"/>
      <c r="WDZ107" s="4"/>
      <c r="WEA107" s="4"/>
      <c r="WEB107" s="4"/>
      <c r="WEC107" s="4"/>
      <c r="WED107" s="4"/>
      <c r="WEE107" s="4"/>
      <c r="WEF107" s="4"/>
      <c r="WEG107" s="4"/>
      <c r="WEH107" s="4"/>
      <c r="WEI107" s="4"/>
      <c r="WEJ107" s="4"/>
      <c r="WEK107" s="4"/>
      <c r="WEL107" s="4"/>
      <c r="WEM107" s="4"/>
      <c r="WEN107" s="4"/>
      <c r="WEO107" s="4"/>
      <c r="WEP107" s="4"/>
      <c r="WEQ107" s="4"/>
      <c r="WER107" s="4"/>
      <c r="WES107" s="4"/>
      <c r="WET107" s="4"/>
      <c r="WEU107" s="4"/>
      <c r="WEV107" s="4"/>
      <c r="WEW107" s="4"/>
      <c r="WEX107" s="4"/>
      <c r="WEY107" s="4"/>
      <c r="WEZ107" s="4"/>
      <c r="WFA107" s="4"/>
      <c r="WFB107" s="4"/>
      <c r="WFC107" s="4"/>
      <c r="WFD107" s="4"/>
      <c r="WFE107" s="4"/>
      <c r="WFF107" s="4"/>
      <c r="WFG107" s="4"/>
      <c r="WFH107" s="4"/>
      <c r="WFI107" s="4"/>
      <c r="WFJ107" s="4"/>
      <c r="WFK107" s="4"/>
      <c r="WFL107" s="4"/>
      <c r="WFM107" s="4"/>
      <c r="WFN107" s="4"/>
      <c r="WFO107" s="4"/>
      <c r="WFP107" s="4"/>
      <c r="WFQ107" s="4"/>
      <c r="WFR107" s="4"/>
      <c r="WFS107" s="4"/>
      <c r="WFT107" s="4"/>
      <c r="WFU107" s="4"/>
      <c r="WFV107" s="4"/>
      <c r="WFW107" s="4"/>
      <c r="WFX107" s="4"/>
      <c r="WFY107" s="4"/>
      <c r="WFZ107" s="4"/>
      <c r="WGA107" s="4"/>
      <c r="WGB107" s="4"/>
      <c r="WGC107" s="4"/>
      <c r="WGD107" s="4"/>
      <c r="WGE107" s="4"/>
      <c r="WGF107" s="4"/>
      <c r="WGG107" s="4"/>
      <c r="WGH107" s="4"/>
      <c r="WGI107" s="4"/>
      <c r="WGJ107" s="4"/>
      <c r="WGK107" s="4"/>
      <c r="WGL107" s="4"/>
      <c r="WGM107" s="4"/>
      <c r="WGN107" s="4"/>
      <c r="WGO107" s="4"/>
      <c r="WGP107" s="4"/>
      <c r="WGQ107" s="4"/>
      <c r="WGR107" s="4"/>
      <c r="WGS107" s="4"/>
      <c r="WGT107" s="4"/>
      <c r="WGU107" s="4"/>
      <c r="WGV107" s="4"/>
      <c r="WGW107" s="4"/>
      <c r="WGX107" s="4"/>
      <c r="WGY107" s="4"/>
      <c r="WGZ107" s="4"/>
      <c r="WHA107" s="4"/>
      <c r="WHB107" s="4"/>
      <c r="WHC107" s="4"/>
      <c r="WHD107" s="4"/>
      <c r="WHE107" s="4"/>
      <c r="WHF107" s="4"/>
      <c r="WHG107" s="4"/>
      <c r="WHH107" s="4"/>
      <c r="WHI107" s="4"/>
      <c r="WHJ107" s="4"/>
      <c r="WHK107" s="4"/>
      <c r="WHL107" s="4"/>
      <c r="WHM107" s="4"/>
      <c r="WHN107" s="4"/>
      <c r="WHO107" s="4"/>
      <c r="WHP107" s="4"/>
      <c r="WHQ107" s="4"/>
      <c r="WHR107" s="4"/>
      <c r="WHS107" s="4"/>
      <c r="WHT107" s="4"/>
      <c r="WHU107" s="4"/>
      <c r="WHV107" s="4"/>
      <c r="WHW107" s="4"/>
      <c r="WHX107" s="4"/>
      <c r="WHY107" s="4"/>
      <c r="WHZ107" s="4"/>
      <c r="WIA107" s="4"/>
      <c r="WIB107" s="4"/>
      <c r="WIC107" s="4"/>
      <c r="WID107" s="4"/>
      <c r="WIE107" s="4"/>
      <c r="WIF107" s="4"/>
      <c r="WIG107" s="4"/>
      <c r="WIH107" s="4"/>
      <c r="WII107" s="4"/>
      <c r="WIJ107" s="4"/>
      <c r="WIK107" s="4"/>
      <c r="WIL107" s="4"/>
      <c r="WIM107" s="4"/>
      <c r="WIN107" s="4"/>
      <c r="WIO107" s="4"/>
      <c r="WIP107" s="4"/>
      <c r="WIQ107" s="4"/>
      <c r="WIR107" s="4"/>
      <c r="WIS107" s="4"/>
      <c r="WIT107" s="4"/>
      <c r="WIU107" s="4"/>
      <c r="WIV107" s="4"/>
      <c r="WIW107" s="4"/>
      <c r="WIX107" s="4"/>
      <c r="WIY107" s="4"/>
      <c r="WIZ107" s="4"/>
      <c r="WJA107" s="4"/>
      <c r="WJB107" s="4"/>
      <c r="WJC107" s="4"/>
      <c r="WJD107" s="4"/>
      <c r="WJE107" s="4"/>
      <c r="WJF107" s="4"/>
      <c r="WJG107" s="4"/>
      <c r="WJH107" s="4"/>
      <c r="WJI107" s="4"/>
      <c r="WJJ107" s="4"/>
      <c r="WJK107" s="4"/>
      <c r="WJL107" s="4"/>
      <c r="WJM107" s="4"/>
      <c r="WJN107" s="4"/>
      <c r="WJO107" s="4"/>
      <c r="WJP107" s="4"/>
      <c r="WJQ107" s="4"/>
      <c r="WJR107" s="4"/>
      <c r="WJS107" s="4"/>
      <c r="WJT107" s="4"/>
      <c r="WJU107" s="4"/>
      <c r="WJV107" s="4"/>
      <c r="WJW107" s="4"/>
      <c r="WJX107" s="4"/>
      <c r="WJY107" s="4"/>
      <c r="WJZ107" s="4"/>
      <c r="WKA107" s="4"/>
      <c r="WKB107" s="4"/>
      <c r="WKC107" s="4"/>
      <c r="WKD107" s="4"/>
      <c r="WKE107" s="4"/>
      <c r="WKF107" s="4"/>
      <c r="WKG107" s="4"/>
      <c r="WKH107" s="4"/>
      <c r="WKI107" s="4"/>
      <c r="WKJ107" s="4"/>
      <c r="WKK107" s="4"/>
      <c r="WKL107" s="4"/>
      <c r="WKM107" s="4"/>
      <c r="WKN107" s="4"/>
      <c r="WKO107" s="4"/>
      <c r="WKP107" s="4"/>
      <c r="WKQ107" s="4"/>
      <c r="WKR107" s="4"/>
      <c r="WKS107" s="4"/>
      <c r="WKT107" s="4"/>
      <c r="WKU107" s="4"/>
      <c r="WKV107" s="4"/>
      <c r="WKW107" s="4"/>
      <c r="WKX107" s="4"/>
      <c r="WKY107" s="4"/>
      <c r="WKZ107" s="4"/>
      <c r="WLA107" s="4"/>
      <c r="WLB107" s="4"/>
      <c r="WLC107" s="4"/>
      <c r="WLD107" s="4"/>
      <c r="WLE107" s="4"/>
      <c r="WLF107" s="4"/>
      <c r="WLG107" s="4"/>
      <c r="WLH107" s="4"/>
      <c r="WLI107" s="4"/>
      <c r="WLJ107" s="4"/>
      <c r="WLK107" s="4"/>
      <c r="WLL107" s="4"/>
      <c r="WLM107" s="4"/>
      <c r="WLN107" s="4"/>
      <c r="WLO107" s="4"/>
      <c r="WLP107" s="4"/>
      <c r="WLQ107" s="4"/>
      <c r="WLR107" s="4"/>
      <c r="WLS107" s="4"/>
      <c r="WLT107" s="4"/>
      <c r="WLU107" s="4"/>
      <c r="WLV107" s="4"/>
      <c r="WLW107" s="4"/>
      <c r="WLX107" s="4"/>
      <c r="WLY107" s="4"/>
      <c r="WLZ107" s="4"/>
      <c r="WMA107" s="4"/>
      <c r="WMB107" s="4"/>
      <c r="WMC107" s="4"/>
      <c r="WMD107" s="4"/>
      <c r="WME107" s="4"/>
      <c r="WMF107" s="4"/>
      <c r="WMG107" s="4"/>
      <c r="WMH107" s="4"/>
      <c r="WMI107" s="4"/>
      <c r="WMJ107" s="4"/>
      <c r="WMK107" s="4"/>
      <c r="WML107" s="4"/>
      <c r="WMM107" s="4"/>
      <c r="WMN107" s="4"/>
      <c r="WMO107" s="4"/>
      <c r="WMP107" s="4"/>
      <c r="WMQ107" s="4"/>
      <c r="WMR107" s="4"/>
      <c r="WMS107" s="4"/>
      <c r="WMT107" s="4"/>
      <c r="WMU107" s="4"/>
      <c r="WMV107" s="4"/>
      <c r="WMW107" s="4"/>
      <c r="WMX107" s="4"/>
      <c r="WMY107" s="4"/>
      <c r="WMZ107" s="4"/>
      <c r="WNA107" s="4"/>
      <c r="WNB107" s="4"/>
      <c r="WNC107" s="4"/>
      <c r="WND107" s="4"/>
      <c r="WNE107" s="4"/>
      <c r="WNF107" s="4"/>
      <c r="WNG107" s="4"/>
      <c r="WNH107" s="4"/>
      <c r="WNI107" s="4"/>
      <c r="WNJ107" s="4"/>
      <c r="WNK107" s="4"/>
      <c r="WNL107" s="4"/>
      <c r="WNM107" s="4"/>
      <c r="WNN107" s="4"/>
      <c r="WNO107" s="4"/>
      <c r="WNP107" s="4"/>
      <c r="WNQ107" s="4"/>
      <c r="WNR107" s="4"/>
      <c r="WNS107" s="4"/>
      <c r="WNT107" s="4"/>
      <c r="WNU107" s="4"/>
      <c r="WNV107" s="4"/>
      <c r="WNW107" s="4"/>
      <c r="WNX107" s="4"/>
      <c r="WNY107" s="4"/>
      <c r="WNZ107" s="4"/>
      <c r="WOA107" s="4"/>
      <c r="WOB107" s="4"/>
      <c r="WOC107" s="4"/>
      <c r="WOD107" s="4"/>
      <c r="WOE107" s="4"/>
      <c r="WOF107" s="4"/>
      <c r="WOG107" s="4"/>
      <c r="WOH107" s="4"/>
      <c r="WOI107" s="4"/>
      <c r="WOJ107" s="4"/>
      <c r="WOK107" s="4"/>
      <c r="WOL107" s="4"/>
      <c r="WOM107" s="4"/>
      <c r="WON107" s="4"/>
      <c r="WOO107" s="4"/>
      <c r="WOP107" s="4"/>
      <c r="WOQ107" s="4"/>
      <c r="WOR107" s="4"/>
      <c r="WOS107" s="4"/>
      <c r="WOT107" s="4"/>
      <c r="WOU107" s="4"/>
      <c r="WOV107" s="4"/>
      <c r="WOW107" s="4"/>
      <c r="WOX107" s="4"/>
      <c r="WOY107" s="4"/>
      <c r="WOZ107" s="4"/>
      <c r="WPA107" s="4"/>
      <c r="WPB107" s="4"/>
      <c r="WPC107" s="4"/>
      <c r="WPD107" s="4"/>
      <c r="WPE107" s="4"/>
      <c r="WPF107" s="4"/>
      <c r="WPG107" s="4"/>
      <c r="WPH107" s="4"/>
      <c r="WPI107" s="4"/>
      <c r="WPJ107" s="4"/>
      <c r="WPK107" s="4"/>
      <c r="WPL107" s="4"/>
      <c r="WPM107" s="4"/>
      <c r="WPN107" s="4"/>
      <c r="WPO107" s="4"/>
      <c r="WPP107" s="4"/>
      <c r="WPQ107" s="4"/>
      <c r="WPR107" s="4"/>
      <c r="WPS107" s="4"/>
      <c r="WPT107" s="4"/>
      <c r="WPU107" s="4"/>
      <c r="WPV107" s="4"/>
      <c r="WPW107" s="4"/>
      <c r="WPX107" s="4"/>
      <c r="WPY107" s="4"/>
      <c r="WPZ107" s="4"/>
      <c r="WQA107" s="4"/>
      <c r="WQB107" s="4"/>
      <c r="WQC107" s="4"/>
      <c r="WQD107" s="4"/>
      <c r="WQE107" s="4"/>
      <c r="WQF107" s="4"/>
      <c r="WQG107" s="4"/>
      <c r="WQH107" s="4"/>
      <c r="WQI107" s="4"/>
      <c r="WQJ107" s="4"/>
      <c r="WQK107" s="4"/>
      <c r="WQL107" s="4"/>
      <c r="WQM107" s="4"/>
      <c r="WQN107" s="4"/>
      <c r="WQO107" s="4"/>
      <c r="WQP107" s="4"/>
      <c r="WQQ107" s="4"/>
      <c r="WQR107" s="4"/>
      <c r="WQS107" s="4"/>
      <c r="WQT107" s="4"/>
      <c r="WQU107" s="4"/>
      <c r="WQV107" s="4"/>
      <c r="WQW107" s="4"/>
      <c r="WQX107" s="4"/>
      <c r="WQY107" s="4"/>
      <c r="WQZ107" s="4"/>
      <c r="WRA107" s="4"/>
      <c r="WRB107" s="4"/>
      <c r="WRC107" s="4"/>
      <c r="WRD107" s="4"/>
      <c r="WRE107" s="4"/>
      <c r="WRF107" s="4"/>
      <c r="WRG107" s="4"/>
      <c r="WRH107" s="4"/>
      <c r="WRI107" s="4"/>
      <c r="WRJ107" s="4"/>
      <c r="WRK107" s="4"/>
      <c r="WRL107" s="4"/>
      <c r="WRM107" s="4"/>
      <c r="WRN107" s="4"/>
      <c r="WRO107" s="4"/>
      <c r="WRP107" s="4"/>
      <c r="WRQ107" s="4"/>
      <c r="WRR107" s="4"/>
      <c r="WRS107" s="4"/>
      <c r="WRT107" s="4"/>
      <c r="WRU107" s="4"/>
      <c r="WRV107" s="4"/>
      <c r="WRW107" s="4"/>
      <c r="WRX107" s="4"/>
      <c r="WRY107" s="4"/>
      <c r="WRZ107" s="4"/>
      <c r="WSA107" s="4"/>
      <c r="WSB107" s="4"/>
      <c r="WSC107" s="4"/>
      <c r="WSD107" s="4"/>
      <c r="WSE107" s="4"/>
      <c r="WSF107" s="4"/>
      <c r="WSG107" s="4"/>
      <c r="WSH107" s="4"/>
      <c r="WSI107" s="4"/>
      <c r="WSJ107" s="4"/>
      <c r="WSK107" s="4"/>
      <c r="WSL107" s="4"/>
      <c r="WSM107" s="4"/>
      <c r="WSN107" s="4"/>
      <c r="WSO107" s="4"/>
      <c r="WSP107" s="4"/>
      <c r="WSQ107" s="4"/>
      <c r="WSR107" s="4"/>
      <c r="WSS107" s="4"/>
      <c r="WST107" s="4"/>
      <c r="WSU107" s="4"/>
      <c r="WSV107" s="4"/>
      <c r="WSW107" s="4"/>
      <c r="WSX107" s="4"/>
      <c r="WSY107" s="4"/>
      <c r="WSZ107" s="4"/>
      <c r="WTA107" s="4"/>
      <c r="WTB107" s="4"/>
      <c r="WTC107" s="4"/>
      <c r="WTD107" s="4"/>
      <c r="WTE107" s="4"/>
      <c r="WTF107" s="4"/>
      <c r="WTG107" s="4"/>
      <c r="WTH107" s="4"/>
      <c r="WTI107" s="4"/>
      <c r="WTJ107" s="4"/>
      <c r="WTK107" s="4"/>
      <c r="WTL107" s="4"/>
      <c r="WTM107" s="4"/>
      <c r="WTN107" s="4"/>
      <c r="WTO107" s="4"/>
      <c r="WTP107" s="4"/>
      <c r="WTQ107" s="4"/>
      <c r="WTR107" s="4"/>
      <c r="WTS107" s="4"/>
      <c r="WTT107" s="4"/>
      <c r="WTU107" s="4"/>
      <c r="WTV107" s="4"/>
      <c r="WTW107" s="4"/>
      <c r="WTX107" s="4"/>
      <c r="WTY107" s="4"/>
      <c r="WTZ107" s="4"/>
      <c r="WUA107" s="4"/>
      <c r="WUB107" s="4"/>
      <c r="WUC107" s="4"/>
      <c r="WUD107" s="4"/>
      <c r="WUE107" s="4"/>
      <c r="WUF107" s="4"/>
      <c r="WUG107" s="4"/>
      <c r="WUH107" s="4"/>
      <c r="WUI107" s="4"/>
      <c r="WUJ107" s="4"/>
      <c r="WUK107" s="4"/>
      <c r="WUL107" s="4"/>
      <c r="WUM107" s="4"/>
      <c r="WUN107" s="4"/>
      <c r="WUO107" s="4"/>
      <c r="WUP107" s="4"/>
      <c r="WUQ107" s="4"/>
      <c r="WUR107" s="4"/>
      <c r="WUS107" s="4"/>
      <c r="WUT107" s="4"/>
      <c r="WUU107" s="4"/>
      <c r="WUV107" s="4"/>
      <c r="WUW107" s="4"/>
      <c r="WUX107" s="4"/>
      <c r="WUY107" s="4"/>
      <c r="WUZ107" s="4"/>
      <c r="WVA107" s="4"/>
      <c r="WVB107" s="4"/>
      <c r="WVC107" s="4"/>
      <c r="WVD107" s="4"/>
      <c r="WVE107" s="4"/>
      <c r="WVF107" s="4"/>
      <c r="WVG107" s="4"/>
      <c r="WVH107" s="4"/>
      <c r="WVI107" s="4"/>
      <c r="WVJ107" s="4"/>
      <c r="WVK107" s="4"/>
      <c r="WVL107" s="4"/>
      <c r="WVM107" s="4"/>
      <c r="WVN107" s="4"/>
      <c r="WVO107" s="4"/>
      <c r="WVP107" s="4"/>
      <c r="WVQ107" s="4"/>
      <c r="WVR107" s="4"/>
      <c r="WVS107" s="4"/>
      <c r="WVT107" s="4"/>
      <c r="WVU107" s="4"/>
      <c r="WVV107" s="4"/>
      <c r="WVW107" s="4"/>
      <c r="WVX107" s="4"/>
      <c r="WVY107" s="4"/>
      <c r="WVZ107" s="4"/>
      <c r="WWA107" s="4"/>
      <c r="WWB107" s="4"/>
      <c r="WWC107" s="4"/>
      <c r="WWD107" s="4"/>
      <c r="WWE107" s="4"/>
      <c r="WWF107" s="4"/>
      <c r="WWG107" s="4"/>
      <c r="WWH107" s="4"/>
      <c r="WWI107" s="4"/>
      <c r="WWJ107" s="4"/>
      <c r="WWK107" s="4"/>
      <c r="WWL107" s="4"/>
      <c r="WWM107" s="4"/>
      <c r="WWN107" s="4"/>
      <c r="WWO107" s="4"/>
      <c r="WWP107" s="4"/>
      <c r="WWQ107" s="4"/>
      <c r="WWR107" s="4"/>
      <c r="WWS107" s="4"/>
      <c r="WWT107" s="4"/>
      <c r="WWU107" s="4"/>
      <c r="WWV107" s="4"/>
      <c r="WWW107" s="4"/>
      <c r="WWX107" s="4"/>
      <c r="WWY107" s="4"/>
      <c r="WWZ107" s="4"/>
      <c r="WXA107" s="4"/>
      <c r="WXB107" s="4"/>
      <c r="WXC107" s="4"/>
      <c r="WXD107" s="4"/>
      <c r="WXE107" s="4"/>
      <c r="WXF107" s="4"/>
      <c r="WXG107" s="4"/>
      <c r="WXH107" s="4"/>
      <c r="WXI107" s="4"/>
      <c r="WXJ107" s="4"/>
      <c r="WXK107" s="4"/>
      <c r="WXL107" s="4"/>
      <c r="WXM107" s="4"/>
      <c r="WXN107" s="4"/>
      <c r="WXO107" s="4"/>
      <c r="WXP107" s="4"/>
      <c r="WXQ107" s="4"/>
      <c r="WXR107" s="4"/>
      <c r="WXS107" s="4"/>
      <c r="WXT107" s="4"/>
      <c r="WXU107" s="4"/>
      <c r="WXV107" s="4"/>
      <c r="WXW107" s="4"/>
      <c r="WXX107" s="4"/>
      <c r="WXY107" s="4"/>
      <c r="WXZ107" s="4"/>
      <c r="WYA107" s="4"/>
      <c r="WYB107" s="4"/>
      <c r="WYC107" s="4"/>
      <c r="WYD107" s="4"/>
      <c r="WYE107" s="4"/>
      <c r="WYF107" s="4"/>
      <c r="WYG107" s="4"/>
      <c r="WYH107" s="4"/>
      <c r="WYI107" s="4"/>
      <c r="WYJ107" s="4"/>
      <c r="WYK107" s="4"/>
      <c r="WYL107" s="4"/>
      <c r="WYM107" s="4"/>
      <c r="WYN107" s="4"/>
      <c r="WYO107" s="4"/>
      <c r="WYP107" s="4"/>
      <c r="WYQ107" s="4"/>
      <c r="WYR107" s="4"/>
      <c r="WYS107" s="4"/>
      <c r="WYT107" s="4"/>
      <c r="WYU107" s="4"/>
      <c r="WYV107" s="4"/>
      <c r="WYW107" s="4"/>
      <c r="WYX107" s="4"/>
      <c r="WYY107" s="4"/>
      <c r="WYZ107" s="4"/>
      <c r="WZA107" s="4"/>
      <c r="WZB107" s="4"/>
      <c r="WZC107" s="4"/>
      <c r="WZD107" s="4"/>
      <c r="WZE107" s="4"/>
      <c r="WZF107" s="4"/>
      <c r="WZG107" s="4"/>
      <c r="WZH107" s="4"/>
      <c r="WZI107" s="4"/>
      <c r="WZJ107" s="4"/>
      <c r="WZK107" s="4"/>
      <c r="WZL107" s="4"/>
      <c r="WZM107" s="4"/>
      <c r="WZN107" s="4"/>
      <c r="WZO107" s="4"/>
      <c r="WZP107" s="4"/>
      <c r="WZQ107" s="4"/>
      <c r="WZR107" s="4"/>
      <c r="WZS107" s="4"/>
      <c r="WZT107" s="4"/>
      <c r="WZU107" s="4"/>
      <c r="WZV107" s="4"/>
      <c r="WZW107" s="4"/>
      <c r="WZX107" s="4"/>
      <c r="WZY107" s="4"/>
      <c r="WZZ107" s="4"/>
      <c r="XAA107" s="4"/>
      <c r="XAB107" s="4"/>
      <c r="XAC107" s="4"/>
      <c r="XAD107" s="4"/>
      <c r="XAE107" s="4"/>
      <c r="XAF107" s="4"/>
      <c r="XAG107" s="4"/>
      <c r="XAH107" s="4"/>
      <c r="XAI107" s="4"/>
      <c r="XAJ107" s="4"/>
      <c r="XAK107" s="4"/>
      <c r="XAL107" s="4"/>
      <c r="XAM107" s="4"/>
      <c r="XAN107" s="4"/>
      <c r="XAO107" s="4"/>
      <c r="XAP107" s="4"/>
      <c r="XAQ107" s="4"/>
      <c r="XAR107" s="4"/>
      <c r="XAS107" s="4"/>
      <c r="XAT107" s="4"/>
      <c r="XAU107" s="4"/>
      <c r="XAV107" s="4"/>
      <c r="XAW107" s="4"/>
      <c r="XAX107" s="4"/>
      <c r="XAY107" s="4"/>
      <c r="XAZ107" s="4"/>
      <c r="XBA107" s="4"/>
      <c r="XBB107" s="4"/>
      <c r="XBC107" s="4"/>
      <c r="XBD107" s="4"/>
      <c r="XBE107" s="4"/>
      <c r="XBF107" s="4"/>
      <c r="XBG107" s="4"/>
      <c r="XBH107" s="4"/>
      <c r="XBI107" s="4"/>
      <c r="XBJ107" s="4"/>
      <c r="XBK107" s="4"/>
      <c r="XBL107" s="4"/>
      <c r="XBM107" s="4"/>
      <c r="XBN107" s="4"/>
      <c r="XBO107" s="4"/>
      <c r="XBP107" s="4"/>
      <c r="XBQ107" s="4"/>
      <c r="XBR107" s="4"/>
      <c r="XBS107" s="4"/>
      <c r="XBT107" s="4"/>
      <c r="XBU107" s="4"/>
      <c r="XBV107" s="4"/>
      <c r="XBW107" s="4"/>
      <c r="XBX107" s="4"/>
      <c r="XBY107" s="4"/>
      <c r="XBZ107" s="4"/>
      <c r="XCA107" s="4"/>
      <c r="XCB107" s="4"/>
      <c r="XCC107" s="4"/>
      <c r="XCD107" s="4"/>
      <c r="XCE107" s="4"/>
      <c r="XCF107" s="4"/>
      <c r="XCG107" s="4"/>
      <c r="XCH107" s="4"/>
      <c r="XCI107" s="4"/>
      <c r="XCJ107" s="4"/>
      <c r="XCK107" s="4"/>
      <c r="XCL107" s="4"/>
      <c r="XCM107" s="4"/>
      <c r="XCN107" s="4"/>
      <c r="XCO107" s="4"/>
      <c r="XCP107" s="4"/>
      <c r="XCQ107" s="4"/>
      <c r="XCR107" s="4"/>
      <c r="XCS107" s="4"/>
      <c r="XCT107" s="4"/>
      <c r="XCU107" s="4"/>
      <c r="XCV107" s="4"/>
      <c r="XCW107" s="4"/>
      <c r="XCX107" s="4"/>
      <c r="XCY107" s="4"/>
      <c r="XCZ107" s="4"/>
      <c r="XDA107" s="4"/>
      <c r="XDB107" s="4"/>
      <c r="XDC107" s="4"/>
      <c r="XDD107" s="4"/>
      <c r="XDE107" s="4"/>
      <c r="XDF107" s="4"/>
      <c r="XDG107" s="4"/>
      <c r="XDH107" s="4"/>
      <c r="XDI107" s="4"/>
      <c r="XDJ107" s="4"/>
      <c r="XDK107" s="4"/>
      <c r="XDL107" s="4"/>
      <c r="XDM107" s="4"/>
      <c r="XDN107" s="4"/>
      <c r="XDO107" s="4"/>
      <c r="XDP107" s="4"/>
      <c r="XDQ107" s="4"/>
      <c r="XDR107" s="4"/>
      <c r="XDS107" s="4"/>
      <c r="XDT107" s="4"/>
      <c r="XDU107" s="4"/>
      <c r="XDV107" s="4"/>
      <c r="XDW107" s="4"/>
      <c r="XDX107" s="4"/>
      <c r="XDY107" s="4"/>
      <c r="XDZ107" s="4"/>
      <c r="XEA107" s="4"/>
      <c r="XEB107" s="4"/>
      <c r="XEC107" s="4"/>
      <c r="XED107" s="4"/>
      <c r="XEE107" s="4"/>
      <c r="XEF107" s="4"/>
      <c r="XEG107" s="4"/>
      <c r="XEH107" s="4"/>
      <c r="XEI107" s="4"/>
      <c r="XEJ107" s="4"/>
      <c r="XEK107" s="4"/>
      <c r="XEL107" s="4"/>
      <c r="XEM107" s="4"/>
      <c r="XEN107" s="4"/>
      <c r="XEO107" s="4"/>
      <c r="XEP107" s="4"/>
      <c r="XEQ107" s="4"/>
      <c r="XER107" s="4"/>
      <c r="XES107" s="4"/>
      <c r="XET107" s="4"/>
      <c r="XEU107" s="4"/>
      <c r="XEV107" s="4"/>
      <c r="XEW107" s="4"/>
      <c r="XEX107" s="4"/>
      <c r="XEY107" s="4"/>
      <c r="XEZ107" s="4"/>
      <c r="XFA107" s="4"/>
      <c r="XFB107" s="4"/>
      <c r="XFC107" s="4"/>
      <c r="XFD107" s="4"/>
    </row>
    <row r="108" spans="1:16384" s="1" customFormat="1" x14ac:dyDescent="0.2">
      <c r="A108" s="4" t="str">
        <f>+A86</f>
        <v>February</v>
      </c>
      <c r="B108" s="4">
        <f>+B72*B50</f>
        <v>-4045.8206488000001</v>
      </c>
      <c r="C108" s="4">
        <f t="shared" si="42"/>
        <v>-315.71945439999996</v>
      </c>
      <c r="D108" s="4">
        <f t="shared" si="42"/>
        <v>-657.95064999999977</v>
      </c>
      <c r="E108" s="4">
        <f t="shared" si="42"/>
        <v>855.87665519999996</v>
      </c>
      <c r="F108" s="4">
        <f t="shared" si="42"/>
        <v>76.280887200000009</v>
      </c>
      <c r="G108" s="4">
        <f t="shared" si="42"/>
        <v>-34.230081199999987</v>
      </c>
      <c r="H108" s="4">
        <f t="shared" si="42"/>
        <v>137.4465932</v>
      </c>
      <c r="I108" s="4">
        <f t="shared" si="42"/>
        <v>348.66459319999996</v>
      </c>
      <c r="J108" s="4">
        <f t="shared" si="42"/>
        <v>0</v>
      </c>
      <c r="K108" s="4">
        <f t="shared" si="42"/>
        <v>-10.656310000000001</v>
      </c>
      <c r="L108" s="4">
        <f t="shared" si="42"/>
        <v>0</v>
      </c>
      <c r="M108" s="4">
        <f t="shared" si="42"/>
        <v>-893.39173559999995</v>
      </c>
      <c r="N108" s="4">
        <f t="shared" si="42"/>
        <v>-8.8395719999999987</v>
      </c>
      <c r="O108" s="4">
        <f t="shared" si="42"/>
        <v>-571.82831999999996</v>
      </c>
      <c r="P108" s="4">
        <f t="shared" si="42"/>
        <v>-48.271932799999988</v>
      </c>
      <c r="Q108" s="4">
        <f t="shared" si="42"/>
        <v>0</v>
      </c>
      <c r="R108" s="4">
        <f>SUM(B108:Q108)</f>
        <v>-5168.4399759999997</v>
      </c>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c r="EI108" s="4"/>
      <c r="EJ108" s="4"/>
      <c r="EK108" s="4"/>
      <c r="EL108" s="4"/>
      <c r="EM108" s="4"/>
      <c r="EN108" s="4"/>
      <c r="EO108" s="4"/>
      <c r="EP108" s="4"/>
      <c r="EQ108" s="4"/>
      <c r="ER108" s="4"/>
      <c r="ES108" s="4"/>
      <c r="ET108" s="4"/>
      <c r="EU108" s="4"/>
      <c r="EV108" s="4"/>
      <c r="EW108" s="4"/>
      <c r="EX108" s="4"/>
      <c r="EY108" s="4"/>
      <c r="EZ108" s="4"/>
      <c r="FA108" s="4"/>
      <c r="FB108" s="4"/>
      <c r="FC108" s="4"/>
      <c r="FD108" s="4"/>
      <c r="FE108" s="4"/>
      <c r="FF108" s="4"/>
      <c r="FG108" s="4"/>
      <c r="FH108" s="4"/>
      <c r="FI108" s="4"/>
      <c r="FJ108" s="4"/>
      <c r="FK108" s="4"/>
      <c r="FL108" s="4"/>
      <c r="FM108" s="4"/>
      <c r="FN108" s="4"/>
      <c r="FO108" s="4"/>
      <c r="FP108" s="4"/>
      <c r="FQ108" s="4"/>
      <c r="FR108" s="4"/>
      <c r="FS108" s="4"/>
      <c r="FT108" s="4"/>
      <c r="FU108" s="4"/>
      <c r="FV108" s="4"/>
      <c r="FW108" s="4"/>
      <c r="FX108" s="4"/>
      <c r="FY108" s="4"/>
      <c r="FZ108" s="4"/>
      <c r="GA108" s="4"/>
      <c r="GB108" s="4"/>
      <c r="GC108" s="4"/>
      <c r="GD108" s="4"/>
      <c r="GE108" s="4"/>
      <c r="GF108" s="4"/>
      <c r="GG108" s="4"/>
      <c r="GH108" s="4"/>
      <c r="GI108" s="4"/>
      <c r="GJ108" s="4"/>
      <c r="GK108" s="4"/>
      <c r="GL108" s="4"/>
      <c r="GM108" s="4"/>
      <c r="GN108" s="4"/>
      <c r="GO108" s="4"/>
      <c r="GP108" s="4"/>
      <c r="GQ108" s="4"/>
      <c r="GR108" s="4"/>
      <c r="GS108" s="4"/>
      <c r="GT108" s="4"/>
      <c r="GU108" s="4"/>
      <c r="GV108" s="4"/>
      <c r="GW108" s="4"/>
      <c r="GX108" s="4"/>
      <c r="GY108" s="4"/>
      <c r="GZ108" s="4"/>
      <c r="HA108" s="4"/>
      <c r="HB108" s="4"/>
      <c r="HC108" s="4"/>
      <c r="HD108" s="4"/>
      <c r="HE108" s="4"/>
      <c r="HF108" s="4"/>
      <c r="HG108" s="4"/>
      <c r="HH108" s="4"/>
      <c r="HI108" s="4"/>
      <c r="HJ108" s="4"/>
      <c r="HK108" s="4"/>
      <c r="HL108" s="4"/>
      <c r="HM108" s="4"/>
      <c r="HN108" s="4"/>
      <c r="HO108" s="4"/>
      <c r="HP108" s="4"/>
      <c r="HQ108" s="4"/>
      <c r="HR108" s="4"/>
      <c r="HS108" s="4"/>
      <c r="HT108" s="4"/>
      <c r="HU108" s="4"/>
      <c r="HV108" s="4"/>
      <c r="HW108" s="4"/>
      <c r="HX108" s="4"/>
      <c r="HY108" s="4"/>
      <c r="HZ108" s="4"/>
      <c r="IA108" s="4"/>
      <c r="IB108" s="4"/>
      <c r="IC108" s="4"/>
      <c r="ID108" s="4"/>
      <c r="IE108" s="4"/>
      <c r="IF108" s="4"/>
      <c r="IG108" s="4"/>
      <c r="IH108" s="4"/>
      <c r="II108" s="4"/>
      <c r="IJ108" s="4"/>
      <c r="IK108" s="4"/>
      <c r="IL108" s="4"/>
      <c r="IM108" s="4"/>
      <c r="IN108" s="4"/>
      <c r="IO108" s="4"/>
      <c r="IP108" s="4"/>
      <c r="IQ108" s="4"/>
      <c r="IR108" s="4"/>
      <c r="IS108" s="4"/>
      <c r="IT108" s="4"/>
      <c r="IU108" s="4"/>
      <c r="IV108" s="4"/>
      <c r="IW108" s="4"/>
      <c r="IX108" s="4"/>
      <c r="IY108" s="4"/>
      <c r="IZ108" s="4"/>
      <c r="JA108" s="4"/>
      <c r="JB108" s="4"/>
      <c r="JC108" s="4"/>
      <c r="JD108" s="4"/>
      <c r="JE108" s="4"/>
      <c r="JF108" s="4"/>
      <c r="JG108" s="4"/>
      <c r="JH108" s="4"/>
      <c r="JI108" s="4"/>
      <c r="JJ108" s="4"/>
      <c r="JK108" s="4"/>
      <c r="JL108" s="4"/>
      <c r="JM108" s="4"/>
      <c r="JN108" s="4"/>
      <c r="JO108" s="4"/>
      <c r="JP108" s="4"/>
      <c r="JQ108" s="4"/>
      <c r="JR108" s="4"/>
      <c r="JS108" s="4"/>
      <c r="JT108" s="4"/>
      <c r="JU108" s="4"/>
      <c r="JV108" s="4"/>
      <c r="JW108" s="4"/>
      <c r="JX108" s="4"/>
      <c r="JY108" s="4"/>
      <c r="JZ108" s="4"/>
      <c r="KA108" s="4"/>
      <c r="KB108" s="4"/>
      <c r="KC108" s="4"/>
      <c r="KD108" s="4"/>
      <c r="KE108" s="4"/>
      <c r="KF108" s="4"/>
      <c r="KG108" s="4"/>
      <c r="KH108" s="4"/>
      <c r="KI108" s="4"/>
      <c r="KJ108" s="4"/>
      <c r="KK108" s="4"/>
      <c r="KL108" s="4"/>
      <c r="KM108" s="4"/>
      <c r="KN108" s="4"/>
      <c r="KO108" s="4"/>
      <c r="KP108" s="4"/>
      <c r="KQ108" s="4"/>
      <c r="KR108" s="4"/>
      <c r="KS108" s="4"/>
      <c r="KT108" s="4"/>
      <c r="KU108" s="4"/>
      <c r="KV108" s="4"/>
      <c r="KW108" s="4"/>
      <c r="KX108" s="4"/>
      <c r="KY108" s="4"/>
      <c r="KZ108" s="4"/>
      <c r="LA108" s="4"/>
      <c r="LB108" s="4"/>
      <c r="LC108" s="4"/>
      <c r="LD108" s="4"/>
      <c r="LE108" s="4"/>
      <c r="LF108" s="4"/>
      <c r="LG108" s="4"/>
      <c r="LH108" s="4"/>
      <c r="LI108" s="4"/>
      <c r="LJ108" s="4"/>
      <c r="LK108" s="4"/>
      <c r="LL108" s="4"/>
      <c r="LM108" s="4"/>
      <c r="LN108" s="4"/>
      <c r="LO108" s="4"/>
      <c r="LP108" s="4"/>
      <c r="LQ108" s="4"/>
      <c r="LR108" s="4"/>
      <c r="LS108" s="4"/>
      <c r="LT108" s="4"/>
      <c r="LU108" s="4"/>
      <c r="LV108" s="4"/>
      <c r="LW108" s="4"/>
      <c r="LX108" s="4"/>
      <c r="LY108" s="4"/>
      <c r="LZ108" s="4"/>
      <c r="MA108" s="4"/>
      <c r="MB108" s="4"/>
      <c r="MC108" s="4"/>
      <c r="MD108" s="4"/>
      <c r="ME108" s="4"/>
      <c r="MF108" s="4"/>
      <c r="MG108" s="4"/>
      <c r="MH108" s="4"/>
      <c r="MI108" s="4"/>
      <c r="MJ108" s="4"/>
      <c r="MK108" s="4"/>
      <c r="ML108" s="4"/>
      <c r="MM108" s="4"/>
      <c r="MN108" s="4"/>
      <c r="MO108" s="4"/>
      <c r="MP108" s="4"/>
      <c r="MQ108" s="4"/>
      <c r="MR108" s="4"/>
      <c r="MS108" s="4"/>
      <c r="MT108" s="4"/>
      <c r="MU108" s="4"/>
      <c r="MV108" s="4"/>
      <c r="MW108" s="4"/>
      <c r="MX108" s="4"/>
      <c r="MY108" s="4"/>
      <c r="MZ108" s="4"/>
      <c r="NA108" s="4"/>
      <c r="NB108" s="4"/>
      <c r="NC108" s="4"/>
      <c r="ND108" s="4"/>
      <c r="NE108" s="4"/>
      <c r="NF108" s="4"/>
      <c r="NG108" s="4"/>
      <c r="NH108" s="4"/>
      <c r="NI108" s="4"/>
      <c r="NJ108" s="4"/>
      <c r="NK108" s="4"/>
      <c r="NL108" s="4"/>
      <c r="NM108" s="4"/>
      <c r="NN108" s="4"/>
      <c r="NO108" s="4"/>
      <c r="NP108" s="4"/>
      <c r="NQ108" s="4"/>
      <c r="NR108" s="4"/>
      <c r="NS108" s="4"/>
      <c r="NT108" s="4"/>
      <c r="NU108" s="4"/>
      <c r="NV108" s="4"/>
      <c r="NW108" s="4"/>
      <c r="NX108" s="4"/>
      <c r="NY108" s="4"/>
      <c r="NZ108" s="4"/>
      <c r="OA108" s="4"/>
      <c r="OB108" s="4"/>
      <c r="OC108" s="4"/>
      <c r="OD108" s="4"/>
      <c r="OE108" s="4"/>
      <c r="OF108" s="4"/>
      <c r="OG108" s="4"/>
      <c r="OH108" s="4"/>
      <c r="OI108" s="4"/>
      <c r="OJ108" s="4"/>
      <c r="OK108" s="4"/>
      <c r="OL108" s="4"/>
      <c r="OM108" s="4"/>
      <c r="ON108" s="4"/>
      <c r="OO108" s="4"/>
      <c r="OP108" s="4"/>
      <c r="OQ108" s="4"/>
      <c r="OR108" s="4"/>
      <c r="OS108" s="4"/>
      <c r="OT108" s="4"/>
      <c r="OU108" s="4"/>
      <c r="OV108" s="4"/>
      <c r="OW108" s="4"/>
      <c r="OX108" s="4"/>
      <c r="OY108" s="4"/>
      <c r="OZ108" s="4"/>
      <c r="PA108" s="4"/>
      <c r="PB108" s="4"/>
      <c r="PC108" s="4"/>
      <c r="PD108" s="4"/>
      <c r="PE108" s="4"/>
      <c r="PF108" s="4"/>
      <c r="PG108" s="4"/>
      <c r="PH108" s="4"/>
      <c r="PI108" s="4"/>
      <c r="PJ108" s="4"/>
      <c r="PK108" s="4"/>
      <c r="PL108" s="4"/>
      <c r="PM108" s="4"/>
      <c r="PN108" s="4"/>
      <c r="PO108" s="4"/>
      <c r="PP108" s="4"/>
      <c r="PQ108" s="4"/>
      <c r="PR108" s="4"/>
      <c r="PS108" s="4"/>
      <c r="PT108" s="4"/>
      <c r="PU108" s="4"/>
      <c r="PV108" s="4"/>
      <c r="PW108" s="4"/>
      <c r="PX108" s="4"/>
      <c r="PY108" s="4"/>
      <c r="PZ108" s="4"/>
      <c r="QA108" s="4"/>
      <c r="QB108" s="4"/>
      <c r="QC108" s="4"/>
      <c r="QD108" s="4"/>
      <c r="QE108" s="4"/>
      <c r="QF108" s="4"/>
      <c r="QG108" s="4"/>
      <c r="QH108" s="4"/>
      <c r="QI108" s="4"/>
      <c r="QJ108" s="4"/>
      <c r="QK108" s="4"/>
      <c r="QL108" s="4"/>
      <c r="QM108" s="4"/>
      <c r="QN108" s="4"/>
      <c r="QO108" s="4"/>
      <c r="QP108" s="4"/>
      <c r="QQ108" s="4"/>
      <c r="QR108" s="4"/>
      <c r="QS108" s="4"/>
      <c r="QT108" s="4"/>
      <c r="QU108" s="4"/>
      <c r="QV108" s="4"/>
      <c r="QW108" s="4"/>
      <c r="QX108" s="4"/>
      <c r="QY108" s="4"/>
      <c r="QZ108" s="4"/>
      <c r="RA108" s="4"/>
      <c r="RB108" s="4"/>
      <c r="RC108" s="4"/>
      <c r="RD108" s="4"/>
      <c r="RE108" s="4"/>
      <c r="RF108" s="4"/>
      <c r="RG108" s="4"/>
      <c r="RH108" s="4"/>
      <c r="RI108" s="4"/>
      <c r="RJ108" s="4"/>
      <c r="RK108" s="4"/>
      <c r="RL108" s="4"/>
      <c r="RM108" s="4"/>
      <c r="RN108" s="4"/>
      <c r="RO108" s="4"/>
      <c r="RP108" s="4"/>
      <c r="RQ108" s="4"/>
      <c r="RR108" s="4"/>
      <c r="RS108" s="4"/>
      <c r="RT108" s="4"/>
      <c r="RU108" s="4"/>
      <c r="RV108" s="4"/>
      <c r="RW108" s="4"/>
      <c r="RX108" s="4"/>
      <c r="RY108" s="4"/>
      <c r="RZ108" s="4"/>
      <c r="SA108" s="4"/>
      <c r="SB108" s="4"/>
      <c r="SC108" s="4"/>
      <c r="SD108" s="4"/>
      <c r="SE108" s="4"/>
      <c r="SF108" s="4"/>
      <c r="SG108" s="4"/>
      <c r="SH108" s="4"/>
      <c r="SI108" s="4"/>
      <c r="SJ108" s="4"/>
      <c r="SK108" s="4"/>
      <c r="SL108" s="4"/>
      <c r="SM108" s="4"/>
      <c r="SN108" s="4"/>
      <c r="SO108" s="4"/>
      <c r="SP108" s="4"/>
      <c r="SQ108" s="4"/>
      <c r="SR108" s="4"/>
      <c r="SS108" s="4"/>
      <c r="ST108" s="4"/>
      <c r="SU108" s="4"/>
      <c r="SV108" s="4"/>
      <c r="SW108" s="4"/>
      <c r="SX108" s="4"/>
      <c r="SY108" s="4"/>
      <c r="SZ108" s="4"/>
      <c r="TA108" s="4"/>
      <c r="TB108" s="4"/>
      <c r="TC108" s="4"/>
      <c r="TD108" s="4"/>
      <c r="TE108" s="4"/>
      <c r="TF108" s="4"/>
      <c r="TG108" s="4"/>
      <c r="TH108" s="4"/>
      <c r="TI108" s="4"/>
      <c r="TJ108" s="4"/>
      <c r="TK108" s="4"/>
      <c r="TL108" s="4"/>
      <c r="TM108" s="4"/>
      <c r="TN108" s="4"/>
      <c r="TO108" s="4"/>
      <c r="TP108" s="4"/>
      <c r="TQ108" s="4"/>
      <c r="TR108" s="4"/>
      <c r="TS108" s="4"/>
      <c r="TT108" s="4"/>
      <c r="TU108" s="4"/>
      <c r="TV108" s="4"/>
      <c r="TW108" s="4"/>
      <c r="TX108" s="4"/>
      <c r="TY108" s="4"/>
      <c r="TZ108" s="4"/>
      <c r="UA108" s="4"/>
      <c r="UB108" s="4"/>
      <c r="UC108" s="4"/>
      <c r="UD108" s="4"/>
      <c r="UE108" s="4"/>
      <c r="UF108" s="4"/>
      <c r="UG108" s="4"/>
      <c r="UH108" s="4"/>
      <c r="UI108" s="4"/>
      <c r="UJ108" s="4"/>
      <c r="UK108" s="4"/>
      <c r="UL108" s="4"/>
      <c r="UM108" s="4"/>
      <c r="UN108" s="4"/>
      <c r="UO108" s="4"/>
      <c r="UP108" s="4"/>
      <c r="UQ108" s="4"/>
      <c r="UR108" s="4"/>
      <c r="US108" s="4"/>
      <c r="UT108" s="4"/>
      <c r="UU108" s="4"/>
      <c r="UV108" s="4"/>
      <c r="UW108" s="4"/>
      <c r="UX108" s="4"/>
      <c r="UY108" s="4"/>
      <c r="UZ108" s="4"/>
      <c r="VA108" s="4"/>
      <c r="VB108" s="4"/>
      <c r="VC108" s="4"/>
      <c r="VD108" s="4"/>
      <c r="VE108" s="4"/>
      <c r="VF108" s="4"/>
      <c r="VG108" s="4"/>
      <c r="VH108" s="4"/>
      <c r="VI108" s="4"/>
      <c r="VJ108" s="4"/>
      <c r="VK108" s="4"/>
      <c r="VL108" s="4"/>
      <c r="VM108" s="4"/>
      <c r="VN108" s="4"/>
      <c r="VO108" s="4"/>
      <c r="VP108" s="4"/>
      <c r="VQ108" s="4"/>
      <c r="VR108" s="4"/>
      <c r="VS108" s="4"/>
      <c r="VT108" s="4"/>
      <c r="VU108" s="4"/>
      <c r="VV108" s="4"/>
      <c r="VW108" s="4"/>
      <c r="VX108" s="4"/>
      <c r="VY108" s="4"/>
      <c r="VZ108" s="4"/>
      <c r="WA108" s="4"/>
      <c r="WB108" s="4"/>
      <c r="WC108" s="4"/>
      <c r="WD108" s="4"/>
      <c r="WE108" s="4"/>
      <c r="WF108" s="4"/>
      <c r="WG108" s="4"/>
      <c r="WH108" s="4"/>
      <c r="WI108" s="4"/>
      <c r="WJ108" s="4"/>
      <c r="WK108" s="4"/>
      <c r="WL108" s="4"/>
      <c r="WM108" s="4"/>
      <c r="WN108" s="4"/>
      <c r="WO108" s="4"/>
      <c r="WP108" s="4"/>
      <c r="WQ108" s="4"/>
      <c r="WR108" s="4"/>
      <c r="WS108" s="4"/>
      <c r="WT108" s="4"/>
      <c r="WU108" s="4"/>
      <c r="WV108" s="4"/>
      <c r="WW108" s="4"/>
      <c r="WX108" s="4"/>
      <c r="WY108" s="4"/>
      <c r="WZ108" s="4"/>
      <c r="XA108" s="4"/>
      <c r="XB108" s="4"/>
      <c r="XC108" s="4"/>
      <c r="XD108" s="4"/>
      <c r="XE108" s="4"/>
      <c r="XF108" s="4"/>
      <c r="XG108" s="4"/>
      <c r="XH108" s="4"/>
      <c r="XI108" s="4"/>
      <c r="XJ108" s="4"/>
      <c r="XK108" s="4"/>
      <c r="XL108" s="4"/>
      <c r="XM108" s="4"/>
      <c r="XN108" s="4"/>
      <c r="XO108" s="4"/>
      <c r="XP108" s="4"/>
      <c r="XQ108" s="4"/>
      <c r="XR108" s="4"/>
      <c r="XS108" s="4"/>
      <c r="XT108" s="4"/>
      <c r="XU108" s="4"/>
      <c r="XV108" s="4"/>
      <c r="XW108" s="4"/>
      <c r="XX108" s="4"/>
      <c r="XY108" s="4"/>
      <c r="XZ108" s="4"/>
      <c r="YA108" s="4"/>
      <c r="YB108" s="4"/>
      <c r="YC108" s="4"/>
      <c r="YD108" s="4"/>
      <c r="YE108" s="4"/>
      <c r="YF108" s="4"/>
      <c r="YG108" s="4"/>
      <c r="YH108" s="4"/>
      <c r="YI108" s="4"/>
      <c r="YJ108" s="4"/>
      <c r="YK108" s="4"/>
      <c r="YL108" s="4"/>
      <c r="YM108" s="4"/>
      <c r="YN108" s="4"/>
      <c r="YO108" s="4"/>
      <c r="YP108" s="4"/>
      <c r="YQ108" s="4"/>
      <c r="YR108" s="4"/>
      <c r="YS108" s="4"/>
      <c r="YT108" s="4"/>
      <c r="YU108" s="4"/>
      <c r="YV108" s="4"/>
      <c r="YW108" s="4"/>
      <c r="YX108" s="4"/>
      <c r="YY108" s="4"/>
      <c r="YZ108" s="4"/>
      <c r="ZA108" s="4"/>
      <c r="ZB108" s="4"/>
      <c r="ZC108" s="4"/>
      <c r="ZD108" s="4"/>
      <c r="ZE108" s="4"/>
      <c r="ZF108" s="4"/>
      <c r="ZG108" s="4"/>
      <c r="ZH108" s="4"/>
      <c r="ZI108" s="4"/>
      <c r="ZJ108" s="4"/>
      <c r="ZK108" s="4"/>
      <c r="ZL108" s="4"/>
      <c r="ZM108" s="4"/>
      <c r="ZN108" s="4"/>
      <c r="ZO108" s="4"/>
      <c r="ZP108" s="4"/>
      <c r="ZQ108" s="4"/>
      <c r="ZR108" s="4"/>
      <c r="ZS108" s="4"/>
      <c r="ZT108" s="4"/>
      <c r="ZU108" s="4"/>
      <c r="ZV108" s="4"/>
      <c r="ZW108" s="4"/>
      <c r="ZX108" s="4"/>
      <c r="ZY108" s="4"/>
      <c r="ZZ108" s="4"/>
      <c r="AAA108" s="4"/>
      <c r="AAB108" s="4"/>
      <c r="AAC108" s="4"/>
      <c r="AAD108" s="4"/>
      <c r="AAE108" s="4"/>
      <c r="AAF108" s="4"/>
      <c r="AAG108" s="4"/>
      <c r="AAH108" s="4"/>
      <c r="AAI108" s="4"/>
      <c r="AAJ108" s="4"/>
      <c r="AAK108" s="4"/>
      <c r="AAL108" s="4"/>
      <c r="AAM108" s="4"/>
      <c r="AAN108" s="4"/>
      <c r="AAO108" s="4"/>
      <c r="AAP108" s="4"/>
      <c r="AAQ108" s="4"/>
      <c r="AAR108" s="4"/>
      <c r="AAS108" s="4"/>
      <c r="AAT108" s="4"/>
      <c r="AAU108" s="4"/>
      <c r="AAV108" s="4"/>
      <c r="AAW108" s="4"/>
      <c r="AAX108" s="4"/>
      <c r="AAY108" s="4"/>
      <c r="AAZ108" s="4"/>
      <c r="ABA108" s="4"/>
      <c r="ABB108" s="4"/>
      <c r="ABC108" s="4"/>
      <c r="ABD108" s="4"/>
      <c r="ABE108" s="4"/>
      <c r="ABF108" s="4"/>
      <c r="ABG108" s="4"/>
      <c r="ABH108" s="4"/>
      <c r="ABI108" s="4"/>
      <c r="ABJ108" s="4"/>
      <c r="ABK108" s="4"/>
      <c r="ABL108" s="4"/>
      <c r="ABM108" s="4"/>
      <c r="ABN108" s="4"/>
      <c r="ABO108" s="4"/>
      <c r="ABP108" s="4"/>
      <c r="ABQ108" s="4"/>
      <c r="ABR108" s="4"/>
      <c r="ABS108" s="4"/>
      <c r="ABT108" s="4"/>
      <c r="ABU108" s="4"/>
      <c r="ABV108" s="4"/>
      <c r="ABW108" s="4"/>
      <c r="ABX108" s="4"/>
      <c r="ABY108" s="4"/>
      <c r="ABZ108" s="4"/>
      <c r="ACA108" s="4"/>
      <c r="ACB108" s="4"/>
      <c r="ACC108" s="4"/>
      <c r="ACD108" s="4"/>
      <c r="ACE108" s="4"/>
      <c r="ACF108" s="4"/>
      <c r="ACG108" s="4"/>
      <c r="ACH108" s="4"/>
      <c r="ACI108" s="4"/>
      <c r="ACJ108" s="4"/>
      <c r="ACK108" s="4"/>
      <c r="ACL108" s="4"/>
      <c r="ACM108" s="4"/>
      <c r="ACN108" s="4"/>
      <c r="ACO108" s="4"/>
      <c r="ACP108" s="4"/>
      <c r="ACQ108" s="4"/>
      <c r="ACR108" s="4"/>
      <c r="ACS108" s="4"/>
      <c r="ACT108" s="4"/>
      <c r="ACU108" s="4"/>
      <c r="ACV108" s="4"/>
      <c r="ACW108" s="4"/>
      <c r="ACX108" s="4"/>
      <c r="ACY108" s="4"/>
      <c r="ACZ108" s="4"/>
      <c r="ADA108" s="4"/>
      <c r="ADB108" s="4"/>
      <c r="ADC108" s="4"/>
      <c r="ADD108" s="4"/>
      <c r="ADE108" s="4"/>
      <c r="ADF108" s="4"/>
      <c r="ADG108" s="4"/>
      <c r="ADH108" s="4"/>
      <c r="ADI108" s="4"/>
      <c r="ADJ108" s="4"/>
      <c r="ADK108" s="4"/>
      <c r="ADL108" s="4"/>
      <c r="ADM108" s="4"/>
      <c r="ADN108" s="4"/>
      <c r="ADO108" s="4"/>
      <c r="ADP108" s="4"/>
      <c r="ADQ108" s="4"/>
      <c r="ADR108" s="4"/>
      <c r="ADS108" s="4"/>
      <c r="ADT108" s="4"/>
      <c r="ADU108" s="4"/>
      <c r="ADV108" s="4"/>
      <c r="ADW108" s="4"/>
      <c r="ADX108" s="4"/>
      <c r="ADY108" s="4"/>
      <c r="ADZ108" s="4"/>
      <c r="AEA108" s="4"/>
      <c r="AEB108" s="4"/>
      <c r="AEC108" s="4"/>
      <c r="AED108" s="4"/>
      <c r="AEE108" s="4"/>
      <c r="AEF108" s="4"/>
      <c r="AEG108" s="4"/>
      <c r="AEH108" s="4"/>
      <c r="AEI108" s="4"/>
      <c r="AEJ108" s="4"/>
      <c r="AEK108" s="4"/>
      <c r="AEL108" s="4"/>
      <c r="AEM108" s="4"/>
      <c r="AEN108" s="4"/>
      <c r="AEO108" s="4"/>
      <c r="AEP108" s="4"/>
      <c r="AEQ108" s="4"/>
      <c r="AER108" s="4"/>
      <c r="AES108" s="4"/>
      <c r="AET108" s="4"/>
      <c r="AEU108" s="4"/>
      <c r="AEV108" s="4"/>
      <c r="AEW108" s="4"/>
      <c r="AEX108" s="4"/>
      <c r="AEY108" s="4"/>
      <c r="AEZ108" s="4"/>
      <c r="AFA108" s="4"/>
      <c r="AFB108" s="4"/>
      <c r="AFC108" s="4"/>
      <c r="AFD108" s="4"/>
      <c r="AFE108" s="4"/>
      <c r="AFF108" s="4"/>
      <c r="AFG108" s="4"/>
      <c r="AFH108" s="4"/>
      <c r="AFI108" s="4"/>
      <c r="AFJ108" s="4"/>
      <c r="AFK108" s="4"/>
      <c r="AFL108" s="4"/>
      <c r="AFM108" s="4"/>
      <c r="AFN108" s="4"/>
      <c r="AFO108" s="4"/>
      <c r="AFP108" s="4"/>
      <c r="AFQ108" s="4"/>
      <c r="AFR108" s="4"/>
      <c r="AFS108" s="4"/>
      <c r="AFT108" s="4"/>
      <c r="AFU108" s="4"/>
      <c r="AFV108" s="4"/>
      <c r="AFW108" s="4"/>
      <c r="AFX108" s="4"/>
      <c r="AFY108" s="4"/>
      <c r="AFZ108" s="4"/>
      <c r="AGA108" s="4"/>
      <c r="AGB108" s="4"/>
      <c r="AGC108" s="4"/>
      <c r="AGD108" s="4"/>
      <c r="AGE108" s="4"/>
      <c r="AGF108" s="4"/>
      <c r="AGG108" s="4"/>
      <c r="AGH108" s="4"/>
      <c r="AGI108" s="4"/>
      <c r="AGJ108" s="4"/>
      <c r="AGK108" s="4"/>
      <c r="AGL108" s="4"/>
      <c r="AGM108" s="4"/>
      <c r="AGN108" s="4"/>
      <c r="AGO108" s="4"/>
      <c r="AGP108" s="4"/>
      <c r="AGQ108" s="4"/>
      <c r="AGR108" s="4"/>
      <c r="AGS108" s="4"/>
      <c r="AGT108" s="4"/>
      <c r="AGU108" s="4"/>
      <c r="AGV108" s="4"/>
      <c r="AGW108" s="4"/>
      <c r="AGX108" s="4"/>
      <c r="AGY108" s="4"/>
      <c r="AGZ108" s="4"/>
      <c r="AHA108" s="4"/>
      <c r="AHB108" s="4"/>
      <c r="AHC108" s="4"/>
      <c r="AHD108" s="4"/>
      <c r="AHE108" s="4"/>
      <c r="AHF108" s="4"/>
      <c r="AHG108" s="4"/>
      <c r="AHH108" s="4"/>
      <c r="AHI108" s="4"/>
      <c r="AHJ108" s="4"/>
      <c r="AHK108" s="4"/>
      <c r="AHL108" s="4"/>
      <c r="AHM108" s="4"/>
      <c r="AHN108" s="4"/>
      <c r="AHO108" s="4"/>
      <c r="AHP108" s="4"/>
      <c r="AHQ108" s="4"/>
      <c r="AHR108" s="4"/>
      <c r="AHS108" s="4"/>
      <c r="AHT108" s="4"/>
      <c r="AHU108" s="4"/>
      <c r="AHV108" s="4"/>
      <c r="AHW108" s="4"/>
      <c r="AHX108" s="4"/>
      <c r="AHY108" s="4"/>
      <c r="AHZ108" s="4"/>
      <c r="AIA108" s="4"/>
      <c r="AIB108" s="4"/>
      <c r="AIC108" s="4"/>
      <c r="AID108" s="4"/>
      <c r="AIE108" s="4"/>
      <c r="AIF108" s="4"/>
      <c r="AIG108" s="4"/>
      <c r="AIH108" s="4"/>
      <c r="AII108" s="4"/>
      <c r="AIJ108" s="4"/>
      <c r="AIK108" s="4"/>
      <c r="AIL108" s="4"/>
      <c r="AIM108" s="4"/>
      <c r="AIN108" s="4"/>
      <c r="AIO108" s="4"/>
      <c r="AIP108" s="4"/>
      <c r="AIQ108" s="4"/>
      <c r="AIR108" s="4"/>
      <c r="AIS108" s="4"/>
      <c r="AIT108" s="4"/>
      <c r="AIU108" s="4"/>
      <c r="AIV108" s="4"/>
      <c r="AIW108" s="4"/>
      <c r="AIX108" s="4"/>
      <c r="AIY108" s="4"/>
      <c r="AIZ108" s="4"/>
      <c r="AJA108" s="4"/>
      <c r="AJB108" s="4"/>
      <c r="AJC108" s="4"/>
      <c r="AJD108" s="4"/>
      <c r="AJE108" s="4"/>
      <c r="AJF108" s="4"/>
      <c r="AJG108" s="4"/>
      <c r="AJH108" s="4"/>
      <c r="AJI108" s="4"/>
      <c r="AJJ108" s="4"/>
      <c r="AJK108" s="4"/>
      <c r="AJL108" s="4"/>
      <c r="AJM108" s="4"/>
      <c r="AJN108" s="4"/>
      <c r="AJO108" s="4"/>
      <c r="AJP108" s="4"/>
      <c r="AJQ108" s="4"/>
      <c r="AJR108" s="4"/>
      <c r="AJS108" s="4"/>
      <c r="AJT108" s="4"/>
      <c r="AJU108" s="4"/>
      <c r="AJV108" s="4"/>
      <c r="AJW108" s="4"/>
      <c r="AJX108" s="4"/>
      <c r="AJY108" s="4"/>
      <c r="AJZ108" s="4"/>
      <c r="AKA108" s="4"/>
      <c r="AKB108" s="4"/>
      <c r="AKC108" s="4"/>
      <c r="AKD108" s="4"/>
      <c r="AKE108" s="4"/>
      <c r="AKF108" s="4"/>
      <c r="AKG108" s="4"/>
      <c r="AKH108" s="4"/>
      <c r="AKI108" s="4"/>
      <c r="AKJ108" s="4"/>
      <c r="AKK108" s="4"/>
      <c r="AKL108" s="4"/>
      <c r="AKM108" s="4"/>
      <c r="AKN108" s="4"/>
      <c r="AKO108" s="4"/>
      <c r="AKP108" s="4"/>
      <c r="AKQ108" s="4"/>
      <c r="AKR108" s="4"/>
      <c r="AKS108" s="4"/>
      <c r="AKT108" s="4"/>
      <c r="AKU108" s="4"/>
      <c r="AKV108" s="4"/>
      <c r="AKW108" s="4"/>
      <c r="AKX108" s="4"/>
      <c r="AKY108" s="4"/>
      <c r="AKZ108" s="4"/>
      <c r="ALA108" s="4"/>
      <c r="ALB108" s="4"/>
      <c r="ALC108" s="4"/>
      <c r="ALD108" s="4"/>
      <c r="ALE108" s="4"/>
      <c r="ALF108" s="4"/>
      <c r="ALG108" s="4"/>
      <c r="ALH108" s="4"/>
      <c r="ALI108" s="4"/>
      <c r="ALJ108" s="4"/>
      <c r="ALK108" s="4"/>
      <c r="ALL108" s="4"/>
      <c r="ALM108" s="4"/>
      <c r="ALN108" s="4"/>
      <c r="ALO108" s="4"/>
      <c r="ALP108" s="4"/>
      <c r="ALQ108" s="4"/>
      <c r="ALR108" s="4"/>
      <c r="ALS108" s="4"/>
      <c r="ALT108" s="4"/>
      <c r="ALU108" s="4"/>
      <c r="ALV108" s="4"/>
      <c r="ALW108" s="4"/>
      <c r="ALX108" s="4"/>
      <c r="ALY108" s="4"/>
      <c r="ALZ108" s="4"/>
      <c r="AMA108" s="4"/>
      <c r="AMB108" s="4"/>
      <c r="AMC108" s="4"/>
      <c r="AMD108" s="4"/>
      <c r="AME108" s="4"/>
      <c r="AMF108" s="4"/>
      <c r="AMG108" s="4"/>
      <c r="AMH108" s="4"/>
      <c r="AMI108" s="4"/>
      <c r="AMJ108" s="4"/>
      <c r="AMK108" s="4"/>
      <c r="AML108" s="4"/>
      <c r="AMM108" s="4"/>
      <c r="AMN108" s="4"/>
      <c r="AMO108" s="4"/>
      <c r="AMP108" s="4"/>
      <c r="AMQ108" s="4"/>
      <c r="AMR108" s="4"/>
      <c r="AMS108" s="4"/>
      <c r="AMT108" s="4"/>
      <c r="AMU108" s="4"/>
      <c r="AMV108" s="4"/>
      <c r="AMW108" s="4"/>
      <c r="AMX108" s="4"/>
      <c r="AMY108" s="4"/>
      <c r="AMZ108" s="4"/>
      <c r="ANA108" s="4"/>
      <c r="ANB108" s="4"/>
      <c r="ANC108" s="4"/>
      <c r="AND108" s="4"/>
      <c r="ANE108" s="4"/>
      <c r="ANF108" s="4"/>
      <c r="ANG108" s="4"/>
      <c r="ANH108" s="4"/>
      <c r="ANI108" s="4"/>
      <c r="ANJ108" s="4"/>
      <c r="ANK108" s="4"/>
      <c r="ANL108" s="4"/>
      <c r="ANM108" s="4"/>
      <c r="ANN108" s="4"/>
      <c r="ANO108" s="4"/>
      <c r="ANP108" s="4"/>
      <c r="ANQ108" s="4"/>
      <c r="ANR108" s="4"/>
      <c r="ANS108" s="4"/>
      <c r="ANT108" s="4"/>
      <c r="ANU108" s="4"/>
      <c r="ANV108" s="4"/>
      <c r="ANW108" s="4"/>
      <c r="ANX108" s="4"/>
      <c r="ANY108" s="4"/>
      <c r="ANZ108" s="4"/>
      <c r="AOA108" s="4"/>
      <c r="AOB108" s="4"/>
      <c r="AOC108" s="4"/>
      <c r="AOD108" s="4"/>
      <c r="AOE108" s="4"/>
      <c r="AOF108" s="4"/>
      <c r="AOG108" s="4"/>
      <c r="AOH108" s="4"/>
      <c r="AOI108" s="4"/>
      <c r="AOJ108" s="4"/>
      <c r="AOK108" s="4"/>
      <c r="AOL108" s="4"/>
      <c r="AOM108" s="4"/>
      <c r="AON108" s="4"/>
      <c r="AOO108" s="4"/>
      <c r="AOP108" s="4"/>
      <c r="AOQ108" s="4"/>
      <c r="AOR108" s="4"/>
      <c r="AOS108" s="4"/>
      <c r="AOT108" s="4"/>
      <c r="AOU108" s="4"/>
      <c r="AOV108" s="4"/>
      <c r="AOW108" s="4"/>
      <c r="AOX108" s="4"/>
      <c r="AOY108" s="4"/>
      <c r="AOZ108" s="4"/>
      <c r="APA108" s="4"/>
      <c r="APB108" s="4"/>
      <c r="APC108" s="4"/>
      <c r="APD108" s="4"/>
      <c r="APE108" s="4"/>
      <c r="APF108" s="4"/>
      <c r="APG108" s="4"/>
      <c r="APH108" s="4"/>
      <c r="API108" s="4"/>
      <c r="APJ108" s="4"/>
      <c r="APK108" s="4"/>
      <c r="APL108" s="4"/>
      <c r="APM108" s="4"/>
      <c r="APN108" s="4"/>
      <c r="APO108" s="4"/>
      <c r="APP108" s="4"/>
      <c r="APQ108" s="4"/>
      <c r="APR108" s="4"/>
      <c r="APS108" s="4"/>
      <c r="APT108" s="4"/>
      <c r="APU108" s="4"/>
      <c r="APV108" s="4"/>
      <c r="APW108" s="4"/>
      <c r="APX108" s="4"/>
      <c r="APY108" s="4"/>
      <c r="APZ108" s="4"/>
      <c r="AQA108" s="4"/>
      <c r="AQB108" s="4"/>
      <c r="AQC108" s="4"/>
      <c r="AQD108" s="4"/>
      <c r="AQE108" s="4"/>
      <c r="AQF108" s="4"/>
      <c r="AQG108" s="4"/>
      <c r="AQH108" s="4"/>
      <c r="AQI108" s="4"/>
      <c r="AQJ108" s="4"/>
      <c r="AQK108" s="4"/>
      <c r="AQL108" s="4"/>
      <c r="AQM108" s="4"/>
      <c r="AQN108" s="4"/>
      <c r="AQO108" s="4"/>
      <c r="AQP108" s="4"/>
      <c r="AQQ108" s="4"/>
      <c r="AQR108" s="4"/>
      <c r="AQS108" s="4"/>
      <c r="AQT108" s="4"/>
      <c r="AQU108" s="4"/>
      <c r="AQV108" s="4"/>
      <c r="AQW108" s="4"/>
      <c r="AQX108" s="4"/>
      <c r="AQY108" s="4"/>
      <c r="AQZ108" s="4"/>
      <c r="ARA108" s="4"/>
      <c r="ARB108" s="4"/>
      <c r="ARC108" s="4"/>
      <c r="ARD108" s="4"/>
      <c r="ARE108" s="4"/>
      <c r="ARF108" s="4"/>
      <c r="ARG108" s="4"/>
      <c r="ARH108" s="4"/>
      <c r="ARI108" s="4"/>
      <c r="ARJ108" s="4"/>
      <c r="ARK108" s="4"/>
      <c r="ARL108" s="4"/>
      <c r="ARM108" s="4"/>
      <c r="ARN108" s="4"/>
      <c r="ARO108" s="4"/>
      <c r="ARP108" s="4"/>
      <c r="ARQ108" s="4"/>
      <c r="ARR108" s="4"/>
      <c r="ARS108" s="4"/>
      <c r="ART108" s="4"/>
      <c r="ARU108" s="4"/>
      <c r="ARV108" s="4"/>
      <c r="ARW108" s="4"/>
      <c r="ARX108" s="4"/>
      <c r="ARY108" s="4"/>
      <c r="ARZ108" s="4"/>
      <c r="ASA108" s="4"/>
      <c r="ASB108" s="4"/>
      <c r="ASC108" s="4"/>
      <c r="ASD108" s="4"/>
      <c r="ASE108" s="4"/>
      <c r="ASF108" s="4"/>
      <c r="ASG108" s="4"/>
      <c r="ASH108" s="4"/>
      <c r="ASI108" s="4"/>
      <c r="ASJ108" s="4"/>
      <c r="ASK108" s="4"/>
      <c r="ASL108" s="4"/>
      <c r="ASM108" s="4"/>
      <c r="ASN108" s="4"/>
      <c r="ASO108" s="4"/>
      <c r="ASP108" s="4"/>
      <c r="ASQ108" s="4"/>
      <c r="ASR108" s="4"/>
      <c r="ASS108" s="4"/>
      <c r="AST108" s="4"/>
      <c r="ASU108" s="4"/>
      <c r="ASV108" s="4"/>
      <c r="ASW108" s="4"/>
      <c r="ASX108" s="4"/>
      <c r="ASY108" s="4"/>
      <c r="ASZ108" s="4"/>
      <c r="ATA108" s="4"/>
      <c r="ATB108" s="4"/>
      <c r="ATC108" s="4"/>
      <c r="ATD108" s="4"/>
      <c r="ATE108" s="4"/>
      <c r="ATF108" s="4"/>
      <c r="ATG108" s="4"/>
      <c r="ATH108" s="4"/>
      <c r="ATI108" s="4"/>
      <c r="ATJ108" s="4"/>
      <c r="ATK108" s="4"/>
      <c r="ATL108" s="4"/>
      <c r="ATM108" s="4"/>
      <c r="ATN108" s="4"/>
      <c r="ATO108" s="4"/>
      <c r="ATP108" s="4"/>
      <c r="ATQ108" s="4"/>
      <c r="ATR108" s="4"/>
      <c r="ATS108" s="4"/>
      <c r="ATT108" s="4"/>
      <c r="ATU108" s="4"/>
      <c r="ATV108" s="4"/>
      <c r="ATW108" s="4"/>
      <c r="ATX108" s="4"/>
      <c r="ATY108" s="4"/>
      <c r="ATZ108" s="4"/>
      <c r="AUA108" s="4"/>
      <c r="AUB108" s="4"/>
      <c r="AUC108" s="4"/>
      <c r="AUD108" s="4"/>
      <c r="AUE108" s="4"/>
      <c r="AUF108" s="4"/>
      <c r="AUG108" s="4"/>
      <c r="AUH108" s="4"/>
      <c r="AUI108" s="4"/>
      <c r="AUJ108" s="4"/>
      <c r="AUK108" s="4"/>
      <c r="AUL108" s="4"/>
      <c r="AUM108" s="4"/>
      <c r="AUN108" s="4"/>
      <c r="AUO108" s="4"/>
      <c r="AUP108" s="4"/>
      <c r="AUQ108" s="4"/>
      <c r="AUR108" s="4"/>
      <c r="AUS108" s="4"/>
      <c r="AUT108" s="4"/>
      <c r="AUU108" s="4"/>
      <c r="AUV108" s="4"/>
      <c r="AUW108" s="4"/>
      <c r="AUX108" s="4"/>
      <c r="AUY108" s="4"/>
      <c r="AUZ108" s="4"/>
      <c r="AVA108" s="4"/>
      <c r="AVB108" s="4"/>
      <c r="AVC108" s="4"/>
      <c r="AVD108" s="4"/>
      <c r="AVE108" s="4"/>
      <c r="AVF108" s="4"/>
      <c r="AVG108" s="4"/>
      <c r="AVH108" s="4"/>
      <c r="AVI108" s="4"/>
      <c r="AVJ108" s="4"/>
      <c r="AVK108" s="4"/>
      <c r="AVL108" s="4"/>
      <c r="AVM108" s="4"/>
      <c r="AVN108" s="4"/>
      <c r="AVO108" s="4"/>
      <c r="AVP108" s="4"/>
      <c r="AVQ108" s="4"/>
      <c r="AVR108" s="4"/>
      <c r="AVS108" s="4"/>
      <c r="AVT108" s="4"/>
      <c r="AVU108" s="4"/>
      <c r="AVV108" s="4"/>
      <c r="AVW108" s="4"/>
      <c r="AVX108" s="4"/>
      <c r="AVY108" s="4"/>
      <c r="AVZ108" s="4"/>
      <c r="AWA108" s="4"/>
      <c r="AWB108" s="4"/>
      <c r="AWC108" s="4"/>
      <c r="AWD108" s="4"/>
      <c r="AWE108" s="4"/>
      <c r="AWF108" s="4"/>
      <c r="AWG108" s="4"/>
      <c r="AWH108" s="4"/>
      <c r="AWI108" s="4"/>
      <c r="AWJ108" s="4"/>
      <c r="AWK108" s="4"/>
      <c r="AWL108" s="4"/>
      <c r="AWM108" s="4"/>
      <c r="AWN108" s="4"/>
      <c r="AWO108" s="4"/>
      <c r="AWP108" s="4"/>
      <c r="AWQ108" s="4"/>
      <c r="AWR108" s="4"/>
      <c r="AWS108" s="4"/>
      <c r="AWT108" s="4"/>
      <c r="AWU108" s="4"/>
      <c r="AWV108" s="4"/>
      <c r="AWW108" s="4"/>
      <c r="AWX108" s="4"/>
      <c r="AWY108" s="4"/>
      <c r="AWZ108" s="4"/>
      <c r="AXA108" s="4"/>
      <c r="AXB108" s="4"/>
      <c r="AXC108" s="4"/>
      <c r="AXD108" s="4"/>
      <c r="AXE108" s="4"/>
      <c r="AXF108" s="4"/>
      <c r="AXG108" s="4"/>
      <c r="AXH108" s="4"/>
      <c r="AXI108" s="4"/>
      <c r="AXJ108" s="4"/>
      <c r="AXK108" s="4"/>
      <c r="AXL108" s="4"/>
      <c r="AXM108" s="4"/>
      <c r="AXN108" s="4"/>
      <c r="AXO108" s="4"/>
      <c r="AXP108" s="4"/>
      <c r="AXQ108" s="4"/>
      <c r="AXR108" s="4"/>
      <c r="AXS108" s="4"/>
      <c r="AXT108" s="4"/>
      <c r="AXU108" s="4"/>
      <c r="AXV108" s="4"/>
      <c r="AXW108" s="4"/>
      <c r="AXX108" s="4"/>
      <c r="AXY108" s="4"/>
      <c r="AXZ108" s="4"/>
      <c r="AYA108" s="4"/>
      <c r="AYB108" s="4"/>
      <c r="AYC108" s="4"/>
      <c r="AYD108" s="4"/>
      <c r="AYE108" s="4"/>
      <c r="AYF108" s="4"/>
      <c r="AYG108" s="4"/>
      <c r="AYH108" s="4"/>
      <c r="AYI108" s="4"/>
      <c r="AYJ108" s="4"/>
      <c r="AYK108" s="4"/>
      <c r="AYL108" s="4"/>
      <c r="AYM108" s="4"/>
      <c r="AYN108" s="4"/>
      <c r="AYO108" s="4"/>
      <c r="AYP108" s="4"/>
      <c r="AYQ108" s="4"/>
      <c r="AYR108" s="4"/>
      <c r="AYS108" s="4"/>
      <c r="AYT108" s="4"/>
      <c r="AYU108" s="4"/>
      <c r="AYV108" s="4"/>
      <c r="AYW108" s="4"/>
      <c r="AYX108" s="4"/>
      <c r="AYY108" s="4"/>
      <c r="AYZ108" s="4"/>
      <c r="AZA108" s="4"/>
      <c r="AZB108" s="4"/>
      <c r="AZC108" s="4"/>
      <c r="AZD108" s="4"/>
      <c r="AZE108" s="4"/>
      <c r="AZF108" s="4"/>
      <c r="AZG108" s="4"/>
      <c r="AZH108" s="4"/>
      <c r="AZI108" s="4"/>
      <c r="AZJ108" s="4"/>
      <c r="AZK108" s="4"/>
      <c r="AZL108" s="4"/>
      <c r="AZM108" s="4"/>
      <c r="AZN108" s="4"/>
      <c r="AZO108" s="4"/>
      <c r="AZP108" s="4"/>
      <c r="AZQ108" s="4"/>
      <c r="AZR108" s="4"/>
      <c r="AZS108" s="4"/>
      <c r="AZT108" s="4"/>
      <c r="AZU108" s="4"/>
      <c r="AZV108" s="4"/>
      <c r="AZW108" s="4"/>
      <c r="AZX108" s="4"/>
      <c r="AZY108" s="4"/>
      <c r="AZZ108" s="4"/>
      <c r="BAA108" s="4"/>
      <c r="BAB108" s="4"/>
      <c r="BAC108" s="4"/>
      <c r="BAD108" s="4"/>
      <c r="BAE108" s="4"/>
      <c r="BAF108" s="4"/>
      <c r="BAG108" s="4"/>
      <c r="BAH108" s="4"/>
      <c r="BAI108" s="4"/>
      <c r="BAJ108" s="4"/>
      <c r="BAK108" s="4"/>
      <c r="BAL108" s="4"/>
      <c r="BAM108" s="4"/>
      <c r="BAN108" s="4"/>
      <c r="BAO108" s="4"/>
      <c r="BAP108" s="4"/>
      <c r="BAQ108" s="4"/>
      <c r="BAR108" s="4"/>
      <c r="BAS108" s="4"/>
      <c r="BAT108" s="4"/>
      <c r="BAU108" s="4"/>
      <c r="BAV108" s="4"/>
      <c r="BAW108" s="4"/>
      <c r="BAX108" s="4"/>
      <c r="BAY108" s="4"/>
      <c r="BAZ108" s="4"/>
      <c r="BBA108" s="4"/>
      <c r="BBB108" s="4"/>
      <c r="BBC108" s="4"/>
      <c r="BBD108" s="4"/>
      <c r="BBE108" s="4"/>
      <c r="BBF108" s="4"/>
      <c r="BBG108" s="4"/>
      <c r="BBH108" s="4"/>
      <c r="BBI108" s="4"/>
      <c r="BBJ108" s="4"/>
      <c r="BBK108" s="4"/>
      <c r="BBL108" s="4"/>
      <c r="BBM108" s="4"/>
      <c r="BBN108" s="4"/>
      <c r="BBO108" s="4"/>
      <c r="BBP108" s="4"/>
      <c r="BBQ108" s="4"/>
      <c r="BBR108" s="4"/>
      <c r="BBS108" s="4"/>
      <c r="BBT108" s="4"/>
      <c r="BBU108" s="4"/>
      <c r="BBV108" s="4"/>
      <c r="BBW108" s="4"/>
      <c r="BBX108" s="4"/>
      <c r="BBY108" s="4"/>
      <c r="BBZ108" s="4"/>
      <c r="BCA108" s="4"/>
      <c r="BCB108" s="4"/>
      <c r="BCC108" s="4"/>
      <c r="BCD108" s="4"/>
      <c r="BCE108" s="4"/>
      <c r="BCF108" s="4"/>
      <c r="BCG108" s="4"/>
      <c r="BCH108" s="4"/>
      <c r="BCI108" s="4"/>
      <c r="BCJ108" s="4"/>
      <c r="BCK108" s="4"/>
      <c r="BCL108" s="4"/>
      <c r="BCM108" s="4"/>
      <c r="BCN108" s="4"/>
      <c r="BCO108" s="4"/>
      <c r="BCP108" s="4"/>
      <c r="BCQ108" s="4"/>
      <c r="BCR108" s="4"/>
      <c r="BCS108" s="4"/>
      <c r="BCT108" s="4"/>
      <c r="BCU108" s="4"/>
      <c r="BCV108" s="4"/>
      <c r="BCW108" s="4"/>
      <c r="BCX108" s="4"/>
      <c r="BCY108" s="4"/>
      <c r="BCZ108" s="4"/>
      <c r="BDA108" s="4"/>
      <c r="BDB108" s="4"/>
      <c r="BDC108" s="4"/>
      <c r="BDD108" s="4"/>
      <c r="BDE108" s="4"/>
      <c r="BDF108" s="4"/>
      <c r="BDG108" s="4"/>
      <c r="BDH108" s="4"/>
      <c r="BDI108" s="4"/>
      <c r="BDJ108" s="4"/>
      <c r="BDK108" s="4"/>
      <c r="BDL108" s="4"/>
      <c r="BDM108" s="4"/>
      <c r="BDN108" s="4"/>
      <c r="BDO108" s="4"/>
      <c r="BDP108" s="4"/>
      <c r="BDQ108" s="4"/>
      <c r="BDR108" s="4"/>
      <c r="BDS108" s="4"/>
      <c r="BDT108" s="4"/>
      <c r="BDU108" s="4"/>
      <c r="BDV108" s="4"/>
      <c r="BDW108" s="4"/>
      <c r="BDX108" s="4"/>
      <c r="BDY108" s="4"/>
      <c r="BDZ108" s="4"/>
      <c r="BEA108" s="4"/>
      <c r="BEB108" s="4"/>
      <c r="BEC108" s="4"/>
      <c r="BED108" s="4"/>
      <c r="BEE108" s="4"/>
      <c r="BEF108" s="4"/>
      <c r="BEG108" s="4"/>
      <c r="BEH108" s="4"/>
      <c r="BEI108" s="4"/>
      <c r="BEJ108" s="4"/>
      <c r="BEK108" s="4"/>
      <c r="BEL108" s="4"/>
      <c r="BEM108" s="4"/>
      <c r="BEN108" s="4"/>
      <c r="BEO108" s="4"/>
      <c r="BEP108" s="4"/>
      <c r="BEQ108" s="4"/>
      <c r="BER108" s="4"/>
      <c r="BES108" s="4"/>
      <c r="BET108" s="4"/>
      <c r="BEU108" s="4"/>
      <c r="BEV108" s="4"/>
      <c r="BEW108" s="4"/>
      <c r="BEX108" s="4"/>
      <c r="BEY108" s="4"/>
      <c r="BEZ108" s="4"/>
      <c r="BFA108" s="4"/>
      <c r="BFB108" s="4"/>
      <c r="BFC108" s="4"/>
      <c r="BFD108" s="4"/>
      <c r="BFE108" s="4"/>
      <c r="BFF108" s="4"/>
      <c r="BFG108" s="4"/>
      <c r="BFH108" s="4"/>
      <c r="BFI108" s="4"/>
      <c r="BFJ108" s="4"/>
      <c r="BFK108" s="4"/>
      <c r="BFL108" s="4"/>
      <c r="BFM108" s="4"/>
      <c r="BFN108" s="4"/>
      <c r="BFO108" s="4"/>
      <c r="BFP108" s="4"/>
      <c r="BFQ108" s="4"/>
      <c r="BFR108" s="4"/>
      <c r="BFS108" s="4"/>
      <c r="BFT108" s="4"/>
      <c r="BFU108" s="4"/>
      <c r="BFV108" s="4"/>
      <c r="BFW108" s="4"/>
      <c r="BFX108" s="4"/>
      <c r="BFY108" s="4"/>
      <c r="BFZ108" s="4"/>
      <c r="BGA108" s="4"/>
      <c r="BGB108" s="4"/>
      <c r="BGC108" s="4"/>
      <c r="BGD108" s="4"/>
      <c r="BGE108" s="4"/>
      <c r="BGF108" s="4"/>
      <c r="BGG108" s="4"/>
      <c r="BGH108" s="4"/>
      <c r="BGI108" s="4"/>
      <c r="BGJ108" s="4"/>
      <c r="BGK108" s="4"/>
      <c r="BGL108" s="4"/>
      <c r="BGM108" s="4"/>
      <c r="BGN108" s="4"/>
      <c r="BGO108" s="4"/>
      <c r="BGP108" s="4"/>
      <c r="BGQ108" s="4"/>
      <c r="BGR108" s="4"/>
      <c r="BGS108" s="4"/>
      <c r="BGT108" s="4"/>
      <c r="BGU108" s="4"/>
      <c r="BGV108" s="4"/>
      <c r="BGW108" s="4"/>
      <c r="BGX108" s="4"/>
      <c r="BGY108" s="4"/>
      <c r="BGZ108" s="4"/>
      <c r="BHA108" s="4"/>
      <c r="BHB108" s="4"/>
      <c r="BHC108" s="4"/>
      <c r="BHD108" s="4"/>
      <c r="BHE108" s="4"/>
      <c r="BHF108" s="4"/>
      <c r="BHG108" s="4"/>
      <c r="BHH108" s="4"/>
      <c r="BHI108" s="4"/>
      <c r="BHJ108" s="4"/>
      <c r="BHK108" s="4"/>
      <c r="BHL108" s="4"/>
      <c r="BHM108" s="4"/>
      <c r="BHN108" s="4"/>
      <c r="BHO108" s="4"/>
      <c r="BHP108" s="4"/>
      <c r="BHQ108" s="4"/>
      <c r="BHR108" s="4"/>
      <c r="BHS108" s="4"/>
      <c r="BHT108" s="4"/>
      <c r="BHU108" s="4"/>
      <c r="BHV108" s="4"/>
      <c r="BHW108" s="4"/>
      <c r="BHX108" s="4"/>
      <c r="BHY108" s="4"/>
      <c r="BHZ108" s="4"/>
      <c r="BIA108" s="4"/>
      <c r="BIB108" s="4"/>
      <c r="BIC108" s="4"/>
      <c r="BID108" s="4"/>
      <c r="BIE108" s="4"/>
      <c r="BIF108" s="4"/>
      <c r="BIG108" s="4"/>
      <c r="BIH108" s="4"/>
      <c r="BII108" s="4"/>
      <c r="BIJ108" s="4"/>
      <c r="BIK108" s="4"/>
      <c r="BIL108" s="4"/>
      <c r="BIM108" s="4"/>
      <c r="BIN108" s="4"/>
      <c r="BIO108" s="4"/>
      <c r="BIP108" s="4"/>
      <c r="BIQ108" s="4"/>
      <c r="BIR108" s="4"/>
      <c r="BIS108" s="4"/>
      <c r="BIT108" s="4"/>
      <c r="BIU108" s="4"/>
      <c r="BIV108" s="4"/>
      <c r="BIW108" s="4"/>
      <c r="BIX108" s="4"/>
      <c r="BIY108" s="4"/>
      <c r="BIZ108" s="4"/>
      <c r="BJA108" s="4"/>
      <c r="BJB108" s="4"/>
      <c r="BJC108" s="4"/>
      <c r="BJD108" s="4"/>
      <c r="BJE108" s="4"/>
      <c r="BJF108" s="4"/>
      <c r="BJG108" s="4"/>
      <c r="BJH108" s="4"/>
      <c r="BJI108" s="4"/>
      <c r="BJJ108" s="4"/>
      <c r="BJK108" s="4"/>
      <c r="BJL108" s="4"/>
      <c r="BJM108" s="4"/>
      <c r="BJN108" s="4"/>
      <c r="BJO108" s="4"/>
      <c r="BJP108" s="4"/>
      <c r="BJQ108" s="4"/>
      <c r="BJR108" s="4"/>
      <c r="BJS108" s="4"/>
      <c r="BJT108" s="4"/>
      <c r="BJU108" s="4"/>
      <c r="BJV108" s="4"/>
      <c r="BJW108" s="4"/>
      <c r="BJX108" s="4"/>
      <c r="BJY108" s="4"/>
      <c r="BJZ108" s="4"/>
      <c r="BKA108" s="4"/>
      <c r="BKB108" s="4"/>
      <c r="BKC108" s="4"/>
      <c r="BKD108" s="4"/>
      <c r="BKE108" s="4"/>
      <c r="BKF108" s="4"/>
      <c r="BKG108" s="4"/>
      <c r="BKH108" s="4"/>
      <c r="BKI108" s="4"/>
      <c r="BKJ108" s="4"/>
      <c r="BKK108" s="4"/>
      <c r="BKL108" s="4"/>
      <c r="BKM108" s="4"/>
      <c r="BKN108" s="4"/>
      <c r="BKO108" s="4"/>
      <c r="BKP108" s="4"/>
      <c r="BKQ108" s="4"/>
      <c r="BKR108" s="4"/>
      <c r="BKS108" s="4"/>
      <c r="BKT108" s="4"/>
      <c r="BKU108" s="4"/>
      <c r="BKV108" s="4"/>
      <c r="BKW108" s="4"/>
      <c r="BKX108" s="4"/>
      <c r="BKY108" s="4"/>
      <c r="BKZ108" s="4"/>
      <c r="BLA108" s="4"/>
      <c r="BLB108" s="4"/>
      <c r="BLC108" s="4"/>
      <c r="BLD108" s="4"/>
      <c r="BLE108" s="4"/>
      <c r="BLF108" s="4"/>
      <c r="BLG108" s="4"/>
      <c r="BLH108" s="4"/>
      <c r="BLI108" s="4"/>
      <c r="BLJ108" s="4"/>
      <c r="BLK108" s="4"/>
      <c r="BLL108" s="4"/>
      <c r="BLM108" s="4"/>
      <c r="BLN108" s="4"/>
      <c r="BLO108" s="4"/>
      <c r="BLP108" s="4"/>
      <c r="BLQ108" s="4"/>
      <c r="BLR108" s="4"/>
      <c r="BLS108" s="4"/>
      <c r="BLT108" s="4"/>
      <c r="BLU108" s="4"/>
      <c r="BLV108" s="4"/>
      <c r="BLW108" s="4"/>
      <c r="BLX108" s="4"/>
      <c r="BLY108" s="4"/>
      <c r="BLZ108" s="4"/>
      <c r="BMA108" s="4"/>
      <c r="BMB108" s="4"/>
      <c r="BMC108" s="4"/>
      <c r="BMD108" s="4"/>
      <c r="BME108" s="4"/>
      <c r="BMF108" s="4"/>
      <c r="BMG108" s="4"/>
      <c r="BMH108" s="4"/>
      <c r="BMI108" s="4"/>
      <c r="BMJ108" s="4"/>
      <c r="BMK108" s="4"/>
      <c r="BML108" s="4"/>
      <c r="BMM108" s="4"/>
      <c r="BMN108" s="4"/>
      <c r="BMO108" s="4"/>
      <c r="BMP108" s="4"/>
      <c r="BMQ108" s="4"/>
      <c r="BMR108" s="4"/>
      <c r="BMS108" s="4"/>
      <c r="BMT108" s="4"/>
      <c r="BMU108" s="4"/>
      <c r="BMV108" s="4"/>
      <c r="BMW108" s="4"/>
      <c r="BMX108" s="4"/>
      <c r="BMY108" s="4"/>
      <c r="BMZ108" s="4"/>
      <c r="BNA108" s="4"/>
      <c r="BNB108" s="4"/>
      <c r="BNC108" s="4"/>
      <c r="BND108" s="4"/>
      <c r="BNE108" s="4"/>
      <c r="BNF108" s="4"/>
      <c r="BNG108" s="4"/>
      <c r="BNH108" s="4"/>
      <c r="BNI108" s="4"/>
      <c r="BNJ108" s="4"/>
      <c r="BNK108" s="4"/>
      <c r="BNL108" s="4"/>
      <c r="BNM108" s="4"/>
      <c r="BNN108" s="4"/>
      <c r="BNO108" s="4"/>
      <c r="BNP108" s="4"/>
      <c r="BNQ108" s="4"/>
      <c r="BNR108" s="4"/>
      <c r="BNS108" s="4"/>
      <c r="BNT108" s="4"/>
      <c r="BNU108" s="4"/>
      <c r="BNV108" s="4"/>
      <c r="BNW108" s="4"/>
      <c r="BNX108" s="4"/>
      <c r="BNY108" s="4"/>
      <c r="BNZ108" s="4"/>
      <c r="BOA108" s="4"/>
      <c r="BOB108" s="4"/>
      <c r="BOC108" s="4"/>
      <c r="BOD108" s="4"/>
      <c r="BOE108" s="4"/>
      <c r="BOF108" s="4"/>
      <c r="BOG108" s="4"/>
      <c r="BOH108" s="4"/>
      <c r="BOI108" s="4"/>
      <c r="BOJ108" s="4"/>
      <c r="BOK108" s="4"/>
      <c r="BOL108" s="4"/>
      <c r="BOM108" s="4"/>
      <c r="BON108" s="4"/>
      <c r="BOO108" s="4"/>
      <c r="BOP108" s="4"/>
      <c r="BOQ108" s="4"/>
      <c r="BOR108" s="4"/>
      <c r="BOS108" s="4"/>
      <c r="BOT108" s="4"/>
      <c r="BOU108" s="4"/>
      <c r="BOV108" s="4"/>
      <c r="BOW108" s="4"/>
      <c r="BOX108" s="4"/>
      <c r="BOY108" s="4"/>
      <c r="BOZ108" s="4"/>
      <c r="BPA108" s="4"/>
      <c r="BPB108" s="4"/>
      <c r="BPC108" s="4"/>
      <c r="BPD108" s="4"/>
      <c r="BPE108" s="4"/>
      <c r="BPF108" s="4"/>
      <c r="BPG108" s="4"/>
      <c r="BPH108" s="4"/>
      <c r="BPI108" s="4"/>
      <c r="BPJ108" s="4"/>
      <c r="BPK108" s="4"/>
      <c r="BPL108" s="4"/>
      <c r="BPM108" s="4"/>
      <c r="BPN108" s="4"/>
      <c r="BPO108" s="4"/>
      <c r="BPP108" s="4"/>
      <c r="BPQ108" s="4"/>
      <c r="BPR108" s="4"/>
      <c r="BPS108" s="4"/>
      <c r="BPT108" s="4"/>
      <c r="BPU108" s="4"/>
      <c r="BPV108" s="4"/>
      <c r="BPW108" s="4"/>
      <c r="BPX108" s="4"/>
      <c r="BPY108" s="4"/>
      <c r="BPZ108" s="4"/>
      <c r="BQA108" s="4"/>
      <c r="BQB108" s="4"/>
      <c r="BQC108" s="4"/>
      <c r="BQD108" s="4"/>
      <c r="BQE108" s="4"/>
      <c r="BQF108" s="4"/>
      <c r="BQG108" s="4"/>
      <c r="BQH108" s="4"/>
      <c r="BQI108" s="4"/>
      <c r="BQJ108" s="4"/>
      <c r="BQK108" s="4"/>
      <c r="BQL108" s="4"/>
      <c r="BQM108" s="4"/>
      <c r="BQN108" s="4"/>
      <c r="BQO108" s="4"/>
      <c r="BQP108" s="4"/>
      <c r="BQQ108" s="4"/>
      <c r="BQR108" s="4"/>
      <c r="BQS108" s="4"/>
      <c r="BQT108" s="4"/>
      <c r="BQU108" s="4"/>
      <c r="BQV108" s="4"/>
      <c r="BQW108" s="4"/>
      <c r="BQX108" s="4"/>
      <c r="BQY108" s="4"/>
      <c r="BQZ108" s="4"/>
      <c r="BRA108" s="4"/>
      <c r="BRB108" s="4"/>
      <c r="BRC108" s="4"/>
      <c r="BRD108" s="4"/>
      <c r="BRE108" s="4"/>
      <c r="BRF108" s="4"/>
      <c r="BRG108" s="4"/>
      <c r="BRH108" s="4"/>
      <c r="BRI108" s="4"/>
      <c r="BRJ108" s="4"/>
      <c r="BRK108" s="4"/>
      <c r="BRL108" s="4"/>
      <c r="BRM108" s="4"/>
      <c r="BRN108" s="4"/>
      <c r="BRO108" s="4"/>
      <c r="BRP108" s="4"/>
      <c r="BRQ108" s="4"/>
      <c r="BRR108" s="4"/>
      <c r="BRS108" s="4"/>
      <c r="BRT108" s="4"/>
      <c r="BRU108" s="4"/>
      <c r="BRV108" s="4"/>
      <c r="BRW108" s="4"/>
      <c r="BRX108" s="4"/>
      <c r="BRY108" s="4"/>
      <c r="BRZ108" s="4"/>
      <c r="BSA108" s="4"/>
      <c r="BSB108" s="4"/>
      <c r="BSC108" s="4"/>
      <c r="BSD108" s="4"/>
      <c r="BSE108" s="4"/>
      <c r="BSF108" s="4"/>
      <c r="BSG108" s="4"/>
      <c r="BSH108" s="4"/>
      <c r="BSI108" s="4"/>
      <c r="BSJ108" s="4"/>
      <c r="BSK108" s="4"/>
      <c r="BSL108" s="4"/>
      <c r="BSM108" s="4"/>
      <c r="BSN108" s="4"/>
      <c r="BSO108" s="4"/>
      <c r="BSP108" s="4"/>
      <c r="BSQ108" s="4"/>
      <c r="BSR108" s="4"/>
      <c r="BSS108" s="4"/>
      <c r="BST108" s="4"/>
      <c r="BSU108" s="4"/>
      <c r="BSV108" s="4"/>
      <c r="BSW108" s="4"/>
      <c r="BSX108" s="4"/>
      <c r="BSY108" s="4"/>
      <c r="BSZ108" s="4"/>
      <c r="BTA108" s="4"/>
      <c r="BTB108" s="4"/>
      <c r="BTC108" s="4"/>
      <c r="BTD108" s="4"/>
      <c r="BTE108" s="4"/>
      <c r="BTF108" s="4"/>
      <c r="BTG108" s="4"/>
      <c r="BTH108" s="4"/>
      <c r="BTI108" s="4"/>
      <c r="BTJ108" s="4"/>
      <c r="BTK108" s="4"/>
      <c r="BTL108" s="4"/>
      <c r="BTM108" s="4"/>
      <c r="BTN108" s="4"/>
      <c r="BTO108" s="4"/>
      <c r="BTP108" s="4"/>
      <c r="BTQ108" s="4"/>
      <c r="BTR108" s="4"/>
      <c r="BTS108" s="4"/>
      <c r="BTT108" s="4"/>
      <c r="BTU108" s="4"/>
      <c r="BTV108" s="4"/>
      <c r="BTW108" s="4"/>
      <c r="BTX108" s="4"/>
      <c r="BTY108" s="4"/>
      <c r="BTZ108" s="4"/>
      <c r="BUA108" s="4"/>
      <c r="BUB108" s="4"/>
      <c r="BUC108" s="4"/>
      <c r="BUD108" s="4"/>
      <c r="BUE108" s="4"/>
      <c r="BUF108" s="4"/>
      <c r="BUG108" s="4"/>
      <c r="BUH108" s="4"/>
      <c r="BUI108" s="4"/>
      <c r="BUJ108" s="4"/>
      <c r="BUK108" s="4"/>
      <c r="BUL108" s="4"/>
      <c r="BUM108" s="4"/>
      <c r="BUN108" s="4"/>
      <c r="BUO108" s="4"/>
      <c r="BUP108" s="4"/>
      <c r="BUQ108" s="4"/>
      <c r="BUR108" s="4"/>
      <c r="BUS108" s="4"/>
      <c r="BUT108" s="4"/>
      <c r="BUU108" s="4"/>
      <c r="BUV108" s="4"/>
      <c r="BUW108" s="4"/>
      <c r="BUX108" s="4"/>
      <c r="BUY108" s="4"/>
      <c r="BUZ108" s="4"/>
      <c r="BVA108" s="4"/>
      <c r="BVB108" s="4"/>
      <c r="BVC108" s="4"/>
      <c r="BVD108" s="4"/>
      <c r="BVE108" s="4"/>
      <c r="BVF108" s="4"/>
      <c r="BVG108" s="4"/>
      <c r="BVH108" s="4"/>
      <c r="BVI108" s="4"/>
      <c r="BVJ108" s="4"/>
      <c r="BVK108" s="4"/>
      <c r="BVL108" s="4"/>
      <c r="BVM108" s="4"/>
      <c r="BVN108" s="4"/>
      <c r="BVO108" s="4"/>
      <c r="BVP108" s="4"/>
      <c r="BVQ108" s="4"/>
      <c r="BVR108" s="4"/>
      <c r="BVS108" s="4"/>
      <c r="BVT108" s="4"/>
      <c r="BVU108" s="4"/>
      <c r="BVV108" s="4"/>
      <c r="BVW108" s="4"/>
      <c r="BVX108" s="4"/>
      <c r="BVY108" s="4"/>
      <c r="BVZ108" s="4"/>
      <c r="BWA108" s="4"/>
      <c r="BWB108" s="4"/>
      <c r="BWC108" s="4"/>
      <c r="BWD108" s="4"/>
      <c r="BWE108" s="4"/>
      <c r="BWF108" s="4"/>
      <c r="BWG108" s="4"/>
      <c r="BWH108" s="4"/>
      <c r="BWI108" s="4"/>
      <c r="BWJ108" s="4"/>
      <c r="BWK108" s="4"/>
      <c r="BWL108" s="4"/>
      <c r="BWM108" s="4"/>
      <c r="BWN108" s="4"/>
      <c r="BWO108" s="4"/>
      <c r="BWP108" s="4"/>
      <c r="BWQ108" s="4"/>
      <c r="BWR108" s="4"/>
      <c r="BWS108" s="4"/>
      <c r="BWT108" s="4"/>
      <c r="BWU108" s="4"/>
      <c r="BWV108" s="4"/>
      <c r="BWW108" s="4"/>
      <c r="BWX108" s="4"/>
      <c r="BWY108" s="4"/>
      <c r="BWZ108" s="4"/>
      <c r="BXA108" s="4"/>
      <c r="BXB108" s="4"/>
      <c r="BXC108" s="4"/>
      <c r="BXD108" s="4"/>
      <c r="BXE108" s="4"/>
      <c r="BXF108" s="4"/>
      <c r="BXG108" s="4"/>
      <c r="BXH108" s="4"/>
      <c r="BXI108" s="4"/>
      <c r="BXJ108" s="4"/>
      <c r="BXK108" s="4"/>
      <c r="BXL108" s="4"/>
      <c r="BXM108" s="4"/>
      <c r="BXN108" s="4"/>
      <c r="BXO108" s="4"/>
      <c r="BXP108" s="4"/>
      <c r="BXQ108" s="4"/>
      <c r="BXR108" s="4"/>
      <c r="BXS108" s="4"/>
      <c r="BXT108" s="4"/>
      <c r="BXU108" s="4"/>
      <c r="BXV108" s="4"/>
      <c r="BXW108" s="4"/>
      <c r="BXX108" s="4"/>
      <c r="BXY108" s="4"/>
      <c r="BXZ108" s="4"/>
      <c r="BYA108" s="4"/>
      <c r="BYB108" s="4"/>
      <c r="BYC108" s="4"/>
      <c r="BYD108" s="4"/>
      <c r="BYE108" s="4"/>
      <c r="BYF108" s="4"/>
      <c r="BYG108" s="4"/>
      <c r="BYH108" s="4"/>
      <c r="BYI108" s="4"/>
      <c r="BYJ108" s="4"/>
      <c r="BYK108" s="4"/>
      <c r="BYL108" s="4"/>
      <c r="BYM108" s="4"/>
      <c r="BYN108" s="4"/>
      <c r="BYO108" s="4"/>
      <c r="BYP108" s="4"/>
      <c r="BYQ108" s="4"/>
      <c r="BYR108" s="4"/>
      <c r="BYS108" s="4"/>
      <c r="BYT108" s="4"/>
      <c r="BYU108" s="4"/>
      <c r="BYV108" s="4"/>
      <c r="BYW108" s="4"/>
      <c r="BYX108" s="4"/>
      <c r="BYY108" s="4"/>
      <c r="BYZ108" s="4"/>
      <c r="BZA108" s="4"/>
      <c r="BZB108" s="4"/>
      <c r="BZC108" s="4"/>
      <c r="BZD108" s="4"/>
      <c r="BZE108" s="4"/>
      <c r="BZF108" s="4"/>
      <c r="BZG108" s="4"/>
      <c r="BZH108" s="4"/>
      <c r="BZI108" s="4"/>
      <c r="BZJ108" s="4"/>
      <c r="BZK108" s="4"/>
      <c r="BZL108" s="4"/>
      <c r="BZM108" s="4"/>
      <c r="BZN108" s="4"/>
      <c r="BZO108" s="4"/>
      <c r="BZP108" s="4"/>
      <c r="BZQ108" s="4"/>
      <c r="BZR108" s="4"/>
      <c r="BZS108" s="4"/>
      <c r="BZT108" s="4"/>
      <c r="BZU108" s="4"/>
      <c r="BZV108" s="4"/>
      <c r="BZW108" s="4"/>
      <c r="BZX108" s="4"/>
      <c r="BZY108" s="4"/>
      <c r="BZZ108" s="4"/>
      <c r="CAA108" s="4"/>
      <c r="CAB108" s="4"/>
      <c r="CAC108" s="4"/>
      <c r="CAD108" s="4"/>
      <c r="CAE108" s="4"/>
      <c r="CAF108" s="4"/>
      <c r="CAG108" s="4"/>
      <c r="CAH108" s="4"/>
      <c r="CAI108" s="4"/>
      <c r="CAJ108" s="4"/>
      <c r="CAK108" s="4"/>
      <c r="CAL108" s="4"/>
      <c r="CAM108" s="4"/>
      <c r="CAN108" s="4"/>
      <c r="CAO108" s="4"/>
      <c r="CAP108" s="4"/>
      <c r="CAQ108" s="4"/>
      <c r="CAR108" s="4"/>
      <c r="CAS108" s="4"/>
      <c r="CAT108" s="4"/>
      <c r="CAU108" s="4"/>
      <c r="CAV108" s="4"/>
      <c r="CAW108" s="4"/>
      <c r="CAX108" s="4"/>
      <c r="CAY108" s="4"/>
      <c r="CAZ108" s="4"/>
      <c r="CBA108" s="4"/>
      <c r="CBB108" s="4"/>
      <c r="CBC108" s="4"/>
      <c r="CBD108" s="4"/>
      <c r="CBE108" s="4"/>
      <c r="CBF108" s="4"/>
      <c r="CBG108" s="4"/>
      <c r="CBH108" s="4"/>
      <c r="CBI108" s="4"/>
      <c r="CBJ108" s="4"/>
      <c r="CBK108" s="4"/>
      <c r="CBL108" s="4"/>
      <c r="CBM108" s="4"/>
      <c r="CBN108" s="4"/>
      <c r="CBO108" s="4"/>
      <c r="CBP108" s="4"/>
      <c r="CBQ108" s="4"/>
      <c r="CBR108" s="4"/>
      <c r="CBS108" s="4"/>
      <c r="CBT108" s="4"/>
      <c r="CBU108" s="4"/>
      <c r="CBV108" s="4"/>
      <c r="CBW108" s="4"/>
      <c r="CBX108" s="4"/>
      <c r="CBY108" s="4"/>
      <c r="CBZ108" s="4"/>
      <c r="CCA108" s="4"/>
      <c r="CCB108" s="4"/>
      <c r="CCC108" s="4"/>
      <c r="CCD108" s="4"/>
      <c r="CCE108" s="4"/>
      <c r="CCF108" s="4"/>
      <c r="CCG108" s="4"/>
      <c r="CCH108" s="4"/>
      <c r="CCI108" s="4"/>
      <c r="CCJ108" s="4"/>
      <c r="CCK108" s="4"/>
      <c r="CCL108" s="4"/>
      <c r="CCM108" s="4"/>
      <c r="CCN108" s="4"/>
      <c r="CCO108" s="4"/>
      <c r="CCP108" s="4"/>
      <c r="CCQ108" s="4"/>
      <c r="CCR108" s="4"/>
      <c r="CCS108" s="4"/>
      <c r="CCT108" s="4"/>
      <c r="CCU108" s="4"/>
      <c r="CCV108" s="4"/>
      <c r="CCW108" s="4"/>
      <c r="CCX108" s="4"/>
      <c r="CCY108" s="4"/>
      <c r="CCZ108" s="4"/>
      <c r="CDA108" s="4"/>
      <c r="CDB108" s="4"/>
      <c r="CDC108" s="4"/>
      <c r="CDD108" s="4"/>
      <c r="CDE108" s="4"/>
      <c r="CDF108" s="4"/>
      <c r="CDG108" s="4"/>
      <c r="CDH108" s="4"/>
      <c r="CDI108" s="4"/>
      <c r="CDJ108" s="4"/>
      <c r="CDK108" s="4"/>
      <c r="CDL108" s="4"/>
      <c r="CDM108" s="4"/>
      <c r="CDN108" s="4"/>
      <c r="CDO108" s="4"/>
      <c r="CDP108" s="4"/>
      <c r="CDQ108" s="4"/>
      <c r="CDR108" s="4"/>
      <c r="CDS108" s="4"/>
      <c r="CDT108" s="4"/>
      <c r="CDU108" s="4"/>
      <c r="CDV108" s="4"/>
      <c r="CDW108" s="4"/>
      <c r="CDX108" s="4"/>
      <c r="CDY108" s="4"/>
      <c r="CDZ108" s="4"/>
      <c r="CEA108" s="4"/>
      <c r="CEB108" s="4"/>
      <c r="CEC108" s="4"/>
      <c r="CED108" s="4"/>
      <c r="CEE108" s="4"/>
      <c r="CEF108" s="4"/>
      <c r="CEG108" s="4"/>
      <c r="CEH108" s="4"/>
      <c r="CEI108" s="4"/>
      <c r="CEJ108" s="4"/>
      <c r="CEK108" s="4"/>
      <c r="CEL108" s="4"/>
      <c r="CEM108" s="4"/>
      <c r="CEN108" s="4"/>
      <c r="CEO108" s="4"/>
      <c r="CEP108" s="4"/>
      <c r="CEQ108" s="4"/>
      <c r="CER108" s="4"/>
      <c r="CES108" s="4"/>
      <c r="CET108" s="4"/>
      <c r="CEU108" s="4"/>
      <c r="CEV108" s="4"/>
      <c r="CEW108" s="4"/>
      <c r="CEX108" s="4"/>
      <c r="CEY108" s="4"/>
      <c r="CEZ108" s="4"/>
      <c r="CFA108" s="4"/>
      <c r="CFB108" s="4"/>
      <c r="CFC108" s="4"/>
      <c r="CFD108" s="4"/>
      <c r="CFE108" s="4"/>
      <c r="CFF108" s="4"/>
      <c r="CFG108" s="4"/>
      <c r="CFH108" s="4"/>
      <c r="CFI108" s="4"/>
      <c r="CFJ108" s="4"/>
      <c r="CFK108" s="4"/>
      <c r="CFL108" s="4"/>
      <c r="CFM108" s="4"/>
      <c r="CFN108" s="4"/>
      <c r="CFO108" s="4"/>
      <c r="CFP108" s="4"/>
      <c r="CFQ108" s="4"/>
      <c r="CFR108" s="4"/>
      <c r="CFS108" s="4"/>
      <c r="CFT108" s="4"/>
      <c r="CFU108" s="4"/>
      <c r="CFV108" s="4"/>
      <c r="CFW108" s="4"/>
      <c r="CFX108" s="4"/>
      <c r="CFY108" s="4"/>
      <c r="CFZ108" s="4"/>
      <c r="CGA108" s="4"/>
      <c r="CGB108" s="4"/>
      <c r="CGC108" s="4"/>
      <c r="CGD108" s="4"/>
      <c r="CGE108" s="4"/>
      <c r="CGF108" s="4"/>
      <c r="CGG108" s="4"/>
      <c r="CGH108" s="4"/>
      <c r="CGI108" s="4"/>
      <c r="CGJ108" s="4"/>
      <c r="CGK108" s="4"/>
      <c r="CGL108" s="4"/>
      <c r="CGM108" s="4"/>
      <c r="CGN108" s="4"/>
      <c r="CGO108" s="4"/>
      <c r="CGP108" s="4"/>
      <c r="CGQ108" s="4"/>
      <c r="CGR108" s="4"/>
      <c r="CGS108" s="4"/>
      <c r="CGT108" s="4"/>
      <c r="CGU108" s="4"/>
      <c r="CGV108" s="4"/>
      <c r="CGW108" s="4"/>
      <c r="CGX108" s="4"/>
      <c r="CGY108" s="4"/>
      <c r="CGZ108" s="4"/>
      <c r="CHA108" s="4"/>
      <c r="CHB108" s="4"/>
      <c r="CHC108" s="4"/>
      <c r="CHD108" s="4"/>
      <c r="CHE108" s="4"/>
      <c r="CHF108" s="4"/>
      <c r="CHG108" s="4"/>
      <c r="CHH108" s="4"/>
      <c r="CHI108" s="4"/>
      <c r="CHJ108" s="4"/>
      <c r="CHK108" s="4"/>
      <c r="CHL108" s="4"/>
      <c r="CHM108" s="4"/>
      <c r="CHN108" s="4"/>
      <c r="CHO108" s="4"/>
      <c r="CHP108" s="4"/>
      <c r="CHQ108" s="4"/>
      <c r="CHR108" s="4"/>
      <c r="CHS108" s="4"/>
      <c r="CHT108" s="4"/>
      <c r="CHU108" s="4"/>
      <c r="CHV108" s="4"/>
      <c r="CHW108" s="4"/>
      <c r="CHX108" s="4"/>
      <c r="CHY108" s="4"/>
      <c r="CHZ108" s="4"/>
      <c r="CIA108" s="4"/>
      <c r="CIB108" s="4"/>
      <c r="CIC108" s="4"/>
      <c r="CID108" s="4"/>
      <c r="CIE108" s="4"/>
      <c r="CIF108" s="4"/>
      <c r="CIG108" s="4"/>
      <c r="CIH108" s="4"/>
      <c r="CII108" s="4"/>
      <c r="CIJ108" s="4"/>
      <c r="CIK108" s="4"/>
      <c r="CIL108" s="4"/>
      <c r="CIM108" s="4"/>
      <c r="CIN108" s="4"/>
      <c r="CIO108" s="4"/>
      <c r="CIP108" s="4"/>
      <c r="CIQ108" s="4"/>
      <c r="CIR108" s="4"/>
      <c r="CIS108" s="4"/>
      <c r="CIT108" s="4"/>
      <c r="CIU108" s="4"/>
      <c r="CIV108" s="4"/>
      <c r="CIW108" s="4"/>
      <c r="CIX108" s="4"/>
      <c r="CIY108" s="4"/>
      <c r="CIZ108" s="4"/>
      <c r="CJA108" s="4"/>
      <c r="CJB108" s="4"/>
      <c r="CJC108" s="4"/>
      <c r="CJD108" s="4"/>
      <c r="CJE108" s="4"/>
      <c r="CJF108" s="4"/>
      <c r="CJG108" s="4"/>
      <c r="CJH108" s="4"/>
      <c r="CJI108" s="4"/>
      <c r="CJJ108" s="4"/>
      <c r="CJK108" s="4"/>
      <c r="CJL108" s="4"/>
      <c r="CJM108" s="4"/>
      <c r="CJN108" s="4"/>
      <c r="CJO108" s="4"/>
      <c r="CJP108" s="4"/>
      <c r="CJQ108" s="4"/>
      <c r="CJR108" s="4"/>
      <c r="CJS108" s="4"/>
      <c r="CJT108" s="4"/>
      <c r="CJU108" s="4"/>
      <c r="CJV108" s="4"/>
      <c r="CJW108" s="4"/>
      <c r="CJX108" s="4"/>
      <c r="CJY108" s="4"/>
      <c r="CJZ108" s="4"/>
      <c r="CKA108" s="4"/>
      <c r="CKB108" s="4"/>
      <c r="CKC108" s="4"/>
      <c r="CKD108" s="4"/>
      <c r="CKE108" s="4"/>
      <c r="CKF108" s="4"/>
      <c r="CKG108" s="4"/>
      <c r="CKH108" s="4"/>
      <c r="CKI108" s="4"/>
      <c r="CKJ108" s="4"/>
      <c r="CKK108" s="4"/>
      <c r="CKL108" s="4"/>
      <c r="CKM108" s="4"/>
      <c r="CKN108" s="4"/>
      <c r="CKO108" s="4"/>
      <c r="CKP108" s="4"/>
      <c r="CKQ108" s="4"/>
      <c r="CKR108" s="4"/>
      <c r="CKS108" s="4"/>
      <c r="CKT108" s="4"/>
      <c r="CKU108" s="4"/>
      <c r="CKV108" s="4"/>
      <c r="CKW108" s="4"/>
      <c r="CKX108" s="4"/>
      <c r="CKY108" s="4"/>
      <c r="CKZ108" s="4"/>
      <c r="CLA108" s="4"/>
      <c r="CLB108" s="4"/>
      <c r="CLC108" s="4"/>
      <c r="CLD108" s="4"/>
      <c r="CLE108" s="4"/>
      <c r="CLF108" s="4"/>
      <c r="CLG108" s="4"/>
      <c r="CLH108" s="4"/>
      <c r="CLI108" s="4"/>
      <c r="CLJ108" s="4"/>
      <c r="CLK108" s="4"/>
      <c r="CLL108" s="4"/>
      <c r="CLM108" s="4"/>
      <c r="CLN108" s="4"/>
      <c r="CLO108" s="4"/>
      <c r="CLP108" s="4"/>
      <c r="CLQ108" s="4"/>
      <c r="CLR108" s="4"/>
      <c r="CLS108" s="4"/>
      <c r="CLT108" s="4"/>
      <c r="CLU108" s="4"/>
      <c r="CLV108" s="4"/>
      <c r="CLW108" s="4"/>
      <c r="CLX108" s="4"/>
      <c r="CLY108" s="4"/>
      <c r="CLZ108" s="4"/>
      <c r="CMA108" s="4"/>
      <c r="CMB108" s="4"/>
      <c r="CMC108" s="4"/>
      <c r="CMD108" s="4"/>
      <c r="CME108" s="4"/>
      <c r="CMF108" s="4"/>
      <c r="CMG108" s="4"/>
      <c r="CMH108" s="4"/>
      <c r="CMI108" s="4"/>
      <c r="CMJ108" s="4"/>
      <c r="CMK108" s="4"/>
      <c r="CML108" s="4"/>
      <c r="CMM108" s="4"/>
      <c r="CMN108" s="4"/>
      <c r="CMO108" s="4"/>
      <c r="CMP108" s="4"/>
      <c r="CMQ108" s="4"/>
      <c r="CMR108" s="4"/>
      <c r="CMS108" s="4"/>
      <c r="CMT108" s="4"/>
      <c r="CMU108" s="4"/>
      <c r="CMV108" s="4"/>
      <c r="CMW108" s="4"/>
      <c r="CMX108" s="4"/>
      <c r="CMY108" s="4"/>
      <c r="CMZ108" s="4"/>
      <c r="CNA108" s="4"/>
      <c r="CNB108" s="4"/>
      <c r="CNC108" s="4"/>
      <c r="CND108" s="4"/>
      <c r="CNE108" s="4"/>
      <c r="CNF108" s="4"/>
      <c r="CNG108" s="4"/>
      <c r="CNH108" s="4"/>
      <c r="CNI108" s="4"/>
      <c r="CNJ108" s="4"/>
      <c r="CNK108" s="4"/>
      <c r="CNL108" s="4"/>
      <c r="CNM108" s="4"/>
      <c r="CNN108" s="4"/>
      <c r="CNO108" s="4"/>
      <c r="CNP108" s="4"/>
      <c r="CNQ108" s="4"/>
      <c r="CNR108" s="4"/>
      <c r="CNS108" s="4"/>
      <c r="CNT108" s="4"/>
      <c r="CNU108" s="4"/>
      <c r="CNV108" s="4"/>
      <c r="CNW108" s="4"/>
      <c r="CNX108" s="4"/>
      <c r="CNY108" s="4"/>
      <c r="CNZ108" s="4"/>
      <c r="COA108" s="4"/>
      <c r="COB108" s="4"/>
      <c r="COC108" s="4"/>
      <c r="COD108" s="4"/>
      <c r="COE108" s="4"/>
      <c r="COF108" s="4"/>
      <c r="COG108" s="4"/>
      <c r="COH108" s="4"/>
      <c r="COI108" s="4"/>
      <c r="COJ108" s="4"/>
      <c r="COK108" s="4"/>
      <c r="COL108" s="4"/>
      <c r="COM108" s="4"/>
      <c r="CON108" s="4"/>
      <c r="COO108" s="4"/>
      <c r="COP108" s="4"/>
      <c r="COQ108" s="4"/>
      <c r="COR108" s="4"/>
      <c r="COS108" s="4"/>
      <c r="COT108" s="4"/>
      <c r="COU108" s="4"/>
      <c r="COV108" s="4"/>
      <c r="COW108" s="4"/>
      <c r="COX108" s="4"/>
      <c r="COY108" s="4"/>
      <c r="COZ108" s="4"/>
      <c r="CPA108" s="4"/>
      <c r="CPB108" s="4"/>
      <c r="CPC108" s="4"/>
      <c r="CPD108" s="4"/>
      <c r="CPE108" s="4"/>
      <c r="CPF108" s="4"/>
      <c r="CPG108" s="4"/>
      <c r="CPH108" s="4"/>
      <c r="CPI108" s="4"/>
      <c r="CPJ108" s="4"/>
      <c r="CPK108" s="4"/>
      <c r="CPL108" s="4"/>
      <c r="CPM108" s="4"/>
      <c r="CPN108" s="4"/>
      <c r="CPO108" s="4"/>
      <c r="CPP108" s="4"/>
      <c r="CPQ108" s="4"/>
      <c r="CPR108" s="4"/>
      <c r="CPS108" s="4"/>
      <c r="CPT108" s="4"/>
      <c r="CPU108" s="4"/>
      <c r="CPV108" s="4"/>
      <c r="CPW108" s="4"/>
      <c r="CPX108" s="4"/>
      <c r="CPY108" s="4"/>
      <c r="CPZ108" s="4"/>
      <c r="CQA108" s="4"/>
      <c r="CQB108" s="4"/>
      <c r="CQC108" s="4"/>
      <c r="CQD108" s="4"/>
      <c r="CQE108" s="4"/>
      <c r="CQF108" s="4"/>
      <c r="CQG108" s="4"/>
      <c r="CQH108" s="4"/>
      <c r="CQI108" s="4"/>
      <c r="CQJ108" s="4"/>
      <c r="CQK108" s="4"/>
      <c r="CQL108" s="4"/>
      <c r="CQM108" s="4"/>
      <c r="CQN108" s="4"/>
      <c r="CQO108" s="4"/>
      <c r="CQP108" s="4"/>
      <c r="CQQ108" s="4"/>
      <c r="CQR108" s="4"/>
      <c r="CQS108" s="4"/>
      <c r="CQT108" s="4"/>
      <c r="CQU108" s="4"/>
      <c r="CQV108" s="4"/>
      <c r="CQW108" s="4"/>
      <c r="CQX108" s="4"/>
      <c r="CQY108" s="4"/>
      <c r="CQZ108" s="4"/>
      <c r="CRA108" s="4"/>
      <c r="CRB108" s="4"/>
      <c r="CRC108" s="4"/>
      <c r="CRD108" s="4"/>
      <c r="CRE108" s="4"/>
      <c r="CRF108" s="4"/>
      <c r="CRG108" s="4"/>
      <c r="CRH108" s="4"/>
      <c r="CRI108" s="4"/>
      <c r="CRJ108" s="4"/>
      <c r="CRK108" s="4"/>
      <c r="CRL108" s="4"/>
      <c r="CRM108" s="4"/>
      <c r="CRN108" s="4"/>
      <c r="CRO108" s="4"/>
      <c r="CRP108" s="4"/>
      <c r="CRQ108" s="4"/>
      <c r="CRR108" s="4"/>
      <c r="CRS108" s="4"/>
      <c r="CRT108" s="4"/>
      <c r="CRU108" s="4"/>
      <c r="CRV108" s="4"/>
      <c r="CRW108" s="4"/>
      <c r="CRX108" s="4"/>
      <c r="CRY108" s="4"/>
      <c r="CRZ108" s="4"/>
      <c r="CSA108" s="4"/>
      <c r="CSB108" s="4"/>
      <c r="CSC108" s="4"/>
      <c r="CSD108" s="4"/>
      <c r="CSE108" s="4"/>
      <c r="CSF108" s="4"/>
      <c r="CSG108" s="4"/>
      <c r="CSH108" s="4"/>
      <c r="CSI108" s="4"/>
      <c r="CSJ108" s="4"/>
      <c r="CSK108" s="4"/>
      <c r="CSL108" s="4"/>
      <c r="CSM108" s="4"/>
      <c r="CSN108" s="4"/>
      <c r="CSO108" s="4"/>
      <c r="CSP108" s="4"/>
      <c r="CSQ108" s="4"/>
      <c r="CSR108" s="4"/>
      <c r="CSS108" s="4"/>
      <c r="CST108" s="4"/>
      <c r="CSU108" s="4"/>
      <c r="CSV108" s="4"/>
      <c r="CSW108" s="4"/>
      <c r="CSX108" s="4"/>
      <c r="CSY108" s="4"/>
      <c r="CSZ108" s="4"/>
      <c r="CTA108" s="4"/>
      <c r="CTB108" s="4"/>
      <c r="CTC108" s="4"/>
      <c r="CTD108" s="4"/>
      <c r="CTE108" s="4"/>
      <c r="CTF108" s="4"/>
      <c r="CTG108" s="4"/>
      <c r="CTH108" s="4"/>
      <c r="CTI108" s="4"/>
      <c r="CTJ108" s="4"/>
      <c r="CTK108" s="4"/>
      <c r="CTL108" s="4"/>
      <c r="CTM108" s="4"/>
      <c r="CTN108" s="4"/>
      <c r="CTO108" s="4"/>
      <c r="CTP108" s="4"/>
      <c r="CTQ108" s="4"/>
      <c r="CTR108" s="4"/>
      <c r="CTS108" s="4"/>
      <c r="CTT108" s="4"/>
      <c r="CTU108" s="4"/>
      <c r="CTV108" s="4"/>
      <c r="CTW108" s="4"/>
      <c r="CTX108" s="4"/>
      <c r="CTY108" s="4"/>
      <c r="CTZ108" s="4"/>
      <c r="CUA108" s="4"/>
      <c r="CUB108" s="4"/>
      <c r="CUC108" s="4"/>
      <c r="CUD108" s="4"/>
      <c r="CUE108" s="4"/>
      <c r="CUF108" s="4"/>
      <c r="CUG108" s="4"/>
      <c r="CUH108" s="4"/>
      <c r="CUI108" s="4"/>
      <c r="CUJ108" s="4"/>
      <c r="CUK108" s="4"/>
      <c r="CUL108" s="4"/>
      <c r="CUM108" s="4"/>
      <c r="CUN108" s="4"/>
      <c r="CUO108" s="4"/>
      <c r="CUP108" s="4"/>
      <c r="CUQ108" s="4"/>
      <c r="CUR108" s="4"/>
      <c r="CUS108" s="4"/>
      <c r="CUT108" s="4"/>
      <c r="CUU108" s="4"/>
      <c r="CUV108" s="4"/>
      <c r="CUW108" s="4"/>
      <c r="CUX108" s="4"/>
      <c r="CUY108" s="4"/>
      <c r="CUZ108" s="4"/>
      <c r="CVA108" s="4"/>
      <c r="CVB108" s="4"/>
      <c r="CVC108" s="4"/>
      <c r="CVD108" s="4"/>
      <c r="CVE108" s="4"/>
      <c r="CVF108" s="4"/>
      <c r="CVG108" s="4"/>
      <c r="CVH108" s="4"/>
      <c r="CVI108" s="4"/>
      <c r="CVJ108" s="4"/>
      <c r="CVK108" s="4"/>
      <c r="CVL108" s="4"/>
      <c r="CVM108" s="4"/>
      <c r="CVN108" s="4"/>
      <c r="CVO108" s="4"/>
      <c r="CVP108" s="4"/>
      <c r="CVQ108" s="4"/>
      <c r="CVR108" s="4"/>
      <c r="CVS108" s="4"/>
      <c r="CVT108" s="4"/>
      <c r="CVU108" s="4"/>
      <c r="CVV108" s="4"/>
      <c r="CVW108" s="4"/>
      <c r="CVX108" s="4"/>
      <c r="CVY108" s="4"/>
      <c r="CVZ108" s="4"/>
      <c r="CWA108" s="4"/>
      <c r="CWB108" s="4"/>
      <c r="CWC108" s="4"/>
      <c r="CWD108" s="4"/>
      <c r="CWE108" s="4"/>
      <c r="CWF108" s="4"/>
      <c r="CWG108" s="4"/>
      <c r="CWH108" s="4"/>
      <c r="CWI108" s="4"/>
      <c r="CWJ108" s="4"/>
      <c r="CWK108" s="4"/>
      <c r="CWL108" s="4"/>
      <c r="CWM108" s="4"/>
      <c r="CWN108" s="4"/>
      <c r="CWO108" s="4"/>
      <c r="CWP108" s="4"/>
      <c r="CWQ108" s="4"/>
      <c r="CWR108" s="4"/>
      <c r="CWS108" s="4"/>
      <c r="CWT108" s="4"/>
      <c r="CWU108" s="4"/>
      <c r="CWV108" s="4"/>
      <c r="CWW108" s="4"/>
      <c r="CWX108" s="4"/>
      <c r="CWY108" s="4"/>
      <c r="CWZ108" s="4"/>
      <c r="CXA108" s="4"/>
      <c r="CXB108" s="4"/>
      <c r="CXC108" s="4"/>
      <c r="CXD108" s="4"/>
      <c r="CXE108" s="4"/>
      <c r="CXF108" s="4"/>
      <c r="CXG108" s="4"/>
      <c r="CXH108" s="4"/>
      <c r="CXI108" s="4"/>
      <c r="CXJ108" s="4"/>
      <c r="CXK108" s="4"/>
      <c r="CXL108" s="4"/>
      <c r="CXM108" s="4"/>
      <c r="CXN108" s="4"/>
      <c r="CXO108" s="4"/>
      <c r="CXP108" s="4"/>
      <c r="CXQ108" s="4"/>
      <c r="CXR108" s="4"/>
      <c r="CXS108" s="4"/>
      <c r="CXT108" s="4"/>
      <c r="CXU108" s="4"/>
      <c r="CXV108" s="4"/>
      <c r="CXW108" s="4"/>
      <c r="CXX108" s="4"/>
      <c r="CXY108" s="4"/>
      <c r="CXZ108" s="4"/>
      <c r="CYA108" s="4"/>
      <c r="CYB108" s="4"/>
      <c r="CYC108" s="4"/>
      <c r="CYD108" s="4"/>
      <c r="CYE108" s="4"/>
      <c r="CYF108" s="4"/>
      <c r="CYG108" s="4"/>
      <c r="CYH108" s="4"/>
      <c r="CYI108" s="4"/>
      <c r="CYJ108" s="4"/>
      <c r="CYK108" s="4"/>
      <c r="CYL108" s="4"/>
      <c r="CYM108" s="4"/>
      <c r="CYN108" s="4"/>
      <c r="CYO108" s="4"/>
      <c r="CYP108" s="4"/>
      <c r="CYQ108" s="4"/>
      <c r="CYR108" s="4"/>
      <c r="CYS108" s="4"/>
      <c r="CYT108" s="4"/>
      <c r="CYU108" s="4"/>
      <c r="CYV108" s="4"/>
      <c r="CYW108" s="4"/>
      <c r="CYX108" s="4"/>
      <c r="CYY108" s="4"/>
      <c r="CYZ108" s="4"/>
      <c r="CZA108" s="4"/>
      <c r="CZB108" s="4"/>
      <c r="CZC108" s="4"/>
      <c r="CZD108" s="4"/>
      <c r="CZE108" s="4"/>
      <c r="CZF108" s="4"/>
      <c r="CZG108" s="4"/>
      <c r="CZH108" s="4"/>
      <c r="CZI108" s="4"/>
      <c r="CZJ108" s="4"/>
      <c r="CZK108" s="4"/>
      <c r="CZL108" s="4"/>
      <c r="CZM108" s="4"/>
      <c r="CZN108" s="4"/>
      <c r="CZO108" s="4"/>
      <c r="CZP108" s="4"/>
      <c r="CZQ108" s="4"/>
      <c r="CZR108" s="4"/>
      <c r="CZS108" s="4"/>
      <c r="CZT108" s="4"/>
      <c r="CZU108" s="4"/>
      <c r="CZV108" s="4"/>
      <c r="CZW108" s="4"/>
      <c r="CZX108" s="4"/>
      <c r="CZY108" s="4"/>
      <c r="CZZ108" s="4"/>
      <c r="DAA108" s="4"/>
      <c r="DAB108" s="4"/>
      <c r="DAC108" s="4"/>
      <c r="DAD108" s="4"/>
      <c r="DAE108" s="4"/>
      <c r="DAF108" s="4"/>
      <c r="DAG108" s="4"/>
      <c r="DAH108" s="4"/>
      <c r="DAI108" s="4"/>
      <c r="DAJ108" s="4"/>
      <c r="DAK108" s="4"/>
      <c r="DAL108" s="4"/>
      <c r="DAM108" s="4"/>
      <c r="DAN108" s="4"/>
      <c r="DAO108" s="4"/>
      <c r="DAP108" s="4"/>
      <c r="DAQ108" s="4"/>
      <c r="DAR108" s="4"/>
      <c r="DAS108" s="4"/>
      <c r="DAT108" s="4"/>
      <c r="DAU108" s="4"/>
      <c r="DAV108" s="4"/>
      <c r="DAW108" s="4"/>
      <c r="DAX108" s="4"/>
      <c r="DAY108" s="4"/>
      <c r="DAZ108" s="4"/>
      <c r="DBA108" s="4"/>
      <c r="DBB108" s="4"/>
      <c r="DBC108" s="4"/>
      <c r="DBD108" s="4"/>
      <c r="DBE108" s="4"/>
      <c r="DBF108" s="4"/>
      <c r="DBG108" s="4"/>
      <c r="DBH108" s="4"/>
      <c r="DBI108" s="4"/>
      <c r="DBJ108" s="4"/>
      <c r="DBK108" s="4"/>
      <c r="DBL108" s="4"/>
      <c r="DBM108" s="4"/>
      <c r="DBN108" s="4"/>
      <c r="DBO108" s="4"/>
      <c r="DBP108" s="4"/>
      <c r="DBQ108" s="4"/>
      <c r="DBR108" s="4"/>
      <c r="DBS108" s="4"/>
      <c r="DBT108" s="4"/>
      <c r="DBU108" s="4"/>
      <c r="DBV108" s="4"/>
      <c r="DBW108" s="4"/>
      <c r="DBX108" s="4"/>
      <c r="DBY108" s="4"/>
      <c r="DBZ108" s="4"/>
      <c r="DCA108" s="4"/>
      <c r="DCB108" s="4"/>
      <c r="DCC108" s="4"/>
      <c r="DCD108" s="4"/>
      <c r="DCE108" s="4"/>
      <c r="DCF108" s="4"/>
      <c r="DCG108" s="4"/>
      <c r="DCH108" s="4"/>
      <c r="DCI108" s="4"/>
      <c r="DCJ108" s="4"/>
      <c r="DCK108" s="4"/>
      <c r="DCL108" s="4"/>
      <c r="DCM108" s="4"/>
      <c r="DCN108" s="4"/>
      <c r="DCO108" s="4"/>
      <c r="DCP108" s="4"/>
      <c r="DCQ108" s="4"/>
      <c r="DCR108" s="4"/>
      <c r="DCS108" s="4"/>
      <c r="DCT108" s="4"/>
      <c r="DCU108" s="4"/>
      <c r="DCV108" s="4"/>
      <c r="DCW108" s="4"/>
      <c r="DCX108" s="4"/>
      <c r="DCY108" s="4"/>
      <c r="DCZ108" s="4"/>
      <c r="DDA108" s="4"/>
      <c r="DDB108" s="4"/>
      <c r="DDC108" s="4"/>
      <c r="DDD108" s="4"/>
      <c r="DDE108" s="4"/>
      <c r="DDF108" s="4"/>
      <c r="DDG108" s="4"/>
      <c r="DDH108" s="4"/>
      <c r="DDI108" s="4"/>
      <c r="DDJ108" s="4"/>
      <c r="DDK108" s="4"/>
      <c r="DDL108" s="4"/>
      <c r="DDM108" s="4"/>
      <c r="DDN108" s="4"/>
      <c r="DDO108" s="4"/>
      <c r="DDP108" s="4"/>
      <c r="DDQ108" s="4"/>
      <c r="DDR108" s="4"/>
      <c r="DDS108" s="4"/>
      <c r="DDT108" s="4"/>
      <c r="DDU108" s="4"/>
      <c r="DDV108" s="4"/>
      <c r="DDW108" s="4"/>
      <c r="DDX108" s="4"/>
      <c r="DDY108" s="4"/>
      <c r="DDZ108" s="4"/>
      <c r="DEA108" s="4"/>
      <c r="DEB108" s="4"/>
      <c r="DEC108" s="4"/>
      <c r="DED108" s="4"/>
      <c r="DEE108" s="4"/>
      <c r="DEF108" s="4"/>
      <c r="DEG108" s="4"/>
      <c r="DEH108" s="4"/>
      <c r="DEI108" s="4"/>
      <c r="DEJ108" s="4"/>
      <c r="DEK108" s="4"/>
      <c r="DEL108" s="4"/>
      <c r="DEM108" s="4"/>
      <c r="DEN108" s="4"/>
      <c r="DEO108" s="4"/>
      <c r="DEP108" s="4"/>
      <c r="DEQ108" s="4"/>
      <c r="DER108" s="4"/>
      <c r="DES108" s="4"/>
      <c r="DET108" s="4"/>
      <c r="DEU108" s="4"/>
      <c r="DEV108" s="4"/>
      <c r="DEW108" s="4"/>
      <c r="DEX108" s="4"/>
      <c r="DEY108" s="4"/>
      <c r="DEZ108" s="4"/>
      <c r="DFA108" s="4"/>
      <c r="DFB108" s="4"/>
      <c r="DFC108" s="4"/>
      <c r="DFD108" s="4"/>
      <c r="DFE108" s="4"/>
      <c r="DFF108" s="4"/>
      <c r="DFG108" s="4"/>
      <c r="DFH108" s="4"/>
      <c r="DFI108" s="4"/>
      <c r="DFJ108" s="4"/>
      <c r="DFK108" s="4"/>
      <c r="DFL108" s="4"/>
      <c r="DFM108" s="4"/>
      <c r="DFN108" s="4"/>
      <c r="DFO108" s="4"/>
      <c r="DFP108" s="4"/>
      <c r="DFQ108" s="4"/>
      <c r="DFR108" s="4"/>
      <c r="DFS108" s="4"/>
      <c r="DFT108" s="4"/>
      <c r="DFU108" s="4"/>
      <c r="DFV108" s="4"/>
      <c r="DFW108" s="4"/>
      <c r="DFX108" s="4"/>
      <c r="DFY108" s="4"/>
      <c r="DFZ108" s="4"/>
      <c r="DGA108" s="4"/>
      <c r="DGB108" s="4"/>
      <c r="DGC108" s="4"/>
      <c r="DGD108" s="4"/>
      <c r="DGE108" s="4"/>
      <c r="DGF108" s="4"/>
      <c r="DGG108" s="4"/>
      <c r="DGH108" s="4"/>
      <c r="DGI108" s="4"/>
      <c r="DGJ108" s="4"/>
      <c r="DGK108" s="4"/>
      <c r="DGL108" s="4"/>
      <c r="DGM108" s="4"/>
      <c r="DGN108" s="4"/>
      <c r="DGO108" s="4"/>
      <c r="DGP108" s="4"/>
      <c r="DGQ108" s="4"/>
      <c r="DGR108" s="4"/>
      <c r="DGS108" s="4"/>
      <c r="DGT108" s="4"/>
      <c r="DGU108" s="4"/>
      <c r="DGV108" s="4"/>
      <c r="DGW108" s="4"/>
      <c r="DGX108" s="4"/>
      <c r="DGY108" s="4"/>
      <c r="DGZ108" s="4"/>
      <c r="DHA108" s="4"/>
      <c r="DHB108" s="4"/>
      <c r="DHC108" s="4"/>
      <c r="DHD108" s="4"/>
      <c r="DHE108" s="4"/>
      <c r="DHF108" s="4"/>
      <c r="DHG108" s="4"/>
      <c r="DHH108" s="4"/>
      <c r="DHI108" s="4"/>
      <c r="DHJ108" s="4"/>
      <c r="DHK108" s="4"/>
      <c r="DHL108" s="4"/>
      <c r="DHM108" s="4"/>
      <c r="DHN108" s="4"/>
      <c r="DHO108" s="4"/>
      <c r="DHP108" s="4"/>
      <c r="DHQ108" s="4"/>
      <c r="DHR108" s="4"/>
      <c r="DHS108" s="4"/>
      <c r="DHT108" s="4"/>
      <c r="DHU108" s="4"/>
      <c r="DHV108" s="4"/>
      <c r="DHW108" s="4"/>
      <c r="DHX108" s="4"/>
      <c r="DHY108" s="4"/>
      <c r="DHZ108" s="4"/>
      <c r="DIA108" s="4"/>
      <c r="DIB108" s="4"/>
      <c r="DIC108" s="4"/>
      <c r="DID108" s="4"/>
      <c r="DIE108" s="4"/>
      <c r="DIF108" s="4"/>
      <c r="DIG108" s="4"/>
      <c r="DIH108" s="4"/>
      <c r="DII108" s="4"/>
      <c r="DIJ108" s="4"/>
      <c r="DIK108" s="4"/>
      <c r="DIL108" s="4"/>
      <c r="DIM108" s="4"/>
      <c r="DIN108" s="4"/>
      <c r="DIO108" s="4"/>
      <c r="DIP108" s="4"/>
      <c r="DIQ108" s="4"/>
      <c r="DIR108" s="4"/>
      <c r="DIS108" s="4"/>
      <c r="DIT108" s="4"/>
      <c r="DIU108" s="4"/>
      <c r="DIV108" s="4"/>
      <c r="DIW108" s="4"/>
      <c r="DIX108" s="4"/>
      <c r="DIY108" s="4"/>
      <c r="DIZ108" s="4"/>
      <c r="DJA108" s="4"/>
      <c r="DJB108" s="4"/>
      <c r="DJC108" s="4"/>
      <c r="DJD108" s="4"/>
      <c r="DJE108" s="4"/>
      <c r="DJF108" s="4"/>
      <c r="DJG108" s="4"/>
      <c r="DJH108" s="4"/>
      <c r="DJI108" s="4"/>
      <c r="DJJ108" s="4"/>
      <c r="DJK108" s="4"/>
      <c r="DJL108" s="4"/>
      <c r="DJM108" s="4"/>
      <c r="DJN108" s="4"/>
      <c r="DJO108" s="4"/>
      <c r="DJP108" s="4"/>
      <c r="DJQ108" s="4"/>
      <c r="DJR108" s="4"/>
      <c r="DJS108" s="4"/>
      <c r="DJT108" s="4"/>
      <c r="DJU108" s="4"/>
      <c r="DJV108" s="4"/>
      <c r="DJW108" s="4"/>
      <c r="DJX108" s="4"/>
      <c r="DJY108" s="4"/>
      <c r="DJZ108" s="4"/>
      <c r="DKA108" s="4"/>
      <c r="DKB108" s="4"/>
      <c r="DKC108" s="4"/>
      <c r="DKD108" s="4"/>
      <c r="DKE108" s="4"/>
      <c r="DKF108" s="4"/>
      <c r="DKG108" s="4"/>
      <c r="DKH108" s="4"/>
      <c r="DKI108" s="4"/>
      <c r="DKJ108" s="4"/>
      <c r="DKK108" s="4"/>
      <c r="DKL108" s="4"/>
      <c r="DKM108" s="4"/>
      <c r="DKN108" s="4"/>
      <c r="DKO108" s="4"/>
      <c r="DKP108" s="4"/>
      <c r="DKQ108" s="4"/>
      <c r="DKR108" s="4"/>
      <c r="DKS108" s="4"/>
      <c r="DKT108" s="4"/>
      <c r="DKU108" s="4"/>
      <c r="DKV108" s="4"/>
      <c r="DKW108" s="4"/>
      <c r="DKX108" s="4"/>
      <c r="DKY108" s="4"/>
      <c r="DKZ108" s="4"/>
      <c r="DLA108" s="4"/>
      <c r="DLB108" s="4"/>
      <c r="DLC108" s="4"/>
      <c r="DLD108" s="4"/>
      <c r="DLE108" s="4"/>
      <c r="DLF108" s="4"/>
      <c r="DLG108" s="4"/>
      <c r="DLH108" s="4"/>
      <c r="DLI108" s="4"/>
      <c r="DLJ108" s="4"/>
      <c r="DLK108" s="4"/>
      <c r="DLL108" s="4"/>
      <c r="DLM108" s="4"/>
      <c r="DLN108" s="4"/>
      <c r="DLO108" s="4"/>
      <c r="DLP108" s="4"/>
      <c r="DLQ108" s="4"/>
      <c r="DLR108" s="4"/>
      <c r="DLS108" s="4"/>
      <c r="DLT108" s="4"/>
      <c r="DLU108" s="4"/>
      <c r="DLV108" s="4"/>
      <c r="DLW108" s="4"/>
      <c r="DLX108" s="4"/>
      <c r="DLY108" s="4"/>
      <c r="DLZ108" s="4"/>
      <c r="DMA108" s="4"/>
      <c r="DMB108" s="4"/>
      <c r="DMC108" s="4"/>
      <c r="DMD108" s="4"/>
      <c r="DME108" s="4"/>
      <c r="DMF108" s="4"/>
      <c r="DMG108" s="4"/>
      <c r="DMH108" s="4"/>
      <c r="DMI108" s="4"/>
      <c r="DMJ108" s="4"/>
      <c r="DMK108" s="4"/>
      <c r="DML108" s="4"/>
      <c r="DMM108" s="4"/>
      <c r="DMN108" s="4"/>
      <c r="DMO108" s="4"/>
      <c r="DMP108" s="4"/>
      <c r="DMQ108" s="4"/>
      <c r="DMR108" s="4"/>
      <c r="DMS108" s="4"/>
      <c r="DMT108" s="4"/>
      <c r="DMU108" s="4"/>
      <c r="DMV108" s="4"/>
      <c r="DMW108" s="4"/>
      <c r="DMX108" s="4"/>
      <c r="DMY108" s="4"/>
      <c r="DMZ108" s="4"/>
      <c r="DNA108" s="4"/>
      <c r="DNB108" s="4"/>
      <c r="DNC108" s="4"/>
      <c r="DND108" s="4"/>
      <c r="DNE108" s="4"/>
      <c r="DNF108" s="4"/>
      <c r="DNG108" s="4"/>
      <c r="DNH108" s="4"/>
      <c r="DNI108" s="4"/>
      <c r="DNJ108" s="4"/>
      <c r="DNK108" s="4"/>
      <c r="DNL108" s="4"/>
      <c r="DNM108" s="4"/>
      <c r="DNN108" s="4"/>
      <c r="DNO108" s="4"/>
      <c r="DNP108" s="4"/>
      <c r="DNQ108" s="4"/>
      <c r="DNR108" s="4"/>
      <c r="DNS108" s="4"/>
      <c r="DNT108" s="4"/>
      <c r="DNU108" s="4"/>
      <c r="DNV108" s="4"/>
      <c r="DNW108" s="4"/>
      <c r="DNX108" s="4"/>
      <c r="DNY108" s="4"/>
      <c r="DNZ108" s="4"/>
      <c r="DOA108" s="4"/>
      <c r="DOB108" s="4"/>
      <c r="DOC108" s="4"/>
      <c r="DOD108" s="4"/>
      <c r="DOE108" s="4"/>
      <c r="DOF108" s="4"/>
      <c r="DOG108" s="4"/>
      <c r="DOH108" s="4"/>
      <c r="DOI108" s="4"/>
      <c r="DOJ108" s="4"/>
      <c r="DOK108" s="4"/>
      <c r="DOL108" s="4"/>
      <c r="DOM108" s="4"/>
      <c r="DON108" s="4"/>
      <c r="DOO108" s="4"/>
      <c r="DOP108" s="4"/>
      <c r="DOQ108" s="4"/>
      <c r="DOR108" s="4"/>
      <c r="DOS108" s="4"/>
      <c r="DOT108" s="4"/>
      <c r="DOU108" s="4"/>
      <c r="DOV108" s="4"/>
      <c r="DOW108" s="4"/>
      <c r="DOX108" s="4"/>
      <c r="DOY108" s="4"/>
      <c r="DOZ108" s="4"/>
      <c r="DPA108" s="4"/>
      <c r="DPB108" s="4"/>
      <c r="DPC108" s="4"/>
      <c r="DPD108" s="4"/>
      <c r="DPE108" s="4"/>
      <c r="DPF108" s="4"/>
      <c r="DPG108" s="4"/>
      <c r="DPH108" s="4"/>
      <c r="DPI108" s="4"/>
      <c r="DPJ108" s="4"/>
      <c r="DPK108" s="4"/>
      <c r="DPL108" s="4"/>
      <c r="DPM108" s="4"/>
      <c r="DPN108" s="4"/>
      <c r="DPO108" s="4"/>
      <c r="DPP108" s="4"/>
      <c r="DPQ108" s="4"/>
      <c r="DPR108" s="4"/>
      <c r="DPS108" s="4"/>
      <c r="DPT108" s="4"/>
      <c r="DPU108" s="4"/>
      <c r="DPV108" s="4"/>
      <c r="DPW108" s="4"/>
      <c r="DPX108" s="4"/>
      <c r="DPY108" s="4"/>
      <c r="DPZ108" s="4"/>
      <c r="DQA108" s="4"/>
      <c r="DQB108" s="4"/>
      <c r="DQC108" s="4"/>
      <c r="DQD108" s="4"/>
      <c r="DQE108" s="4"/>
      <c r="DQF108" s="4"/>
      <c r="DQG108" s="4"/>
      <c r="DQH108" s="4"/>
      <c r="DQI108" s="4"/>
      <c r="DQJ108" s="4"/>
      <c r="DQK108" s="4"/>
      <c r="DQL108" s="4"/>
      <c r="DQM108" s="4"/>
      <c r="DQN108" s="4"/>
      <c r="DQO108" s="4"/>
      <c r="DQP108" s="4"/>
      <c r="DQQ108" s="4"/>
      <c r="DQR108" s="4"/>
      <c r="DQS108" s="4"/>
      <c r="DQT108" s="4"/>
      <c r="DQU108" s="4"/>
      <c r="DQV108" s="4"/>
      <c r="DQW108" s="4"/>
      <c r="DQX108" s="4"/>
      <c r="DQY108" s="4"/>
      <c r="DQZ108" s="4"/>
      <c r="DRA108" s="4"/>
      <c r="DRB108" s="4"/>
      <c r="DRC108" s="4"/>
      <c r="DRD108" s="4"/>
      <c r="DRE108" s="4"/>
      <c r="DRF108" s="4"/>
      <c r="DRG108" s="4"/>
      <c r="DRH108" s="4"/>
      <c r="DRI108" s="4"/>
      <c r="DRJ108" s="4"/>
      <c r="DRK108" s="4"/>
      <c r="DRL108" s="4"/>
      <c r="DRM108" s="4"/>
      <c r="DRN108" s="4"/>
      <c r="DRO108" s="4"/>
      <c r="DRP108" s="4"/>
      <c r="DRQ108" s="4"/>
      <c r="DRR108" s="4"/>
      <c r="DRS108" s="4"/>
      <c r="DRT108" s="4"/>
      <c r="DRU108" s="4"/>
      <c r="DRV108" s="4"/>
      <c r="DRW108" s="4"/>
      <c r="DRX108" s="4"/>
      <c r="DRY108" s="4"/>
      <c r="DRZ108" s="4"/>
      <c r="DSA108" s="4"/>
      <c r="DSB108" s="4"/>
      <c r="DSC108" s="4"/>
      <c r="DSD108" s="4"/>
      <c r="DSE108" s="4"/>
      <c r="DSF108" s="4"/>
      <c r="DSG108" s="4"/>
      <c r="DSH108" s="4"/>
      <c r="DSI108" s="4"/>
      <c r="DSJ108" s="4"/>
      <c r="DSK108" s="4"/>
      <c r="DSL108" s="4"/>
      <c r="DSM108" s="4"/>
      <c r="DSN108" s="4"/>
      <c r="DSO108" s="4"/>
      <c r="DSP108" s="4"/>
      <c r="DSQ108" s="4"/>
      <c r="DSR108" s="4"/>
      <c r="DSS108" s="4"/>
      <c r="DST108" s="4"/>
      <c r="DSU108" s="4"/>
      <c r="DSV108" s="4"/>
      <c r="DSW108" s="4"/>
      <c r="DSX108" s="4"/>
      <c r="DSY108" s="4"/>
      <c r="DSZ108" s="4"/>
      <c r="DTA108" s="4"/>
      <c r="DTB108" s="4"/>
      <c r="DTC108" s="4"/>
      <c r="DTD108" s="4"/>
      <c r="DTE108" s="4"/>
      <c r="DTF108" s="4"/>
      <c r="DTG108" s="4"/>
      <c r="DTH108" s="4"/>
      <c r="DTI108" s="4"/>
      <c r="DTJ108" s="4"/>
      <c r="DTK108" s="4"/>
      <c r="DTL108" s="4"/>
      <c r="DTM108" s="4"/>
      <c r="DTN108" s="4"/>
      <c r="DTO108" s="4"/>
      <c r="DTP108" s="4"/>
      <c r="DTQ108" s="4"/>
      <c r="DTR108" s="4"/>
      <c r="DTS108" s="4"/>
      <c r="DTT108" s="4"/>
      <c r="DTU108" s="4"/>
      <c r="DTV108" s="4"/>
      <c r="DTW108" s="4"/>
      <c r="DTX108" s="4"/>
      <c r="DTY108" s="4"/>
      <c r="DTZ108" s="4"/>
      <c r="DUA108" s="4"/>
      <c r="DUB108" s="4"/>
      <c r="DUC108" s="4"/>
      <c r="DUD108" s="4"/>
      <c r="DUE108" s="4"/>
      <c r="DUF108" s="4"/>
      <c r="DUG108" s="4"/>
      <c r="DUH108" s="4"/>
      <c r="DUI108" s="4"/>
      <c r="DUJ108" s="4"/>
      <c r="DUK108" s="4"/>
      <c r="DUL108" s="4"/>
      <c r="DUM108" s="4"/>
      <c r="DUN108" s="4"/>
      <c r="DUO108" s="4"/>
      <c r="DUP108" s="4"/>
      <c r="DUQ108" s="4"/>
      <c r="DUR108" s="4"/>
      <c r="DUS108" s="4"/>
      <c r="DUT108" s="4"/>
      <c r="DUU108" s="4"/>
      <c r="DUV108" s="4"/>
      <c r="DUW108" s="4"/>
      <c r="DUX108" s="4"/>
      <c r="DUY108" s="4"/>
      <c r="DUZ108" s="4"/>
      <c r="DVA108" s="4"/>
      <c r="DVB108" s="4"/>
      <c r="DVC108" s="4"/>
      <c r="DVD108" s="4"/>
      <c r="DVE108" s="4"/>
      <c r="DVF108" s="4"/>
      <c r="DVG108" s="4"/>
      <c r="DVH108" s="4"/>
      <c r="DVI108" s="4"/>
      <c r="DVJ108" s="4"/>
      <c r="DVK108" s="4"/>
      <c r="DVL108" s="4"/>
      <c r="DVM108" s="4"/>
      <c r="DVN108" s="4"/>
      <c r="DVO108" s="4"/>
      <c r="DVP108" s="4"/>
      <c r="DVQ108" s="4"/>
      <c r="DVR108" s="4"/>
      <c r="DVS108" s="4"/>
      <c r="DVT108" s="4"/>
      <c r="DVU108" s="4"/>
      <c r="DVV108" s="4"/>
      <c r="DVW108" s="4"/>
      <c r="DVX108" s="4"/>
      <c r="DVY108" s="4"/>
      <c r="DVZ108" s="4"/>
      <c r="DWA108" s="4"/>
      <c r="DWB108" s="4"/>
      <c r="DWC108" s="4"/>
      <c r="DWD108" s="4"/>
      <c r="DWE108" s="4"/>
      <c r="DWF108" s="4"/>
      <c r="DWG108" s="4"/>
      <c r="DWH108" s="4"/>
      <c r="DWI108" s="4"/>
      <c r="DWJ108" s="4"/>
      <c r="DWK108" s="4"/>
      <c r="DWL108" s="4"/>
      <c r="DWM108" s="4"/>
      <c r="DWN108" s="4"/>
      <c r="DWO108" s="4"/>
      <c r="DWP108" s="4"/>
      <c r="DWQ108" s="4"/>
      <c r="DWR108" s="4"/>
      <c r="DWS108" s="4"/>
      <c r="DWT108" s="4"/>
      <c r="DWU108" s="4"/>
      <c r="DWV108" s="4"/>
      <c r="DWW108" s="4"/>
      <c r="DWX108" s="4"/>
      <c r="DWY108" s="4"/>
      <c r="DWZ108" s="4"/>
      <c r="DXA108" s="4"/>
      <c r="DXB108" s="4"/>
      <c r="DXC108" s="4"/>
      <c r="DXD108" s="4"/>
      <c r="DXE108" s="4"/>
      <c r="DXF108" s="4"/>
      <c r="DXG108" s="4"/>
      <c r="DXH108" s="4"/>
      <c r="DXI108" s="4"/>
      <c r="DXJ108" s="4"/>
      <c r="DXK108" s="4"/>
      <c r="DXL108" s="4"/>
      <c r="DXM108" s="4"/>
      <c r="DXN108" s="4"/>
      <c r="DXO108" s="4"/>
      <c r="DXP108" s="4"/>
      <c r="DXQ108" s="4"/>
      <c r="DXR108" s="4"/>
      <c r="DXS108" s="4"/>
      <c r="DXT108" s="4"/>
      <c r="DXU108" s="4"/>
      <c r="DXV108" s="4"/>
      <c r="DXW108" s="4"/>
      <c r="DXX108" s="4"/>
      <c r="DXY108" s="4"/>
      <c r="DXZ108" s="4"/>
      <c r="DYA108" s="4"/>
      <c r="DYB108" s="4"/>
      <c r="DYC108" s="4"/>
      <c r="DYD108" s="4"/>
      <c r="DYE108" s="4"/>
      <c r="DYF108" s="4"/>
      <c r="DYG108" s="4"/>
      <c r="DYH108" s="4"/>
      <c r="DYI108" s="4"/>
      <c r="DYJ108" s="4"/>
      <c r="DYK108" s="4"/>
      <c r="DYL108" s="4"/>
      <c r="DYM108" s="4"/>
      <c r="DYN108" s="4"/>
      <c r="DYO108" s="4"/>
      <c r="DYP108" s="4"/>
      <c r="DYQ108" s="4"/>
      <c r="DYR108" s="4"/>
      <c r="DYS108" s="4"/>
      <c r="DYT108" s="4"/>
      <c r="DYU108" s="4"/>
      <c r="DYV108" s="4"/>
      <c r="DYW108" s="4"/>
      <c r="DYX108" s="4"/>
      <c r="DYY108" s="4"/>
      <c r="DYZ108" s="4"/>
      <c r="DZA108" s="4"/>
      <c r="DZB108" s="4"/>
      <c r="DZC108" s="4"/>
      <c r="DZD108" s="4"/>
      <c r="DZE108" s="4"/>
      <c r="DZF108" s="4"/>
      <c r="DZG108" s="4"/>
      <c r="DZH108" s="4"/>
      <c r="DZI108" s="4"/>
      <c r="DZJ108" s="4"/>
      <c r="DZK108" s="4"/>
      <c r="DZL108" s="4"/>
      <c r="DZM108" s="4"/>
      <c r="DZN108" s="4"/>
      <c r="DZO108" s="4"/>
      <c r="DZP108" s="4"/>
      <c r="DZQ108" s="4"/>
      <c r="DZR108" s="4"/>
      <c r="DZS108" s="4"/>
      <c r="DZT108" s="4"/>
      <c r="DZU108" s="4"/>
      <c r="DZV108" s="4"/>
      <c r="DZW108" s="4"/>
      <c r="DZX108" s="4"/>
      <c r="DZY108" s="4"/>
      <c r="DZZ108" s="4"/>
      <c r="EAA108" s="4"/>
      <c r="EAB108" s="4"/>
      <c r="EAC108" s="4"/>
      <c r="EAD108" s="4"/>
      <c r="EAE108" s="4"/>
      <c r="EAF108" s="4"/>
      <c r="EAG108" s="4"/>
      <c r="EAH108" s="4"/>
      <c r="EAI108" s="4"/>
      <c r="EAJ108" s="4"/>
      <c r="EAK108" s="4"/>
      <c r="EAL108" s="4"/>
      <c r="EAM108" s="4"/>
      <c r="EAN108" s="4"/>
      <c r="EAO108" s="4"/>
      <c r="EAP108" s="4"/>
      <c r="EAQ108" s="4"/>
      <c r="EAR108" s="4"/>
      <c r="EAS108" s="4"/>
      <c r="EAT108" s="4"/>
      <c r="EAU108" s="4"/>
      <c r="EAV108" s="4"/>
      <c r="EAW108" s="4"/>
      <c r="EAX108" s="4"/>
      <c r="EAY108" s="4"/>
      <c r="EAZ108" s="4"/>
      <c r="EBA108" s="4"/>
      <c r="EBB108" s="4"/>
      <c r="EBC108" s="4"/>
      <c r="EBD108" s="4"/>
      <c r="EBE108" s="4"/>
      <c r="EBF108" s="4"/>
      <c r="EBG108" s="4"/>
      <c r="EBH108" s="4"/>
      <c r="EBI108" s="4"/>
      <c r="EBJ108" s="4"/>
      <c r="EBK108" s="4"/>
      <c r="EBL108" s="4"/>
      <c r="EBM108" s="4"/>
      <c r="EBN108" s="4"/>
      <c r="EBO108" s="4"/>
      <c r="EBP108" s="4"/>
      <c r="EBQ108" s="4"/>
      <c r="EBR108" s="4"/>
      <c r="EBS108" s="4"/>
      <c r="EBT108" s="4"/>
      <c r="EBU108" s="4"/>
      <c r="EBV108" s="4"/>
      <c r="EBW108" s="4"/>
      <c r="EBX108" s="4"/>
      <c r="EBY108" s="4"/>
      <c r="EBZ108" s="4"/>
      <c r="ECA108" s="4"/>
      <c r="ECB108" s="4"/>
      <c r="ECC108" s="4"/>
      <c r="ECD108" s="4"/>
      <c r="ECE108" s="4"/>
      <c r="ECF108" s="4"/>
      <c r="ECG108" s="4"/>
      <c r="ECH108" s="4"/>
      <c r="ECI108" s="4"/>
      <c r="ECJ108" s="4"/>
      <c r="ECK108" s="4"/>
      <c r="ECL108" s="4"/>
      <c r="ECM108" s="4"/>
      <c r="ECN108" s="4"/>
      <c r="ECO108" s="4"/>
      <c r="ECP108" s="4"/>
      <c r="ECQ108" s="4"/>
      <c r="ECR108" s="4"/>
      <c r="ECS108" s="4"/>
      <c r="ECT108" s="4"/>
      <c r="ECU108" s="4"/>
      <c r="ECV108" s="4"/>
      <c r="ECW108" s="4"/>
      <c r="ECX108" s="4"/>
      <c r="ECY108" s="4"/>
      <c r="ECZ108" s="4"/>
      <c r="EDA108" s="4"/>
      <c r="EDB108" s="4"/>
      <c r="EDC108" s="4"/>
      <c r="EDD108" s="4"/>
      <c r="EDE108" s="4"/>
      <c r="EDF108" s="4"/>
      <c r="EDG108" s="4"/>
      <c r="EDH108" s="4"/>
      <c r="EDI108" s="4"/>
      <c r="EDJ108" s="4"/>
      <c r="EDK108" s="4"/>
      <c r="EDL108" s="4"/>
      <c r="EDM108" s="4"/>
      <c r="EDN108" s="4"/>
      <c r="EDO108" s="4"/>
      <c r="EDP108" s="4"/>
      <c r="EDQ108" s="4"/>
      <c r="EDR108" s="4"/>
      <c r="EDS108" s="4"/>
      <c r="EDT108" s="4"/>
      <c r="EDU108" s="4"/>
      <c r="EDV108" s="4"/>
      <c r="EDW108" s="4"/>
      <c r="EDX108" s="4"/>
      <c r="EDY108" s="4"/>
      <c r="EDZ108" s="4"/>
      <c r="EEA108" s="4"/>
      <c r="EEB108" s="4"/>
      <c r="EEC108" s="4"/>
      <c r="EED108" s="4"/>
      <c r="EEE108" s="4"/>
      <c r="EEF108" s="4"/>
      <c r="EEG108" s="4"/>
      <c r="EEH108" s="4"/>
      <c r="EEI108" s="4"/>
      <c r="EEJ108" s="4"/>
      <c r="EEK108" s="4"/>
      <c r="EEL108" s="4"/>
      <c r="EEM108" s="4"/>
      <c r="EEN108" s="4"/>
      <c r="EEO108" s="4"/>
      <c r="EEP108" s="4"/>
      <c r="EEQ108" s="4"/>
      <c r="EER108" s="4"/>
      <c r="EES108" s="4"/>
      <c r="EET108" s="4"/>
      <c r="EEU108" s="4"/>
      <c r="EEV108" s="4"/>
      <c r="EEW108" s="4"/>
      <c r="EEX108" s="4"/>
      <c r="EEY108" s="4"/>
      <c r="EEZ108" s="4"/>
      <c r="EFA108" s="4"/>
      <c r="EFB108" s="4"/>
      <c r="EFC108" s="4"/>
      <c r="EFD108" s="4"/>
      <c r="EFE108" s="4"/>
      <c r="EFF108" s="4"/>
      <c r="EFG108" s="4"/>
      <c r="EFH108" s="4"/>
      <c r="EFI108" s="4"/>
      <c r="EFJ108" s="4"/>
      <c r="EFK108" s="4"/>
      <c r="EFL108" s="4"/>
      <c r="EFM108" s="4"/>
      <c r="EFN108" s="4"/>
      <c r="EFO108" s="4"/>
      <c r="EFP108" s="4"/>
      <c r="EFQ108" s="4"/>
      <c r="EFR108" s="4"/>
      <c r="EFS108" s="4"/>
      <c r="EFT108" s="4"/>
      <c r="EFU108" s="4"/>
      <c r="EFV108" s="4"/>
      <c r="EFW108" s="4"/>
      <c r="EFX108" s="4"/>
      <c r="EFY108" s="4"/>
      <c r="EFZ108" s="4"/>
      <c r="EGA108" s="4"/>
      <c r="EGB108" s="4"/>
      <c r="EGC108" s="4"/>
      <c r="EGD108" s="4"/>
      <c r="EGE108" s="4"/>
      <c r="EGF108" s="4"/>
      <c r="EGG108" s="4"/>
      <c r="EGH108" s="4"/>
      <c r="EGI108" s="4"/>
      <c r="EGJ108" s="4"/>
      <c r="EGK108" s="4"/>
      <c r="EGL108" s="4"/>
      <c r="EGM108" s="4"/>
      <c r="EGN108" s="4"/>
      <c r="EGO108" s="4"/>
      <c r="EGP108" s="4"/>
      <c r="EGQ108" s="4"/>
      <c r="EGR108" s="4"/>
      <c r="EGS108" s="4"/>
      <c r="EGT108" s="4"/>
      <c r="EGU108" s="4"/>
      <c r="EGV108" s="4"/>
      <c r="EGW108" s="4"/>
      <c r="EGX108" s="4"/>
      <c r="EGY108" s="4"/>
      <c r="EGZ108" s="4"/>
      <c r="EHA108" s="4"/>
      <c r="EHB108" s="4"/>
      <c r="EHC108" s="4"/>
      <c r="EHD108" s="4"/>
      <c r="EHE108" s="4"/>
      <c r="EHF108" s="4"/>
      <c r="EHG108" s="4"/>
      <c r="EHH108" s="4"/>
      <c r="EHI108" s="4"/>
      <c r="EHJ108" s="4"/>
      <c r="EHK108" s="4"/>
      <c r="EHL108" s="4"/>
      <c r="EHM108" s="4"/>
      <c r="EHN108" s="4"/>
      <c r="EHO108" s="4"/>
      <c r="EHP108" s="4"/>
      <c r="EHQ108" s="4"/>
      <c r="EHR108" s="4"/>
      <c r="EHS108" s="4"/>
      <c r="EHT108" s="4"/>
      <c r="EHU108" s="4"/>
      <c r="EHV108" s="4"/>
      <c r="EHW108" s="4"/>
      <c r="EHX108" s="4"/>
      <c r="EHY108" s="4"/>
      <c r="EHZ108" s="4"/>
      <c r="EIA108" s="4"/>
      <c r="EIB108" s="4"/>
      <c r="EIC108" s="4"/>
      <c r="EID108" s="4"/>
      <c r="EIE108" s="4"/>
      <c r="EIF108" s="4"/>
      <c r="EIG108" s="4"/>
      <c r="EIH108" s="4"/>
      <c r="EII108" s="4"/>
      <c r="EIJ108" s="4"/>
      <c r="EIK108" s="4"/>
      <c r="EIL108" s="4"/>
      <c r="EIM108" s="4"/>
      <c r="EIN108" s="4"/>
      <c r="EIO108" s="4"/>
      <c r="EIP108" s="4"/>
      <c r="EIQ108" s="4"/>
      <c r="EIR108" s="4"/>
      <c r="EIS108" s="4"/>
      <c r="EIT108" s="4"/>
      <c r="EIU108" s="4"/>
      <c r="EIV108" s="4"/>
      <c r="EIW108" s="4"/>
      <c r="EIX108" s="4"/>
      <c r="EIY108" s="4"/>
      <c r="EIZ108" s="4"/>
      <c r="EJA108" s="4"/>
      <c r="EJB108" s="4"/>
      <c r="EJC108" s="4"/>
      <c r="EJD108" s="4"/>
      <c r="EJE108" s="4"/>
      <c r="EJF108" s="4"/>
      <c r="EJG108" s="4"/>
      <c r="EJH108" s="4"/>
      <c r="EJI108" s="4"/>
      <c r="EJJ108" s="4"/>
      <c r="EJK108" s="4"/>
      <c r="EJL108" s="4"/>
      <c r="EJM108" s="4"/>
      <c r="EJN108" s="4"/>
      <c r="EJO108" s="4"/>
      <c r="EJP108" s="4"/>
      <c r="EJQ108" s="4"/>
      <c r="EJR108" s="4"/>
      <c r="EJS108" s="4"/>
      <c r="EJT108" s="4"/>
      <c r="EJU108" s="4"/>
      <c r="EJV108" s="4"/>
      <c r="EJW108" s="4"/>
      <c r="EJX108" s="4"/>
      <c r="EJY108" s="4"/>
      <c r="EJZ108" s="4"/>
      <c r="EKA108" s="4"/>
      <c r="EKB108" s="4"/>
      <c r="EKC108" s="4"/>
      <c r="EKD108" s="4"/>
      <c r="EKE108" s="4"/>
      <c r="EKF108" s="4"/>
      <c r="EKG108" s="4"/>
      <c r="EKH108" s="4"/>
      <c r="EKI108" s="4"/>
      <c r="EKJ108" s="4"/>
      <c r="EKK108" s="4"/>
      <c r="EKL108" s="4"/>
      <c r="EKM108" s="4"/>
      <c r="EKN108" s="4"/>
      <c r="EKO108" s="4"/>
      <c r="EKP108" s="4"/>
      <c r="EKQ108" s="4"/>
      <c r="EKR108" s="4"/>
      <c r="EKS108" s="4"/>
      <c r="EKT108" s="4"/>
      <c r="EKU108" s="4"/>
      <c r="EKV108" s="4"/>
      <c r="EKW108" s="4"/>
      <c r="EKX108" s="4"/>
      <c r="EKY108" s="4"/>
      <c r="EKZ108" s="4"/>
      <c r="ELA108" s="4"/>
      <c r="ELB108" s="4"/>
      <c r="ELC108" s="4"/>
      <c r="ELD108" s="4"/>
      <c r="ELE108" s="4"/>
      <c r="ELF108" s="4"/>
      <c r="ELG108" s="4"/>
      <c r="ELH108" s="4"/>
      <c r="ELI108" s="4"/>
      <c r="ELJ108" s="4"/>
      <c r="ELK108" s="4"/>
      <c r="ELL108" s="4"/>
      <c r="ELM108" s="4"/>
      <c r="ELN108" s="4"/>
      <c r="ELO108" s="4"/>
      <c r="ELP108" s="4"/>
      <c r="ELQ108" s="4"/>
      <c r="ELR108" s="4"/>
      <c r="ELS108" s="4"/>
      <c r="ELT108" s="4"/>
      <c r="ELU108" s="4"/>
      <c r="ELV108" s="4"/>
      <c r="ELW108" s="4"/>
      <c r="ELX108" s="4"/>
      <c r="ELY108" s="4"/>
      <c r="ELZ108" s="4"/>
      <c r="EMA108" s="4"/>
      <c r="EMB108" s="4"/>
      <c r="EMC108" s="4"/>
      <c r="EMD108" s="4"/>
      <c r="EME108" s="4"/>
      <c r="EMF108" s="4"/>
      <c r="EMG108" s="4"/>
      <c r="EMH108" s="4"/>
      <c r="EMI108" s="4"/>
      <c r="EMJ108" s="4"/>
      <c r="EMK108" s="4"/>
      <c r="EML108" s="4"/>
      <c r="EMM108" s="4"/>
      <c r="EMN108" s="4"/>
      <c r="EMO108" s="4"/>
      <c r="EMP108" s="4"/>
      <c r="EMQ108" s="4"/>
      <c r="EMR108" s="4"/>
      <c r="EMS108" s="4"/>
      <c r="EMT108" s="4"/>
      <c r="EMU108" s="4"/>
      <c r="EMV108" s="4"/>
      <c r="EMW108" s="4"/>
      <c r="EMX108" s="4"/>
      <c r="EMY108" s="4"/>
      <c r="EMZ108" s="4"/>
      <c r="ENA108" s="4"/>
      <c r="ENB108" s="4"/>
      <c r="ENC108" s="4"/>
      <c r="END108" s="4"/>
      <c r="ENE108" s="4"/>
      <c r="ENF108" s="4"/>
      <c r="ENG108" s="4"/>
      <c r="ENH108" s="4"/>
      <c r="ENI108" s="4"/>
      <c r="ENJ108" s="4"/>
      <c r="ENK108" s="4"/>
      <c r="ENL108" s="4"/>
      <c r="ENM108" s="4"/>
      <c r="ENN108" s="4"/>
      <c r="ENO108" s="4"/>
      <c r="ENP108" s="4"/>
      <c r="ENQ108" s="4"/>
      <c r="ENR108" s="4"/>
      <c r="ENS108" s="4"/>
      <c r="ENT108" s="4"/>
      <c r="ENU108" s="4"/>
      <c r="ENV108" s="4"/>
      <c r="ENW108" s="4"/>
      <c r="ENX108" s="4"/>
      <c r="ENY108" s="4"/>
      <c r="ENZ108" s="4"/>
      <c r="EOA108" s="4"/>
      <c r="EOB108" s="4"/>
      <c r="EOC108" s="4"/>
      <c r="EOD108" s="4"/>
      <c r="EOE108" s="4"/>
      <c r="EOF108" s="4"/>
      <c r="EOG108" s="4"/>
      <c r="EOH108" s="4"/>
      <c r="EOI108" s="4"/>
      <c r="EOJ108" s="4"/>
      <c r="EOK108" s="4"/>
      <c r="EOL108" s="4"/>
      <c r="EOM108" s="4"/>
      <c r="EON108" s="4"/>
      <c r="EOO108" s="4"/>
      <c r="EOP108" s="4"/>
      <c r="EOQ108" s="4"/>
      <c r="EOR108" s="4"/>
      <c r="EOS108" s="4"/>
      <c r="EOT108" s="4"/>
      <c r="EOU108" s="4"/>
      <c r="EOV108" s="4"/>
      <c r="EOW108" s="4"/>
      <c r="EOX108" s="4"/>
      <c r="EOY108" s="4"/>
      <c r="EOZ108" s="4"/>
      <c r="EPA108" s="4"/>
      <c r="EPB108" s="4"/>
      <c r="EPC108" s="4"/>
      <c r="EPD108" s="4"/>
      <c r="EPE108" s="4"/>
      <c r="EPF108" s="4"/>
      <c r="EPG108" s="4"/>
      <c r="EPH108" s="4"/>
      <c r="EPI108" s="4"/>
      <c r="EPJ108" s="4"/>
      <c r="EPK108" s="4"/>
      <c r="EPL108" s="4"/>
      <c r="EPM108" s="4"/>
      <c r="EPN108" s="4"/>
      <c r="EPO108" s="4"/>
      <c r="EPP108" s="4"/>
      <c r="EPQ108" s="4"/>
      <c r="EPR108" s="4"/>
      <c r="EPS108" s="4"/>
      <c r="EPT108" s="4"/>
      <c r="EPU108" s="4"/>
      <c r="EPV108" s="4"/>
      <c r="EPW108" s="4"/>
      <c r="EPX108" s="4"/>
      <c r="EPY108" s="4"/>
      <c r="EPZ108" s="4"/>
      <c r="EQA108" s="4"/>
      <c r="EQB108" s="4"/>
      <c r="EQC108" s="4"/>
      <c r="EQD108" s="4"/>
      <c r="EQE108" s="4"/>
      <c r="EQF108" s="4"/>
      <c r="EQG108" s="4"/>
      <c r="EQH108" s="4"/>
      <c r="EQI108" s="4"/>
      <c r="EQJ108" s="4"/>
      <c r="EQK108" s="4"/>
      <c r="EQL108" s="4"/>
      <c r="EQM108" s="4"/>
      <c r="EQN108" s="4"/>
      <c r="EQO108" s="4"/>
      <c r="EQP108" s="4"/>
      <c r="EQQ108" s="4"/>
      <c r="EQR108" s="4"/>
      <c r="EQS108" s="4"/>
      <c r="EQT108" s="4"/>
      <c r="EQU108" s="4"/>
      <c r="EQV108" s="4"/>
      <c r="EQW108" s="4"/>
      <c r="EQX108" s="4"/>
      <c r="EQY108" s="4"/>
      <c r="EQZ108" s="4"/>
      <c r="ERA108" s="4"/>
      <c r="ERB108" s="4"/>
      <c r="ERC108" s="4"/>
      <c r="ERD108" s="4"/>
      <c r="ERE108" s="4"/>
      <c r="ERF108" s="4"/>
      <c r="ERG108" s="4"/>
      <c r="ERH108" s="4"/>
      <c r="ERI108" s="4"/>
      <c r="ERJ108" s="4"/>
      <c r="ERK108" s="4"/>
      <c r="ERL108" s="4"/>
      <c r="ERM108" s="4"/>
      <c r="ERN108" s="4"/>
      <c r="ERO108" s="4"/>
      <c r="ERP108" s="4"/>
      <c r="ERQ108" s="4"/>
      <c r="ERR108" s="4"/>
      <c r="ERS108" s="4"/>
      <c r="ERT108" s="4"/>
      <c r="ERU108" s="4"/>
      <c r="ERV108" s="4"/>
      <c r="ERW108" s="4"/>
      <c r="ERX108" s="4"/>
      <c r="ERY108" s="4"/>
      <c r="ERZ108" s="4"/>
      <c r="ESA108" s="4"/>
      <c r="ESB108" s="4"/>
      <c r="ESC108" s="4"/>
      <c r="ESD108" s="4"/>
      <c r="ESE108" s="4"/>
      <c r="ESF108" s="4"/>
      <c r="ESG108" s="4"/>
      <c r="ESH108" s="4"/>
      <c r="ESI108" s="4"/>
      <c r="ESJ108" s="4"/>
      <c r="ESK108" s="4"/>
      <c r="ESL108" s="4"/>
      <c r="ESM108" s="4"/>
      <c r="ESN108" s="4"/>
      <c r="ESO108" s="4"/>
      <c r="ESP108" s="4"/>
      <c r="ESQ108" s="4"/>
      <c r="ESR108" s="4"/>
      <c r="ESS108" s="4"/>
      <c r="EST108" s="4"/>
      <c r="ESU108" s="4"/>
      <c r="ESV108" s="4"/>
      <c r="ESW108" s="4"/>
      <c r="ESX108" s="4"/>
      <c r="ESY108" s="4"/>
      <c r="ESZ108" s="4"/>
      <c r="ETA108" s="4"/>
      <c r="ETB108" s="4"/>
      <c r="ETC108" s="4"/>
      <c r="ETD108" s="4"/>
      <c r="ETE108" s="4"/>
      <c r="ETF108" s="4"/>
      <c r="ETG108" s="4"/>
      <c r="ETH108" s="4"/>
      <c r="ETI108" s="4"/>
      <c r="ETJ108" s="4"/>
      <c r="ETK108" s="4"/>
      <c r="ETL108" s="4"/>
      <c r="ETM108" s="4"/>
      <c r="ETN108" s="4"/>
      <c r="ETO108" s="4"/>
      <c r="ETP108" s="4"/>
      <c r="ETQ108" s="4"/>
      <c r="ETR108" s="4"/>
      <c r="ETS108" s="4"/>
      <c r="ETT108" s="4"/>
      <c r="ETU108" s="4"/>
      <c r="ETV108" s="4"/>
      <c r="ETW108" s="4"/>
      <c r="ETX108" s="4"/>
      <c r="ETY108" s="4"/>
      <c r="ETZ108" s="4"/>
      <c r="EUA108" s="4"/>
      <c r="EUB108" s="4"/>
      <c r="EUC108" s="4"/>
      <c r="EUD108" s="4"/>
      <c r="EUE108" s="4"/>
      <c r="EUF108" s="4"/>
      <c r="EUG108" s="4"/>
      <c r="EUH108" s="4"/>
      <c r="EUI108" s="4"/>
      <c r="EUJ108" s="4"/>
      <c r="EUK108" s="4"/>
      <c r="EUL108" s="4"/>
      <c r="EUM108" s="4"/>
      <c r="EUN108" s="4"/>
      <c r="EUO108" s="4"/>
      <c r="EUP108" s="4"/>
      <c r="EUQ108" s="4"/>
      <c r="EUR108" s="4"/>
      <c r="EUS108" s="4"/>
      <c r="EUT108" s="4"/>
      <c r="EUU108" s="4"/>
      <c r="EUV108" s="4"/>
      <c r="EUW108" s="4"/>
      <c r="EUX108" s="4"/>
      <c r="EUY108" s="4"/>
      <c r="EUZ108" s="4"/>
      <c r="EVA108" s="4"/>
      <c r="EVB108" s="4"/>
      <c r="EVC108" s="4"/>
      <c r="EVD108" s="4"/>
      <c r="EVE108" s="4"/>
      <c r="EVF108" s="4"/>
      <c r="EVG108" s="4"/>
      <c r="EVH108" s="4"/>
      <c r="EVI108" s="4"/>
      <c r="EVJ108" s="4"/>
      <c r="EVK108" s="4"/>
      <c r="EVL108" s="4"/>
      <c r="EVM108" s="4"/>
      <c r="EVN108" s="4"/>
      <c r="EVO108" s="4"/>
      <c r="EVP108" s="4"/>
      <c r="EVQ108" s="4"/>
      <c r="EVR108" s="4"/>
      <c r="EVS108" s="4"/>
      <c r="EVT108" s="4"/>
      <c r="EVU108" s="4"/>
      <c r="EVV108" s="4"/>
      <c r="EVW108" s="4"/>
      <c r="EVX108" s="4"/>
      <c r="EVY108" s="4"/>
      <c r="EVZ108" s="4"/>
      <c r="EWA108" s="4"/>
      <c r="EWB108" s="4"/>
      <c r="EWC108" s="4"/>
      <c r="EWD108" s="4"/>
      <c r="EWE108" s="4"/>
      <c r="EWF108" s="4"/>
      <c r="EWG108" s="4"/>
      <c r="EWH108" s="4"/>
      <c r="EWI108" s="4"/>
      <c r="EWJ108" s="4"/>
      <c r="EWK108" s="4"/>
      <c r="EWL108" s="4"/>
      <c r="EWM108" s="4"/>
      <c r="EWN108" s="4"/>
      <c r="EWO108" s="4"/>
      <c r="EWP108" s="4"/>
      <c r="EWQ108" s="4"/>
      <c r="EWR108" s="4"/>
      <c r="EWS108" s="4"/>
      <c r="EWT108" s="4"/>
      <c r="EWU108" s="4"/>
      <c r="EWV108" s="4"/>
      <c r="EWW108" s="4"/>
      <c r="EWX108" s="4"/>
      <c r="EWY108" s="4"/>
      <c r="EWZ108" s="4"/>
      <c r="EXA108" s="4"/>
      <c r="EXB108" s="4"/>
      <c r="EXC108" s="4"/>
      <c r="EXD108" s="4"/>
      <c r="EXE108" s="4"/>
      <c r="EXF108" s="4"/>
      <c r="EXG108" s="4"/>
      <c r="EXH108" s="4"/>
      <c r="EXI108" s="4"/>
      <c r="EXJ108" s="4"/>
      <c r="EXK108" s="4"/>
      <c r="EXL108" s="4"/>
      <c r="EXM108" s="4"/>
      <c r="EXN108" s="4"/>
      <c r="EXO108" s="4"/>
      <c r="EXP108" s="4"/>
      <c r="EXQ108" s="4"/>
      <c r="EXR108" s="4"/>
      <c r="EXS108" s="4"/>
      <c r="EXT108" s="4"/>
      <c r="EXU108" s="4"/>
      <c r="EXV108" s="4"/>
      <c r="EXW108" s="4"/>
      <c r="EXX108" s="4"/>
      <c r="EXY108" s="4"/>
      <c r="EXZ108" s="4"/>
      <c r="EYA108" s="4"/>
      <c r="EYB108" s="4"/>
      <c r="EYC108" s="4"/>
      <c r="EYD108" s="4"/>
      <c r="EYE108" s="4"/>
      <c r="EYF108" s="4"/>
      <c r="EYG108" s="4"/>
      <c r="EYH108" s="4"/>
      <c r="EYI108" s="4"/>
      <c r="EYJ108" s="4"/>
      <c r="EYK108" s="4"/>
      <c r="EYL108" s="4"/>
      <c r="EYM108" s="4"/>
      <c r="EYN108" s="4"/>
      <c r="EYO108" s="4"/>
      <c r="EYP108" s="4"/>
      <c r="EYQ108" s="4"/>
      <c r="EYR108" s="4"/>
      <c r="EYS108" s="4"/>
      <c r="EYT108" s="4"/>
      <c r="EYU108" s="4"/>
      <c r="EYV108" s="4"/>
      <c r="EYW108" s="4"/>
      <c r="EYX108" s="4"/>
      <c r="EYY108" s="4"/>
      <c r="EYZ108" s="4"/>
      <c r="EZA108" s="4"/>
      <c r="EZB108" s="4"/>
      <c r="EZC108" s="4"/>
      <c r="EZD108" s="4"/>
      <c r="EZE108" s="4"/>
      <c r="EZF108" s="4"/>
      <c r="EZG108" s="4"/>
      <c r="EZH108" s="4"/>
      <c r="EZI108" s="4"/>
      <c r="EZJ108" s="4"/>
      <c r="EZK108" s="4"/>
      <c r="EZL108" s="4"/>
      <c r="EZM108" s="4"/>
      <c r="EZN108" s="4"/>
      <c r="EZO108" s="4"/>
      <c r="EZP108" s="4"/>
      <c r="EZQ108" s="4"/>
      <c r="EZR108" s="4"/>
      <c r="EZS108" s="4"/>
      <c r="EZT108" s="4"/>
      <c r="EZU108" s="4"/>
      <c r="EZV108" s="4"/>
      <c r="EZW108" s="4"/>
      <c r="EZX108" s="4"/>
      <c r="EZY108" s="4"/>
      <c r="EZZ108" s="4"/>
      <c r="FAA108" s="4"/>
      <c r="FAB108" s="4"/>
      <c r="FAC108" s="4"/>
      <c r="FAD108" s="4"/>
      <c r="FAE108" s="4"/>
      <c r="FAF108" s="4"/>
      <c r="FAG108" s="4"/>
      <c r="FAH108" s="4"/>
      <c r="FAI108" s="4"/>
      <c r="FAJ108" s="4"/>
      <c r="FAK108" s="4"/>
      <c r="FAL108" s="4"/>
      <c r="FAM108" s="4"/>
      <c r="FAN108" s="4"/>
      <c r="FAO108" s="4"/>
      <c r="FAP108" s="4"/>
      <c r="FAQ108" s="4"/>
      <c r="FAR108" s="4"/>
      <c r="FAS108" s="4"/>
      <c r="FAT108" s="4"/>
      <c r="FAU108" s="4"/>
      <c r="FAV108" s="4"/>
      <c r="FAW108" s="4"/>
      <c r="FAX108" s="4"/>
      <c r="FAY108" s="4"/>
      <c r="FAZ108" s="4"/>
      <c r="FBA108" s="4"/>
      <c r="FBB108" s="4"/>
      <c r="FBC108" s="4"/>
      <c r="FBD108" s="4"/>
      <c r="FBE108" s="4"/>
      <c r="FBF108" s="4"/>
      <c r="FBG108" s="4"/>
      <c r="FBH108" s="4"/>
      <c r="FBI108" s="4"/>
      <c r="FBJ108" s="4"/>
      <c r="FBK108" s="4"/>
      <c r="FBL108" s="4"/>
      <c r="FBM108" s="4"/>
      <c r="FBN108" s="4"/>
      <c r="FBO108" s="4"/>
      <c r="FBP108" s="4"/>
      <c r="FBQ108" s="4"/>
      <c r="FBR108" s="4"/>
      <c r="FBS108" s="4"/>
      <c r="FBT108" s="4"/>
      <c r="FBU108" s="4"/>
      <c r="FBV108" s="4"/>
      <c r="FBW108" s="4"/>
      <c r="FBX108" s="4"/>
      <c r="FBY108" s="4"/>
      <c r="FBZ108" s="4"/>
      <c r="FCA108" s="4"/>
      <c r="FCB108" s="4"/>
      <c r="FCC108" s="4"/>
      <c r="FCD108" s="4"/>
      <c r="FCE108" s="4"/>
      <c r="FCF108" s="4"/>
      <c r="FCG108" s="4"/>
      <c r="FCH108" s="4"/>
      <c r="FCI108" s="4"/>
      <c r="FCJ108" s="4"/>
      <c r="FCK108" s="4"/>
      <c r="FCL108" s="4"/>
      <c r="FCM108" s="4"/>
      <c r="FCN108" s="4"/>
      <c r="FCO108" s="4"/>
      <c r="FCP108" s="4"/>
      <c r="FCQ108" s="4"/>
      <c r="FCR108" s="4"/>
      <c r="FCS108" s="4"/>
      <c r="FCT108" s="4"/>
      <c r="FCU108" s="4"/>
      <c r="FCV108" s="4"/>
      <c r="FCW108" s="4"/>
      <c r="FCX108" s="4"/>
      <c r="FCY108" s="4"/>
      <c r="FCZ108" s="4"/>
      <c r="FDA108" s="4"/>
      <c r="FDB108" s="4"/>
      <c r="FDC108" s="4"/>
      <c r="FDD108" s="4"/>
      <c r="FDE108" s="4"/>
      <c r="FDF108" s="4"/>
      <c r="FDG108" s="4"/>
      <c r="FDH108" s="4"/>
      <c r="FDI108" s="4"/>
      <c r="FDJ108" s="4"/>
      <c r="FDK108" s="4"/>
      <c r="FDL108" s="4"/>
      <c r="FDM108" s="4"/>
      <c r="FDN108" s="4"/>
      <c r="FDO108" s="4"/>
      <c r="FDP108" s="4"/>
      <c r="FDQ108" s="4"/>
      <c r="FDR108" s="4"/>
      <c r="FDS108" s="4"/>
      <c r="FDT108" s="4"/>
      <c r="FDU108" s="4"/>
      <c r="FDV108" s="4"/>
      <c r="FDW108" s="4"/>
      <c r="FDX108" s="4"/>
      <c r="FDY108" s="4"/>
      <c r="FDZ108" s="4"/>
      <c r="FEA108" s="4"/>
      <c r="FEB108" s="4"/>
      <c r="FEC108" s="4"/>
      <c r="FED108" s="4"/>
      <c r="FEE108" s="4"/>
      <c r="FEF108" s="4"/>
      <c r="FEG108" s="4"/>
      <c r="FEH108" s="4"/>
      <c r="FEI108" s="4"/>
      <c r="FEJ108" s="4"/>
      <c r="FEK108" s="4"/>
      <c r="FEL108" s="4"/>
      <c r="FEM108" s="4"/>
      <c r="FEN108" s="4"/>
      <c r="FEO108" s="4"/>
      <c r="FEP108" s="4"/>
      <c r="FEQ108" s="4"/>
      <c r="FER108" s="4"/>
      <c r="FES108" s="4"/>
      <c r="FET108" s="4"/>
      <c r="FEU108" s="4"/>
      <c r="FEV108" s="4"/>
      <c r="FEW108" s="4"/>
      <c r="FEX108" s="4"/>
      <c r="FEY108" s="4"/>
      <c r="FEZ108" s="4"/>
      <c r="FFA108" s="4"/>
      <c r="FFB108" s="4"/>
      <c r="FFC108" s="4"/>
      <c r="FFD108" s="4"/>
      <c r="FFE108" s="4"/>
      <c r="FFF108" s="4"/>
      <c r="FFG108" s="4"/>
      <c r="FFH108" s="4"/>
      <c r="FFI108" s="4"/>
      <c r="FFJ108" s="4"/>
      <c r="FFK108" s="4"/>
      <c r="FFL108" s="4"/>
      <c r="FFM108" s="4"/>
      <c r="FFN108" s="4"/>
      <c r="FFO108" s="4"/>
      <c r="FFP108" s="4"/>
      <c r="FFQ108" s="4"/>
      <c r="FFR108" s="4"/>
      <c r="FFS108" s="4"/>
      <c r="FFT108" s="4"/>
      <c r="FFU108" s="4"/>
      <c r="FFV108" s="4"/>
      <c r="FFW108" s="4"/>
      <c r="FFX108" s="4"/>
      <c r="FFY108" s="4"/>
      <c r="FFZ108" s="4"/>
      <c r="FGA108" s="4"/>
      <c r="FGB108" s="4"/>
      <c r="FGC108" s="4"/>
      <c r="FGD108" s="4"/>
      <c r="FGE108" s="4"/>
      <c r="FGF108" s="4"/>
      <c r="FGG108" s="4"/>
      <c r="FGH108" s="4"/>
      <c r="FGI108" s="4"/>
      <c r="FGJ108" s="4"/>
      <c r="FGK108" s="4"/>
      <c r="FGL108" s="4"/>
      <c r="FGM108" s="4"/>
      <c r="FGN108" s="4"/>
      <c r="FGO108" s="4"/>
      <c r="FGP108" s="4"/>
      <c r="FGQ108" s="4"/>
      <c r="FGR108" s="4"/>
      <c r="FGS108" s="4"/>
      <c r="FGT108" s="4"/>
      <c r="FGU108" s="4"/>
      <c r="FGV108" s="4"/>
      <c r="FGW108" s="4"/>
      <c r="FGX108" s="4"/>
      <c r="FGY108" s="4"/>
      <c r="FGZ108" s="4"/>
      <c r="FHA108" s="4"/>
      <c r="FHB108" s="4"/>
      <c r="FHC108" s="4"/>
      <c r="FHD108" s="4"/>
      <c r="FHE108" s="4"/>
      <c r="FHF108" s="4"/>
      <c r="FHG108" s="4"/>
      <c r="FHH108" s="4"/>
      <c r="FHI108" s="4"/>
      <c r="FHJ108" s="4"/>
      <c r="FHK108" s="4"/>
      <c r="FHL108" s="4"/>
      <c r="FHM108" s="4"/>
      <c r="FHN108" s="4"/>
      <c r="FHO108" s="4"/>
      <c r="FHP108" s="4"/>
      <c r="FHQ108" s="4"/>
      <c r="FHR108" s="4"/>
      <c r="FHS108" s="4"/>
      <c r="FHT108" s="4"/>
      <c r="FHU108" s="4"/>
      <c r="FHV108" s="4"/>
      <c r="FHW108" s="4"/>
      <c r="FHX108" s="4"/>
      <c r="FHY108" s="4"/>
      <c r="FHZ108" s="4"/>
      <c r="FIA108" s="4"/>
      <c r="FIB108" s="4"/>
      <c r="FIC108" s="4"/>
      <c r="FID108" s="4"/>
      <c r="FIE108" s="4"/>
      <c r="FIF108" s="4"/>
      <c r="FIG108" s="4"/>
      <c r="FIH108" s="4"/>
      <c r="FII108" s="4"/>
      <c r="FIJ108" s="4"/>
      <c r="FIK108" s="4"/>
      <c r="FIL108" s="4"/>
      <c r="FIM108" s="4"/>
      <c r="FIN108" s="4"/>
      <c r="FIO108" s="4"/>
      <c r="FIP108" s="4"/>
      <c r="FIQ108" s="4"/>
      <c r="FIR108" s="4"/>
      <c r="FIS108" s="4"/>
      <c r="FIT108" s="4"/>
      <c r="FIU108" s="4"/>
      <c r="FIV108" s="4"/>
      <c r="FIW108" s="4"/>
      <c r="FIX108" s="4"/>
      <c r="FIY108" s="4"/>
      <c r="FIZ108" s="4"/>
      <c r="FJA108" s="4"/>
      <c r="FJB108" s="4"/>
      <c r="FJC108" s="4"/>
      <c r="FJD108" s="4"/>
      <c r="FJE108" s="4"/>
      <c r="FJF108" s="4"/>
      <c r="FJG108" s="4"/>
      <c r="FJH108" s="4"/>
      <c r="FJI108" s="4"/>
      <c r="FJJ108" s="4"/>
      <c r="FJK108" s="4"/>
      <c r="FJL108" s="4"/>
      <c r="FJM108" s="4"/>
      <c r="FJN108" s="4"/>
      <c r="FJO108" s="4"/>
      <c r="FJP108" s="4"/>
      <c r="FJQ108" s="4"/>
      <c r="FJR108" s="4"/>
      <c r="FJS108" s="4"/>
      <c r="FJT108" s="4"/>
      <c r="FJU108" s="4"/>
      <c r="FJV108" s="4"/>
      <c r="FJW108" s="4"/>
      <c r="FJX108" s="4"/>
      <c r="FJY108" s="4"/>
      <c r="FJZ108" s="4"/>
      <c r="FKA108" s="4"/>
      <c r="FKB108" s="4"/>
      <c r="FKC108" s="4"/>
      <c r="FKD108" s="4"/>
      <c r="FKE108" s="4"/>
      <c r="FKF108" s="4"/>
      <c r="FKG108" s="4"/>
      <c r="FKH108" s="4"/>
      <c r="FKI108" s="4"/>
      <c r="FKJ108" s="4"/>
      <c r="FKK108" s="4"/>
      <c r="FKL108" s="4"/>
      <c r="FKM108" s="4"/>
      <c r="FKN108" s="4"/>
      <c r="FKO108" s="4"/>
      <c r="FKP108" s="4"/>
      <c r="FKQ108" s="4"/>
      <c r="FKR108" s="4"/>
      <c r="FKS108" s="4"/>
      <c r="FKT108" s="4"/>
      <c r="FKU108" s="4"/>
      <c r="FKV108" s="4"/>
      <c r="FKW108" s="4"/>
      <c r="FKX108" s="4"/>
      <c r="FKY108" s="4"/>
      <c r="FKZ108" s="4"/>
      <c r="FLA108" s="4"/>
      <c r="FLB108" s="4"/>
      <c r="FLC108" s="4"/>
      <c r="FLD108" s="4"/>
      <c r="FLE108" s="4"/>
      <c r="FLF108" s="4"/>
      <c r="FLG108" s="4"/>
      <c r="FLH108" s="4"/>
      <c r="FLI108" s="4"/>
      <c r="FLJ108" s="4"/>
      <c r="FLK108" s="4"/>
      <c r="FLL108" s="4"/>
      <c r="FLM108" s="4"/>
      <c r="FLN108" s="4"/>
      <c r="FLO108" s="4"/>
      <c r="FLP108" s="4"/>
      <c r="FLQ108" s="4"/>
      <c r="FLR108" s="4"/>
      <c r="FLS108" s="4"/>
      <c r="FLT108" s="4"/>
      <c r="FLU108" s="4"/>
      <c r="FLV108" s="4"/>
      <c r="FLW108" s="4"/>
      <c r="FLX108" s="4"/>
      <c r="FLY108" s="4"/>
      <c r="FLZ108" s="4"/>
      <c r="FMA108" s="4"/>
      <c r="FMB108" s="4"/>
      <c r="FMC108" s="4"/>
      <c r="FMD108" s="4"/>
      <c r="FME108" s="4"/>
      <c r="FMF108" s="4"/>
      <c r="FMG108" s="4"/>
      <c r="FMH108" s="4"/>
      <c r="FMI108" s="4"/>
      <c r="FMJ108" s="4"/>
      <c r="FMK108" s="4"/>
      <c r="FML108" s="4"/>
      <c r="FMM108" s="4"/>
      <c r="FMN108" s="4"/>
      <c r="FMO108" s="4"/>
      <c r="FMP108" s="4"/>
      <c r="FMQ108" s="4"/>
      <c r="FMR108" s="4"/>
      <c r="FMS108" s="4"/>
      <c r="FMT108" s="4"/>
      <c r="FMU108" s="4"/>
      <c r="FMV108" s="4"/>
      <c r="FMW108" s="4"/>
      <c r="FMX108" s="4"/>
      <c r="FMY108" s="4"/>
      <c r="FMZ108" s="4"/>
      <c r="FNA108" s="4"/>
      <c r="FNB108" s="4"/>
      <c r="FNC108" s="4"/>
      <c r="FND108" s="4"/>
      <c r="FNE108" s="4"/>
      <c r="FNF108" s="4"/>
      <c r="FNG108" s="4"/>
      <c r="FNH108" s="4"/>
      <c r="FNI108" s="4"/>
      <c r="FNJ108" s="4"/>
      <c r="FNK108" s="4"/>
      <c r="FNL108" s="4"/>
      <c r="FNM108" s="4"/>
      <c r="FNN108" s="4"/>
      <c r="FNO108" s="4"/>
      <c r="FNP108" s="4"/>
      <c r="FNQ108" s="4"/>
      <c r="FNR108" s="4"/>
      <c r="FNS108" s="4"/>
      <c r="FNT108" s="4"/>
      <c r="FNU108" s="4"/>
      <c r="FNV108" s="4"/>
      <c r="FNW108" s="4"/>
      <c r="FNX108" s="4"/>
      <c r="FNY108" s="4"/>
      <c r="FNZ108" s="4"/>
      <c r="FOA108" s="4"/>
      <c r="FOB108" s="4"/>
      <c r="FOC108" s="4"/>
      <c r="FOD108" s="4"/>
      <c r="FOE108" s="4"/>
      <c r="FOF108" s="4"/>
      <c r="FOG108" s="4"/>
      <c r="FOH108" s="4"/>
      <c r="FOI108" s="4"/>
      <c r="FOJ108" s="4"/>
      <c r="FOK108" s="4"/>
      <c r="FOL108" s="4"/>
      <c r="FOM108" s="4"/>
      <c r="FON108" s="4"/>
      <c r="FOO108" s="4"/>
      <c r="FOP108" s="4"/>
      <c r="FOQ108" s="4"/>
      <c r="FOR108" s="4"/>
      <c r="FOS108" s="4"/>
      <c r="FOT108" s="4"/>
      <c r="FOU108" s="4"/>
      <c r="FOV108" s="4"/>
      <c r="FOW108" s="4"/>
      <c r="FOX108" s="4"/>
      <c r="FOY108" s="4"/>
      <c r="FOZ108" s="4"/>
      <c r="FPA108" s="4"/>
      <c r="FPB108" s="4"/>
      <c r="FPC108" s="4"/>
      <c r="FPD108" s="4"/>
      <c r="FPE108" s="4"/>
      <c r="FPF108" s="4"/>
      <c r="FPG108" s="4"/>
      <c r="FPH108" s="4"/>
      <c r="FPI108" s="4"/>
      <c r="FPJ108" s="4"/>
      <c r="FPK108" s="4"/>
      <c r="FPL108" s="4"/>
      <c r="FPM108" s="4"/>
      <c r="FPN108" s="4"/>
      <c r="FPO108" s="4"/>
      <c r="FPP108" s="4"/>
      <c r="FPQ108" s="4"/>
      <c r="FPR108" s="4"/>
      <c r="FPS108" s="4"/>
      <c r="FPT108" s="4"/>
      <c r="FPU108" s="4"/>
      <c r="FPV108" s="4"/>
      <c r="FPW108" s="4"/>
      <c r="FPX108" s="4"/>
      <c r="FPY108" s="4"/>
      <c r="FPZ108" s="4"/>
      <c r="FQA108" s="4"/>
      <c r="FQB108" s="4"/>
      <c r="FQC108" s="4"/>
      <c r="FQD108" s="4"/>
      <c r="FQE108" s="4"/>
      <c r="FQF108" s="4"/>
      <c r="FQG108" s="4"/>
      <c r="FQH108" s="4"/>
      <c r="FQI108" s="4"/>
      <c r="FQJ108" s="4"/>
      <c r="FQK108" s="4"/>
      <c r="FQL108" s="4"/>
      <c r="FQM108" s="4"/>
      <c r="FQN108" s="4"/>
      <c r="FQO108" s="4"/>
      <c r="FQP108" s="4"/>
      <c r="FQQ108" s="4"/>
      <c r="FQR108" s="4"/>
      <c r="FQS108" s="4"/>
      <c r="FQT108" s="4"/>
      <c r="FQU108" s="4"/>
      <c r="FQV108" s="4"/>
      <c r="FQW108" s="4"/>
      <c r="FQX108" s="4"/>
      <c r="FQY108" s="4"/>
      <c r="FQZ108" s="4"/>
      <c r="FRA108" s="4"/>
      <c r="FRB108" s="4"/>
      <c r="FRC108" s="4"/>
      <c r="FRD108" s="4"/>
      <c r="FRE108" s="4"/>
      <c r="FRF108" s="4"/>
      <c r="FRG108" s="4"/>
      <c r="FRH108" s="4"/>
      <c r="FRI108" s="4"/>
      <c r="FRJ108" s="4"/>
      <c r="FRK108" s="4"/>
      <c r="FRL108" s="4"/>
      <c r="FRM108" s="4"/>
      <c r="FRN108" s="4"/>
      <c r="FRO108" s="4"/>
      <c r="FRP108" s="4"/>
      <c r="FRQ108" s="4"/>
      <c r="FRR108" s="4"/>
      <c r="FRS108" s="4"/>
      <c r="FRT108" s="4"/>
      <c r="FRU108" s="4"/>
      <c r="FRV108" s="4"/>
      <c r="FRW108" s="4"/>
      <c r="FRX108" s="4"/>
      <c r="FRY108" s="4"/>
      <c r="FRZ108" s="4"/>
      <c r="FSA108" s="4"/>
      <c r="FSB108" s="4"/>
      <c r="FSC108" s="4"/>
      <c r="FSD108" s="4"/>
      <c r="FSE108" s="4"/>
      <c r="FSF108" s="4"/>
      <c r="FSG108" s="4"/>
      <c r="FSH108" s="4"/>
      <c r="FSI108" s="4"/>
      <c r="FSJ108" s="4"/>
      <c r="FSK108" s="4"/>
      <c r="FSL108" s="4"/>
      <c r="FSM108" s="4"/>
      <c r="FSN108" s="4"/>
      <c r="FSO108" s="4"/>
      <c r="FSP108" s="4"/>
      <c r="FSQ108" s="4"/>
      <c r="FSR108" s="4"/>
      <c r="FSS108" s="4"/>
      <c r="FST108" s="4"/>
      <c r="FSU108" s="4"/>
      <c r="FSV108" s="4"/>
      <c r="FSW108" s="4"/>
      <c r="FSX108" s="4"/>
      <c r="FSY108" s="4"/>
      <c r="FSZ108" s="4"/>
      <c r="FTA108" s="4"/>
      <c r="FTB108" s="4"/>
      <c r="FTC108" s="4"/>
      <c r="FTD108" s="4"/>
      <c r="FTE108" s="4"/>
      <c r="FTF108" s="4"/>
      <c r="FTG108" s="4"/>
      <c r="FTH108" s="4"/>
      <c r="FTI108" s="4"/>
      <c r="FTJ108" s="4"/>
      <c r="FTK108" s="4"/>
      <c r="FTL108" s="4"/>
      <c r="FTM108" s="4"/>
      <c r="FTN108" s="4"/>
      <c r="FTO108" s="4"/>
      <c r="FTP108" s="4"/>
      <c r="FTQ108" s="4"/>
      <c r="FTR108" s="4"/>
      <c r="FTS108" s="4"/>
      <c r="FTT108" s="4"/>
      <c r="FTU108" s="4"/>
      <c r="FTV108" s="4"/>
      <c r="FTW108" s="4"/>
      <c r="FTX108" s="4"/>
      <c r="FTY108" s="4"/>
      <c r="FTZ108" s="4"/>
      <c r="FUA108" s="4"/>
      <c r="FUB108" s="4"/>
      <c r="FUC108" s="4"/>
      <c r="FUD108" s="4"/>
      <c r="FUE108" s="4"/>
      <c r="FUF108" s="4"/>
      <c r="FUG108" s="4"/>
      <c r="FUH108" s="4"/>
      <c r="FUI108" s="4"/>
      <c r="FUJ108" s="4"/>
      <c r="FUK108" s="4"/>
      <c r="FUL108" s="4"/>
      <c r="FUM108" s="4"/>
      <c r="FUN108" s="4"/>
      <c r="FUO108" s="4"/>
      <c r="FUP108" s="4"/>
      <c r="FUQ108" s="4"/>
      <c r="FUR108" s="4"/>
      <c r="FUS108" s="4"/>
      <c r="FUT108" s="4"/>
      <c r="FUU108" s="4"/>
      <c r="FUV108" s="4"/>
      <c r="FUW108" s="4"/>
      <c r="FUX108" s="4"/>
      <c r="FUY108" s="4"/>
      <c r="FUZ108" s="4"/>
      <c r="FVA108" s="4"/>
      <c r="FVB108" s="4"/>
      <c r="FVC108" s="4"/>
      <c r="FVD108" s="4"/>
      <c r="FVE108" s="4"/>
      <c r="FVF108" s="4"/>
      <c r="FVG108" s="4"/>
      <c r="FVH108" s="4"/>
      <c r="FVI108" s="4"/>
      <c r="FVJ108" s="4"/>
      <c r="FVK108" s="4"/>
      <c r="FVL108" s="4"/>
      <c r="FVM108" s="4"/>
      <c r="FVN108" s="4"/>
      <c r="FVO108" s="4"/>
      <c r="FVP108" s="4"/>
      <c r="FVQ108" s="4"/>
      <c r="FVR108" s="4"/>
      <c r="FVS108" s="4"/>
      <c r="FVT108" s="4"/>
      <c r="FVU108" s="4"/>
      <c r="FVV108" s="4"/>
      <c r="FVW108" s="4"/>
      <c r="FVX108" s="4"/>
      <c r="FVY108" s="4"/>
      <c r="FVZ108" s="4"/>
      <c r="FWA108" s="4"/>
      <c r="FWB108" s="4"/>
      <c r="FWC108" s="4"/>
      <c r="FWD108" s="4"/>
      <c r="FWE108" s="4"/>
      <c r="FWF108" s="4"/>
      <c r="FWG108" s="4"/>
      <c r="FWH108" s="4"/>
      <c r="FWI108" s="4"/>
      <c r="FWJ108" s="4"/>
      <c r="FWK108" s="4"/>
      <c r="FWL108" s="4"/>
      <c r="FWM108" s="4"/>
      <c r="FWN108" s="4"/>
      <c r="FWO108" s="4"/>
      <c r="FWP108" s="4"/>
      <c r="FWQ108" s="4"/>
      <c r="FWR108" s="4"/>
      <c r="FWS108" s="4"/>
      <c r="FWT108" s="4"/>
      <c r="FWU108" s="4"/>
      <c r="FWV108" s="4"/>
      <c r="FWW108" s="4"/>
      <c r="FWX108" s="4"/>
      <c r="FWY108" s="4"/>
      <c r="FWZ108" s="4"/>
      <c r="FXA108" s="4"/>
      <c r="FXB108" s="4"/>
      <c r="FXC108" s="4"/>
      <c r="FXD108" s="4"/>
      <c r="FXE108" s="4"/>
      <c r="FXF108" s="4"/>
      <c r="FXG108" s="4"/>
      <c r="FXH108" s="4"/>
      <c r="FXI108" s="4"/>
      <c r="FXJ108" s="4"/>
      <c r="FXK108" s="4"/>
      <c r="FXL108" s="4"/>
      <c r="FXM108" s="4"/>
      <c r="FXN108" s="4"/>
      <c r="FXO108" s="4"/>
      <c r="FXP108" s="4"/>
      <c r="FXQ108" s="4"/>
      <c r="FXR108" s="4"/>
      <c r="FXS108" s="4"/>
      <c r="FXT108" s="4"/>
      <c r="FXU108" s="4"/>
      <c r="FXV108" s="4"/>
      <c r="FXW108" s="4"/>
      <c r="FXX108" s="4"/>
      <c r="FXY108" s="4"/>
      <c r="FXZ108" s="4"/>
      <c r="FYA108" s="4"/>
      <c r="FYB108" s="4"/>
      <c r="FYC108" s="4"/>
      <c r="FYD108" s="4"/>
      <c r="FYE108" s="4"/>
      <c r="FYF108" s="4"/>
      <c r="FYG108" s="4"/>
      <c r="FYH108" s="4"/>
      <c r="FYI108" s="4"/>
      <c r="FYJ108" s="4"/>
      <c r="FYK108" s="4"/>
      <c r="FYL108" s="4"/>
      <c r="FYM108" s="4"/>
      <c r="FYN108" s="4"/>
      <c r="FYO108" s="4"/>
      <c r="FYP108" s="4"/>
      <c r="FYQ108" s="4"/>
      <c r="FYR108" s="4"/>
      <c r="FYS108" s="4"/>
      <c r="FYT108" s="4"/>
      <c r="FYU108" s="4"/>
      <c r="FYV108" s="4"/>
      <c r="FYW108" s="4"/>
      <c r="FYX108" s="4"/>
      <c r="FYY108" s="4"/>
      <c r="FYZ108" s="4"/>
      <c r="FZA108" s="4"/>
      <c r="FZB108" s="4"/>
      <c r="FZC108" s="4"/>
      <c r="FZD108" s="4"/>
      <c r="FZE108" s="4"/>
      <c r="FZF108" s="4"/>
      <c r="FZG108" s="4"/>
      <c r="FZH108" s="4"/>
      <c r="FZI108" s="4"/>
      <c r="FZJ108" s="4"/>
      <c r="FZK108" s="4"/>
      <c r="FZL108" s="4"/>
      <c r="FZM108" s="4"/>
      <c r="FZN108" s="4"/>
      <c r="FZO108" s="4"/>
      <c r="FZP108" s="4"/>
      <c r="FZQ108" s="4"/>
      <c r="FZR108" s="4"/>
      <c r="FZS108" s="4"/>
      <c r="FZT108" s="4"/>
      <c r="FZU108" s="4"/>
      <c r="FZV108" s="4"/>
      <c r="FZW108" s="4"/>
      <c r="FZX108" s="4"/>
      <c r="FZY108" s="4"/>
      <c r="FZZ108" s="4"/>
      <c r="GAA108" s="4"/>
      <c r="GAB108" s="4"/>
      <c r="GAC108" s="4"/>
      <c r="GAD108" s="4"/>
      <c r="GAE108" s="4"/>
      <c r="GAF108" s="4"/>
      <c r="GAG108" s="4"/>
      <c r="GAH108" s="4"/>
      <c r="GAI108" s="4"/>
      <c r="GAJ108" s="4"/>
      <c r="GAK108" s="4"/>
      <c r="GAL108" s="4"/>
      <c r="GAM108" s="4"/>
      <c r="GAN108" s="4"/>
      <c r="GAO108" s="4"/>
      <c r="GAP108" s="4"/>
      <c r="GAQ108" s="4"/>
      <c r="GAR108" s="4"/>
      <c r="GAS108" s="4"/>
      <c r="GAT108" s="4"/>
      <c r="GAU108" s="4"/>
      <c r="GAV108" s="4"/>
      <c r="GAW108" s="4"/>
      <c r="GAX108" s="4"/>
      <c r="GAY108" s="4"/>
      <c r="GAZ108" s="4"/>
      <c r="GBA108" s="4"/>
      <c r="GBB108" s="4"/>
      <c r="GBC108" s="4"/>
      <c r="GBD108" s="4"/>
      <c r="GBE108" s="4"/>
      <c r="GBF108" s="4"/>
      <c r="GBG108" s="4"/>
      <c r="GBH108" s="4"/>
      <c r="GBI108" s="4"/>
      <c r="GBJ108" s="4"/>
      <c r="GBK108" s="4"/>
      <c r="GBL108" s="4"/>
      <c r="GBM108" s="4"/>
      <c r="GBN108" s="4"/>
      <c r="GBO108" s="4"/>
      <c r="GBP108" s="4"/>
      <c r="GBQ108" s="4"/>
      <c r="GBR108" s="4"/>
      <c r="GBS108" s="4"/>
      <c r="GBT108" s="4"/>
      <c r="GBU108" s="4"/>
      <c r="GBV108" s="4"/>
      <c r="GBW108" s="4"/>
      <c r="GBX108" s="4"/>
      <c r="GBY108" s="4"/>
      <c r="GBZ108" s="4"/>
      <c r="GCA108" s="4"/>
      <c r="GCB108" s="4"/>
      <c r="GCC108" s="4"/>
      <c r="GCD108" s="4"/>
      <c r="GCE108" s="4"/>
      <c r="GCF108" s="4"/>
      <c r="GCG108" s="4"/>
      <c r="GCH108" s="4"/>
      <c r="GCI108" s="4"/>
      <c r="GCJ108" s="4"/>
      <c r="GCK108" s="4"/>
      <c r="GCL108" s="4"/>
      <c r="GCM108" s="4"/>
      <c r="GCN108" s="4"/>
      <c r="GCO108" s="4"/>
      <c r="GCP108" s="4"/>
      <c r="GCQ108" s="4"/>
      <c r="GCR108" s="4"/>
      <c r="GCS108" s="4"/>
      <c r="GCT108" s="4"/>
      <c r="GCU108" s="4"/>
      <c r="GCV108" s="4"/>
      <c r="GCW108" s="4"/>
      <c r="GCX108" s="4"/>
      <c r="GCY108" s="4"/>
      <c r="GCZ108" s="4"/>
      <c r="GDA108" s="4"/>
      <c r="GDB108" s="4"/>
      <c r="GDC108" s="4"/>
      <c r="GDD108" s="4"/>
      <c r="GDE108" s="4"/>
      <c r="GDF108" s="4"/>
      <c r="GDG108" s="4"/>
      <c r="GDH108" s="4"/>
      <c r="GDI108" s="4"/>
      <c r="GDJ108" s="4"/>
      <c r="GDK108" s="4"/>
      <c r="GDL108" s="4"/>
      <c r="GDM108" s="4"/>
      <c r="GDN108" s="4"/>
      <c r="GDO108" s="4"/>
      <c r="GDP108" s="4"/>
      <c r="GDQ108" s="4"/>
      <c r="GDR108" s="4"/>
      <c r="GDS108" s="4"/>
      <c r="GDT108" s="4"/>
      <c r="GDU108" s="4"/>
      <c r="GDV108" s="4"/>
      <c r="GDW108" s="4"/>
      <c r="GDX108" s="4"/>
      <c r="GDY108" s="4"/>
      <c r="GDZ108" s="4"/>
      <c r="GEA108" s="4"/>
      <c r="GEB108" s="4"/>
      <c r="GEC108" s="4"/>
      <c r="GED108" s="4"/>
      <c r="GEE108" s="4"/>
      <c r="GEF108" s="4"/>
      <c r="GEG108" s="4"/>
      <c r="GEH108" s="4"/>
      <c r="GEI108" s="4"/>
      <c r="GEJ108" s="4"/>
      <c r="GEK108" s="4"/>
      <c r="GEL108" s="4"/>
      <c r="GEM108" s="4"/>
      <c r="GEN108" s="4"/>
      <c r="GEO108" s="4"/>
      <c r="GEP108" s="4"/>
      <c r="GEQ108" s="4"/>
      <c r="GER108" s="4"/>
      <c r="GES108" s="4"/>
      <c r="GET108" s="4"/>
      <c r="GEU108" s="4"/>
      <c r="GEV108" s="4"/>
      <c r="GEW108" s="4"/>
      <c r="GEX108" s="4"/>
      <c r="GEY108" s="4"/>
      <c r="GEZ108" s="4"/>
      <c r="GFA108" s="4"/>
      <c r="GFB108" s="4"/>
      <c r="GFC108" s="4"/>
      <c r="GFD108" s="4"/>
      <c r="GFE108" s="4"/>
      <c r="GFF108" s="4"/>
      <c r="GFG108" s="4"/>
      <c r="GFH108" s="4"/>
      <c r="GFI108" s="4"/>
      <c r="GFJ108" s="4"/>
      <c r="GFK108" s="4"/>
      <c r="GFL108" s="4"/>
      <c r="GFM108" s="4"/>
      <c r="GFN108" s="4"/>
      <c r="GFO108" s="4"/>
      <c r="GFP108" s="4"/>
      <c r="GFQ108" s="4"/>
      <c r="GFR108" s="4"/>
      <c r="GFS108" s="4"/>
      <c r="GFT108" s="4"/>
      <c r="GFU108" s="4"/>
      <c r="GFV108" s="4"/>
      <c r="GFW108" s="4"/>
      <c r="GFX108" s="4"/>
      <c r="GFY108" s="4"/>
      <c r="GFZ108" s="4"/>
      <c r="GGA108" s="4"/>
      <c r="GGB108" s="4"/>
      <c r="GGC108" s="4"/>
      <c r="GGD108" s="4"/>
      <c r="GGE108" s="4"/>
      <c r="GGF108" s="4"/>
      <c r="GGG108" s="4"/>
      <c r="GGH108" s="4"/>
      <c r="GGI108" s="4"/>
      <c r="GGJ108" s="4"/>
      <c r="GGK108" s="4"/>
      <c r="GGL108" s="4"/>
      <c r="GGM108" s="4"/>
      <c r="GGN108" s="4"/>
      <c r="GGO108" s="4"/>
      <c r="GGP108" s="4"/>
      <c r="GGQ108" s="4"/>
      <c r="GGR108" s="4"/>
      <c r="GGS108" s="4"/>
      <c r="GGT108" s="4"/>
      <c r="GGU108" s="4"/>
      <c r="GGV108" s="4"/>
      <c r="GGW108" s="4"/>
      <c r="GGX108" s="4"/>
      <c r="GGY108" s="4"/>
      <c r="GGZ108" s="4"/>
      <c r="GHA108" s="4"/>
      <c r="GHB108" s="4"/>
      <c r="GHC108" s="4"/>
      <c r="GHD108" s="4"/>
      <c r="GHE108" s="4"/>
      <c r="GHF108" s="4"/>
      <c r="GHG108" s="4"/>
      <c r="GHH108" s="4"/>
      <c r="GHI108" s="4"/>
      <c r="GHJ108" s="4"/>
      <c r="GHK108" s="4"/>
      <c r="GHL108" s="4"/>
      <c r="GHM108" s="4"/>
      <c r="GHN108" s="4"/>
      <c r="GHO108" s="4"/>
      <c r="GHP108" s="4"/>
      <c r="GHQ108" s="4"/>
      <c r="GHR108" s="4"/>
      <c r="GHS108" s="4"/>
      <c r="GHT108" s="4"/>
      <c r="GHU108" s="4"/>
      <c r="GHV108" s="4"/>
      <c r="GHW108" s="4"/>
      <c r="GHX108" s="4"/>
      <c r="GHY108" s="4"/>
      <c r="GHZ108" s="4"/>
      <c r="GIA108" s="4"/>
      <c r="GIB108" s="4"/>
      <c r="GIC108" s="4"/>
      <c r="GID108" s="4"/>
      <c r="GIE108" s="4"/>
      <c r="GIF108" s="4"/>
      <c r="GIG108" s="4"/>
      <c r="GIH108" s="4"/>
      <c r="GII108" s="4"/>
      <c r="GIJ108" s="4"/>
      <c r="GIK108" s="4"/>
      <c r="GIL108" s="4"/>
      <c r="GIM108" s="4"/>
      <c r="GIN108" s="4"/>
      <c r="GIO108" s="4"/>
      <c r="GIP108" s="4"/>
      <c r="GIQ108" s="4"/>
      <c r="GIR108" s="4"/>
      <c r="GIS108" s="4"/>
      <c r="GIT108" s="4"/>
      <c r="GIU108" s="4"/>
      <c r="GIV108" s="4"/>
      <c r="GIW108" s="4"/>
      <c r="GIX108" s="4"/>
      <c r="GIY108" s="4"/>
      <c r="GIZ108" s="4"/>
      <c r="GJA108" s="4"/>
      <c r="GJB108" s="4"/>
      <c r="GJC108" s="4"/>
      <c r="GJD108" s="4"/>
      <c r="GJE108" s="4"/>
      <c r="GJF108" s="4"/>
      <c r="GJG108" s="4"/>
      <c r="GJH108" s="4"/>
      <c r="GJI108" s="4"/>
      <c r="GJJ108" s="4"/>
      <c r="GJK108" s="4"/>
      <c r="GJL108" s="4"/>
      <c r="GJM108" s="4"/>
      <c r="GJN108" s="4"/>
      <c r="GJO108" s="4"/>
      <c r="GJP108" s="4"/>
      <c r="GJQ108" s="4"/>
      <c r="GJR108" s="4"/>
      <c r="GJS108" s="4"/>
      <c r="GJT108" s="4"/>
      <c r="GJU108" s="4"/>
      <c r="GJV108" s="4"/>
      <c r="GJW108" s="4"/>
      <c r="GJX108" s="4"/>
      <c r="GJY108" s="4"/>
      <c r="GJZ108" s="4"/>
      <c r="GKA108" s="4"/>
      <c r="GKB108" s="4"/>
      <c r="GKC108" s="4"/>
      <c r="GKD108" s="4"/>
      <c r="GKE108" s="4"/>
      <c r="GKF108" s="4"/>
      <c r="GKG108" s="4"/>
      <c r="GKH108" s="4"/>
      <c r="GKI108" s="4"/>
      <c r="GKJ108" s="4"/>
      <c r="GKK108" s="4"/>
      <c r="GKL108" s="4"/>
      <c r="GKM108" s="4"/>
      <c r="GKN108" s="4"/>
      <c r="GKO108" s="4"/>
      <c r="GKP108" s="4"/>
      <c r="GKQ108" s="4"/>
      <c r="GKR108" s="4"/>
      <c r="GKS108" s="4"/>
      <c r="GKT108" s="4"/>
      <c r="GKU108" s="4"/>
      <c r="GKV108" s="4"/>
      <c r="GKW108" s="4"/>
      <c r="GKX108" s="4"/>
      <c r="GKY108" s="4"/>
      <c r="GKZ108" s="4"/>
      <c r="GLA108" s="4"/>
      <c r="GLB108" s="4"/>
      <c r="GLC108" s="4"/>
      <c r="GLD108" s="4"/>
      <c r="GLE108" s="4"/>
      <c r="GLF108" s="4"/>
      <c r="GLG108" s="4"/>
      <c r="GLH108" s="4"/>
      <c r="GLI108" s="4"/>
      <c r="GLJ108" s="4"/>
      <c r="GLK108" s="4"/>
      <c r="GLL108" s="4"/>
      <c r="GLM108" s="4"/>
      <c r="GLN108" s="4"/>
      <c r="GLO108" s="4"/>
      <c r="GLP108" s="4"/>
      <c r="GLQ108" s="4"/>
      <c r="GLR108" s="4"/>
      <c r="GLS108" s="4"/>
      <c r="GLT108" s="4"/>
      <c r="GLU108" s="4"/>
      <c r="GLV108" s="4"/>
      <c r="GLW108" s="4"/>
      <c r="GLX108" s="4"/>
      <c r="GLY108" s="4"/>
      <c r="GLZ108" s="4"/>
      <c r="GMA108" s="4"/>
      <c r="GMB108" s="4"/>
      <c r="GMC108" s="4"/>
      <c r="GMD108" s="4"/>
      <c r="GME108" s="4"/>
      <c r="GMF108" s="4"/>
      <c r="GMG108" s="4"/>
      <c r="GMH108" s="4"/>
      <c r="GMI108" s="4"/>
      <c r="GMJ108" s="4"/>
      <c r="GMK108" s="4"/>
      <c r="GML108" s="4"/>
      <c r="GMM108" s="4"/>
      <c r="GMN108" s="4"/>
      <c r="GMO108" s="4"/>
      <c r="GMP108" s="4"/>
      <c r="GMQ108" s="4"/>
      <c r="GMR108" s="4"/>
      <c r="GMS108" s="4"/>
      <c r="GMT108" s="4"/>
      <c r="GMU108" s="4"/>
      <c r="GMV108" s="4"/>
      <c r="GMW108" s="4"/>
      <c r="GMX108" s="4"/>
      <c r="GMY108" s="4"/>
      <c r="GMZ108" s="4"/>
      <c r="GNA108" s="4"/>
      <c r="GNB108" s="4"/>
      <c r="GNC108" s="4"/>
      <c r="GND108" s="4"/>
      <c r="GNE108" s="4"/>
      <c r="GNF108" s="4"/>
      <c r="GNG108" s="4"/>
      <c r="GNH108" s="4"/>
      <c r="GNI108" s="4"/>
      <c r="GNJ108" s="4"/>
      <c r="GNK108" s="4"/>
      <c r="GNL108" s="4"/>
      <c r="GNM108" s="4"/>
      <c r="GNN108" s="4"/>
      <c r="GNO108" s="4"/>
      <c r="GNP108" s="4"/>
      <c r="GNQ108" s="4"/>
      <c r="GNR108" s="4"/>
      <c r="GNS108" s="4"/>
      <c r="GNT108" s="4"/>
      <c r="GNU108" s="4"/>
      <c r="GNV108" s="4"/>
      <c r="GNW108" s="4"/>
      <c r="GNX108" s="4"/>
      <c r="GNY108" s="4"/>
      <c r="GNZ108" s="4"/>
      <c r="GOA108" s="4"/>
      <c r="GOB108" s="4"/>
      <c r="GOC108" s="4"/>
      <c r="GOD108" s="4"/>
      <c r="GOE108" s="4"/>
      <c r="GOF108" s="4"/>
      <c r="GOG108" s="4"/>
      <c r="GOH108" s="4"/>
      <c r="GOI108" s="4"/>
      <c r="GOJ108" s="4"/>
      <c r="GOK108" s="4"/>
      <c r="GOL108" s="4"/>
      <c r="GOM108" s="4"/>
      <c r="GON108" s="4"/>
      <c r="GOO108" s="4"/>
      <c r="GOP108" s="4"/>
      <c r="GOQ108" s="4"/>
      <c r="GOR108" s="4"/>
      <c r="GOS108" s="4"/>
      <c r="GOT108" s="4"/>
      <c r="GOU108" s="4"/>
      <c r="GOV108" s="4"/>
      <c r="GOW108" s="4"/>
      <c r="GOX108" s="4"/>
      <c r="GOY108" s="4"/>
      <c r="GOZ108" s="4"/>
      <c r="GPA108" s="4"/>
      <c r="GPB108" s="4"/>
      <c r="GPC108" s="4"/>
      <c r="GPD108" s="4"/>
      <c r="GPE108" s="4"/>
      <c r="GPF108" s="4"/>
      <c r="GPG108" s="4"/>
      <c r="GPH108" s="4"/>
      <c r="GPI108" s="4"/>
      <c r="GPJ108" s="4"/>
      <c r="GPK108" s="4"/>
      <c r="GPL108" s="4"/>
      <c r="GPM108" s="4"/>
      <c r="GPN108" s="4"/>
      <c r="GPO108" s="4"/>
      <c r="GPP108" s="4"/>
      <c r="GPQ108" s="4"/>
      <c r="GPR108" s="4"/>
      <c r="GPS108" s="4"/>
      <c r="GPT108" s="4"/>
      <c r="GPU108" s="4"/>
      <c r="GPV108" s="4"/>
      <c r="GPW108" s="4"/>
      <c r="GPX108" s="4"/>
      <c r="GPY108" s="4"/>
      <c r="GPZ108" s="4"/>
      <c r="GQA108" s="4"/>
      <c r="GQB108" s="4"/>
      <c r="GQC108" s="4"/>
      <c r="GQD108" s="4"/>
      <c r="GQE108" s="4"/>
      <c r="GQF108" s="4"/>
      <c r="GQG108" s="4"/>
      <c r="GQH108" s="4"/>
      <c r="GQI108" s="4"/>
      <c r="GQJ108" s="4"/>
      <c r="GQK108" s="4"/>
      <c r="GQL108" s="4"/>
      <c r="GQM108" s="4"/>
      <c r="GQN108" s="4"/>
      <c r="GQO108" s="4"/>
      <c r="GQP108" s="4"/>
      <c r="GQQ108" s="4"/>
      <c r="GQR108" s="4"/>
      <c r="GQS108" s="4"/>
      <c r="GQT108" s="4"/>
      <c r="GQU108" s="4"/>
      <c r="GQV108" s="4"/>
      <c r="GQW108" s="4"/>
      <c r="GQX108" s="4"/>
      <c r="GQY108" s="4"/>
      <c r="GQZ108" s="4"/>
      <c r="GRA108" s="4"/>
      <c r="GRB108" s="4"/>
      <c r="GRC108" s="4"/>
      <c r="GRD108" s="4"/>
      <c r="GRE108" s="4"/>
      <c r="GRF108" s="4"/>
      <c r="GRG108" s="4"/>
      <c r="GRH108" s="4"/>
      <c r="GRI108" s="4"/>
      <c r="GRJ108" s="4"/>
      <c r="GRK108" s="4"/>
      <c r="GRL108" s="4"/>
      <c r="GRM108" s="4"/>
      <c r="GRN108" s="4"/>
      <c r="GRO108" s="4"/>
      <c r="GRP108" s="4"/>
      <c r="GRQ108" s="4"/>
      <c r="GRR108" s="4"/>
      <c r="GRS108" s="4"/>
      <c r="GRT108" s="4"/>
      <c r="GRU108" s="4"/>
      <c r="GRV108" s="4"/>
      <c r="GRW108" s="4"/>
      <c r="GRX108" s="4"/>
      <c r="GRY108" s="4"/>
      <c r="GRZ108" s="4"/>
      <c r="GSA108" s="4"/>
      <c r="GSB108" s="4"/>
      <c r="GSC108" s="4"/>
      <c r="GSD108" s="4"/>
      <c r="GSE108" s="4"/>
      <c r="GSF108" s="4"/>
      <c r="GSG108" s="4"/>
      <c r="GSH108" s="4"/>
      <c r="GSI108" s="4"/>
      <c r="GSJ108" s="4"/>
      <c r="GSK108" s="4"/>
      <c r="GSL108" s="4"/>
      <c r="GSM108" s="4"/>
      <c r="GSN108" s="4"/>
      <c r="GSO108" s="4"/>
      <c r="GSP108" s="4"/>
      <c r="GSQ108" s="4"/>
      <c r="GSR108" s="4"/>
      <c r="GSS108" s="4"/>
      <c r="GST108" s="4"/>
      <c r="GSU108" s="4"/>
      <c r="GSV108" s="4"/>
      <c r="GSW108" s="4"/>
      <c r="GSX108" s="4"/>
      <c r="GSY108" s="4"/>
      <c r="GSZ108" s="4"/>
      <c r="GTA108" s="4"/>
      <c r="GTB108" s="4"/>
      <c r="GTC108" s="4"/>
      <c r="GTD108" s="4"/>
      <c r="GTE108" s="4"/>
      <c r="GTF108" s="4"/>
      <c r="GTG108" s="4"/>
      <c r="GTH108" s="4"/>
      <c r="GTI108" s="4"/>
      <c r="GTJ108" s="4"/>
      <c r="GTK108" s="4"/>
      <c r="GTL108" s="4"/>
      <c r="GTM108" s="4"/>
      <c r="GTN108" s="4"/>
      <c r="GTO108" s="4"/>
      <c r="GTP108" s="4"/>
      <c r="GTQ108" s="4"/>
      <c r="GTR108" s="4"/>
      <c r="GTS108" s="4"/>
      <c r="GTT108" s="4"/>
      <c r="GTU108" s="4"/>
      <c r="GTV108" s="4"/>
      <c r="GTW108" s="4"/>
      <c r="GTX108" s="4"/>
      <c r="GTY108" s="4"/>
      <c r="GTZ108" s="4"/>
      <c r="GUA108" s="4"/>
      <c r="GUB108" s="4"/>
      <c r="GUC108" s="4"/>
      <c r="GUD108" s="4"/>
      <c r="GUE108" s="4"/>
      <c r="GUF108" s="4"/>
      <c r="GUG108" s="4"/>
      <c r="GUH108" s="4"/>
      <c r="GUI108" s="4"/>
      <c r="GUJ108" s="4"/>
      <c r="GUK108" s="4"/>
      <c r="GUL108" s="4"/>
      <c r="GUM108" s="4"/>
      <c r="GUN108" s="4"/>
      <c r="GUO108" s="4"/>
      <c r="GUP108" s="4"/>
      <c r="GUQ108" s="4"/>
      <c r="GUR108" s="4"/>
      <c r="GUS108" s="4"/>
      <c r="GUT108" s="4"/>
      <c r="GUU108" s="4"/>
      <c r="GUV108" s="4"/>
      <c r="GUW108" s="4"/>
      <c r="GUX108" s="4"/>
      <c r="GUY108" s="4"/>
      <c r="GUZ108" s="4"/>
      <c r="GVA108" s="4"/>
      <c r="GVB108" s="4"/>
      <c r="GVC108" s="4"/>
      <c r="GVD108" s="4"/>
      <c r="GVE108" s="4"/>
      <c r="GVF108" s="4"/>
      <c r="GVG108" s="4"/>
      <c r="GVH108" s="4"/>
      <c r="GVI108" s="4"/>
      <c r="GVJ108" s="4"/>
      <c r="GVK108" s="4"/>
      <c r="GVL108" s="4"/>
      <c r="GVM108" s="4"/>
      <c r="GVN108" s="4"/>
      <c r="GVO108" s="4"/>
      <c r="GVP108" s="4"/>
      <c r="GVQ108" s="4"/>
      <c r="GVR108" s="4"/>
      <c r="GVS108" s="4"/>
      <c r="GVT108" s="4"/>
      <c r="GVU108" s="4"/>
      <c r="GVV108" s="4"/>
      <c r="GVW108" s="4"/>
      <c r="GVX108" s="4"/>
      <c r="GVY108" s="4"/>
      <c r="GVZ108" s="4"/>
      <c r="GWA108" s="4"/>
      <c r="GWB108" s="4"/>
      <c r="GWC108" s="4"/>
      <c r="GWD108" s="4"/>
      <c r="GWE108" s="4"/>
      <c r="GWF108" s="4"/>
      <c r="GWG108" s="4"/>
      <c r="GWH108" s="4"/>
      <c r="GWI108" s="4"/>
      <c r="GWJ108" s="4"/>
      <c r="GWK108" s="4"/>
      <c r="GWL108" s="4"/>
      <c r="GWM108" s="4"/>
      <c r="GWN108" s="4"/>
      <c r="GWO108" s="4"/>
      <c r="GWP108" s="4"/>
      <c r="GWQ108" s="4"/>
      <c r="GWR108" s="4"/>
      <c r="GWS108" s="4"/>
      <c r="GWT108" s="4"/>
      <c r="GWU108" s="4"/>
      <c r="GWV108" s="4"/>
      <c r="GWW108" s="4"/>
      <c r="GWX108" s="4"/>
      <c r="GWY108" s="4"/>
      <c r="GWZ108" s="4"/>
      <c r="GXA108" s="4"/>
      <c r="GXB108" s="4"/>
      <c r="GXC108" s="4"/>
      <c r="GXD108" s="4"/>
      <c r="GXE108" s="4"/>
      <c r="GXF108" s="4"/>
      <c r="GXG108" s="4"/>
      <c r="GXH108" s="4"/>
      <c r="GXI108" s="4"/>
      <c r="GXJ108" s="4"/>
      <c r="GXK108" s="4"/>
      <c r="GXL108" s="4"/>
      <c r="GXM108" s="4"/>
      <c r="GXN108" s="4"/>
      <c r="GXO108" s="4"/>
      <c r="GXP108" s="4"/>
      <c r="GXQ108" s="4"/>
      <c r="GXR108" s="4"/>
      <c r="GXS108" s="4"/>
      <c r="GXT108" s="4"/>
      <c r="GXU108" s="4"/>
      <c r="GXV108" s="4"/>
      <c r="GXW108" s="4"/>
      <c r="GXX108" s="4"/>
      <c r="GXY108" s="4"/>
      <c r="GXZ108" s="4"/>
      <c r="GYA108" s="4"/>
      <c r="GYB108" s="4"/>
      <c r="GYC108" s="4"/>
      <c r="GYD108" s="4"/>
      <c r="GYE108" s="4"/>
      <c r="GYF108" s="4"/>
      <c r="GYG108" s="4"/>
      <c r="GYH108" s="4"/>
      <c r="GYI108" s="4"/>
      <c r="GYJ108" s="4"/>
      <c r="GYK108" s="4"/>
      <c r="GYL108" s="4"/>
      <c r="GYM108" s="4"/>
      <c r="GYN108" s="4"/>
      <c r="GYO108" s="4"/>
      <c r="GYP108" s="4"/>
      <c r="GYQ108" s="4"/>
      <c r="GYR108" s="4"/>
      <c r="GYS108" s="4"/>
      <c r="GYT108" s="4"/>
      <c r="GYU108" s="4"/>
      <c r="GYV108" s="4"/>
      <c r="GYW108" s="4"/>
      <c r="GYX108" s="4"/>
      <c r="GYY108" s="4"/>
      <c r="GYZ108" s="4"/>
      <c r="GZA108" s="4"/>
      <c r="GZB108" s="4"/>
      <c r="GZC108" s="4"/>
      <c r="GZD108" s="4"/>
      <c r="GZE108" s="4"/>
      <c r="GZF108" s="4"/>
      <c r="GZG108" s="4"/>
      <c r="GZH108" s="4"/>
      <c r="GZI108" s="4"/>
      <c r="GZJ108" s="4"/>
      <c r="GZK108" s="4"/>
      <c r="GZL108" s="4"/>
      <c r="GZM108" s="4"/>
      <c r="GZN108" s="4"/>
      <c r="GZO108" s="4"/>
      <c r="GZP108" s="4"/>
      <c r="GZQ108" s="4"/>
      <c r="GZR108" s="4"/>
      <c r="GZS108" s="4"/>
      <c r="GZT108" s="4"/>
      <c r="GZU108" s="4"/>
      <c r="GZV108" s="4"/>
      <c r="GZW108" s="4"/>
      <c r="GZX108" s="4"/>
      <c r="GZY108" s="4"/>
      <c r="GZZ108" s="4"/>
      <c r="HAA108" s="4"/>
      <c r="HAB108" s="4"/>
      <c r="HAC108" s="4"/>
      <c r="HAD108" s="4"/>
      <c r="HAE108" s="4"/>
      <c r="HAF108" s="4"/>
      <c r="HAG108" s="4"/>
      <c r="HAH108" s="4"/>
      <c r="HAI108" s="4"/>
      <c r="HAJ108" s="4"/>
      <c r="HAK108" s="4"/>
      <c r="HAL108" s="4"/>
      <c r="HAM108" s="4"/>
      <c r="HAN108" s="4"/>
      <c r="HAO108" s="4"/>
      <c r="HAP108" s="4"/>
      <c r="HAQ108" s="4"/>
      <c r="HAR108" s="4"/>
      <c r="HAS108" s="4"/>
      <c r="HAT108" s="4"/>
      <c r="HAU108" s="4"/>
      <c r="HAV108" s="4"/>
      <c r="HAW108" s="4"/>
      <c r="HAX108" s="4"/>
      <c r="HAY108" s="4"/>
      <c r="HAZ108" s="4"/>
      <c r="HBA108" s="4"/>
      <c r="HBB108" s="4"/>
      <c r="HBC108" s="4"/>
      <c r="HBD108" s="4"/>
      <c r="HBE108" s="4"/>
      <c r="HBF108" s="4"/>
      <c r="HBG108" s="4"/>
      <c r="HBH108" s="4"/>
      <c r="HBI108" s="4"/>
      <c r="HBJ108" s="4"/>
      <c r="HBK108" s="4"/>
      <c r="HBL108" s="4"/>
      <c r="HBM108" s="4"/>
      <c r="HBN108" s="4"/>
      <c r="HBO108" s="4"/>
      <c r="HBP108" s="4"/>
      <c r="HBQ108" s="4"/>
      <c r="HBR108" s="4"/>
      <c r="HBS108" s="4"/>
      <c r="HBT108" s="4"/>
      <c r="HBU108" s="4"/>
      <c r="HBV108" s="4"/>
      <c r="HBW108" s="4"/>
      <c r="HBX108" s="4"/>
      <c r="HBY108" s="4"/>
      <c r="HBZ108" s="4"/>
      <c r="HCA108" s="4"/>
      <c r="HCB108" s="4"/>
      <c r="HCC108" s="4"/>
      <c r="HCD108" s="4"/>
      <c r="HCE108" s="4"/>
      <c r="HCF108" s="4"/>
      <c r="HCG108" s="4"/>
      <c r="HCH108" s="4"/>
      <c r="HCI108" s="4"/>
      <c r="HCJ108" s="4"/>
      <c r="HCK108" s="4"/>
      <c r="HCL108" s="4"/>
      <c r="HCM108" s="4"/>
      <c r="HCN108" s="4"/>
      <c r="HCO108" s="4"/>
      <c r="HCP108" s="4"/>
      <c r="HCQ108" s="4"/>
      <c r="HCR108" s="4"/>
      <c r="HCS108" s="4"/>
      <c r="HCT108" s="4"/>
      <c r="HCU108" s="4"/>
      <c r="HCV108" s="4"/>
      <c r="HCW108" s="4"/>
      <c r="HCX108" s="4"/>
      <c r="HCY108" s="4"/>
      <c r="HCZ108" s="4"/>
      <c r="HDA108" s="4"/>
      <c r="HDB108" s="4"/>
      <c r="HDC108" s="4"/>
      <c r="HDD108" s="4"/>
      <c r="HDE108" s="4"/>
      <c r="HDF108" s="4"/>
      <c r="HDG108" s="4"/>
      <c r="HDH108" s="4"/>
      <c r="HDI108" s="4"/>
      <c r="HDJ108" s="4"/>
      <c r="HDK108" s="4"/>
      <c r="HDL108" s="4"/>
      <c r="HDM108" s="4"/>
      <c r="HDN108" s="4"/>
      <c r="HDO108" s="4"/>
      <c r="HDP108" s="4"/>
      <c r="HDQ108" s="4"/>
      <c r="HDR108" s="4"/>
      <c r="HDS108" s="4"/>
      <c r="HDT108" s="4"/>
      <c r="HDU108" s="4"/>
      <c r="HDV108" s="4"/>
      <c r="HDW108" s="4"/>
      <c r="HDX108" s="4"/>
      <c r="HDY108" s="4"/>
      <c r="HDZ108" s="4"/>
      <c r="HEA108" s="4"/>
      <c r="HEB108" s="4"/>
      <c r="HEC108" s="4"/>
      <c r="HED108" s="4"/>
      <c r="HEE108" s="4"/>
      <c r="HEF108" s="4"/>
      <c r="HEG108" s="4"/>
      <c r="HEH108" s="4"/>
      <c r="HEI108" s="4"/>
      <c r="HEJ108" s="4"/>
      <c r="HEK108" s="4"/>
      <c r="HEL108" s="4"/>
      <c r="HEM108" s="4"/>
      <c r="HEN108" s="4"/>
      <c r="HEO108" s="4"/>
      <c r="HEP108" s="4"/>
      <c r="HEQ108" s="4"/>
      <c r="HER108" s="4"/>
      <c r="HES108" s="4"/>
      <c r="HET108" s="4"/>
      <c r="HEU108" s="4"/>
      <c r="HEV108" s="4"/>
      <c r="HEW108" s="4"/>
      <c r="HEX108" s="4"/>
      <c r="HEY108" s="4"/>
      <c r="HEZ108" s="4"/>
      <c r="HFA108" s="4"/>
      <c r="HFB108" s="4"/>
      <c r="HFC108" s="4"/>
      <c r="HFD108" s="4"/>
      <c r="HFE108" s="4"/>
      <c r="HFF108" s="4"/>
      <c r="HFG108" s="4"/>
      <c r="HFH108" s="4"/>
      <c r="HFI108" s="4"/>
      <c r="HFJ108" s="4"/>
      <c r="HFK108" s="4"/>
      <c r="HFL108" s="4"/>
      <c r="HFM108" s="4"/>
      <c r="HFN108" s="4"/>
      <c r="HFO108" s="4"/>
      <c r="HFP108" s="4"/>
      <c r="HFQ108" s="4"/>
      <c r="HFR108" s="4"/>
      <c r="HFS108" s="4"/>
      <c r="HFT108" s="4"/>
      <c r="HFU108" s="4"/>
      <c r="HFV108" s="4"/>
      <c r="HFW108" s="4"/>
      <c r="HFX108" s="4"/>
      <c r="HFY108" s="4"/>
      <c r="HFZ108" s="4"/>
      <c r="HGA108" s="4"/>
      <c r="HGB108" s="4"/>
      <c r="HGC108" s="4"/>
      <c r="HGD108" s="4"/>
      <c r="HGE108" s="4"/>
      <c r="HGF108" s="4"/>
      <c r="HGG108" s="4"/>
      <c r="HGH108" s="4"/>
      <c r="HGI108" s="4"/>
      <c r="HGJ108" s="4"/>
      <c r="HGK108" s="4"/>
      <c r="HGL108" s="4"/>
      <c r="HGM108" s="4"/>
      <c r="HGN108" s="4"/>
      <c r="HGO108" s="4"/>
      <c r="HGP108" s="4"/>
      <c r="HGQ108" s="4"/>
      <c r="HGR108" s="4"/>
      <c r="HGS108" s="4"/>
      <c r="HGT108" s="4"/>
      <c r="HGU108" s="4"/>
      <c r="HGV108" s="4"/>
      <c r="HGW108" s="4"/>
      <c r="HGX108" s="4"/>
      <c r="HGY108" s="4"/>
      <c r="HGZ108" s="4"/>
      <c r="HHA108" s="4"/>
      <c r="HHB108" s="4"/>
      <c r="HHC108" s="4"/>
      <c r="HHD108" s="4"/>
      <c r="HHE108" s="4"/>
      <c r="HHF108" s="4"/>
      <c r="HHG108" s="4"/>
      <c r="HHH108" s="4"/>
      <c r="HHI108" s="4"/>
      <c r="HHJ108" s="4"/>
      <c r="HHK108" s="4"/>
      <c r="HHL108" s="4"/>
      <c r="HHM108" s="4"/>
      <c r="HHN108" s="4"/>
      <c r="HHO108" s="4"/>
      <c r="HHP108" s="4"/>
      <c r="HHQ108" s="4"/>
      <c r="HHR108" s="4"/>
      <c r="HHS108" s="4"/>
      <c r="HHT108" s="4"/>
      <c r="HHU108" s="4"/>
      <c r="HHV108" s="4"/>
      <c r="HHW108" s="4"/>
      <c r="HHX108" s="4"/>
      <c r="HHY108" s="4"/>
      <c r="HHZ108" s="4"/>
      <c r="HIA108" s="4"/>
      <c r="HIB108" s="4"/>
      <c r="HIC108" s="4"/>
      <c r="HID108" s="4"/>
      <c r="HIE108" s="4"/>
      <c r="HIF108" s="4"/>
      <c r="HIG108" s="4"/>
      <c r="HIH108" s="4"/>
      <c r="HII108" s="4"/>
      <c r="HIJ108" s="4"/>
      <c r="HIK108" s="4"/>
      <c r="HIL108" s="4"/>
      <c r="HIM108" s="4"/>
      <c r="HIN108" s="4"/>
      <c r="HIO108" s="4"/>
      <c r="HIP108" s="4"/>
      <c r="HIQ108" s="4"/>
      <c r="HIR108" s="4"/>
      <c r="HIS108" s="4"/>
      <c r="HIT108" s="4"/>
      <c r="HIU108" s="4"/>
      <c r="HIV108" s="4"/>
      <c r="HIW108" s="4"/>
      <c r="HIX108" s="4"/>
      <c r="HIY108" s="4"/>
      <c r="HIZ108" s="4"/>
      <c r="HJA108" s="4"/>
      <c r="HJB108" s="4"/>
      <c r="HJC108" s="4"/>
      <c r="HJD108" s="4"/>
      <c r="HJE108" s="4"/>
      <c r="HJF108" s="4"/>
      <c r="HJG108" s="4"/>
      <c r="HJH108" s="4"/>
      <c r="HJI108" s="4"/>
      <c r="HJJ108" s="4"/>
      <c r="HJK108" s="4"/>
      <c r="HJL108" s="4"/>
      <c r="HJM108" s="4"/>
      <c r="HJN108" s="4"/>
      <c r="HJO108" s="4"/>
      <c r="HJP108" s="4"/>
      <c r="HJQ108" s="4"/>
      <c r="HJR108" s="4"/>
      <c r="HJS108" s="4"/>
      <c r="HJT108" s="4"/>
      <c r="HJU108" s="4"/>
      <c r="HJV108" s="4"/>
      <c r="HJW108" s="4"/>
      <c r="HJX108" s="4"/>
      <c r="HJY108" s="4"/>
      <c r="HJZ108" s="4"/>
      <c r="HKA108" s="4"/>
      <c r="HKB108" s="4"/>
      <c r="HKC108" s="4"/>
      <c r="HKD108" s="4"/>
      <c r="HKE108" s="4"/>
      <c r="HKF108" s="4"/>
      <c r="HKG108" s="4"/>
      <c r="HKH108" s="4"/>
      <c r="HKI108" s="4"/>
      <c r="HKJ108" s="4"/>
      <c r="HKK108" s="4"/>
      <c r="HKL108" s="4"/>
      <c r="HKM108" s="4"/>
      <c r="HKN108" s="4"/>
      <c r="HKO108" s="4"/>
      <c r="HKP108" s="4"/>
      <c r="HKQ108" s="4"/>
      <c r="HKR108" s="4"/>
      <c r="HKS108" s="4"/>
      <c r="HKT108" s="4"/>
      <c r="HKU108" s="4"/>
      <c r="HKV108" s="4"/>
      <c r="HKW108" s="4"/>
      <c r="HKX108" s="4"/>
      <c r="HKY108" s="4"/>
      <c r="HKZ108" s="4"/>
      <c r="HLA108" s="4"/>
      <c r="HLB108" s="4"/>
      <c r="HLC108" s="4"/>
      <c r="HLD108" s="4"/>
      <c r="HLE108" s="4"/>
      <c r="HLF108" s="4"/>
      <c r="HLG108" s="4"/>
      <c r="HLH108" s="4"/>
      <c r="HLI108" s="4"/>
      <c r="HLJ108" s="4"/>
      <c r="HLK108" s="4"/>
      <c r="HLL108" s="4"/>
      <c r="HLM108" s="4"/>
      <c r="HLN108" s="4"/>
      <c r="HLO108" s="4"/>
      <c r="HLP108" s="4"/>
      <c r="HLQ108" s="4"/>
      <c r="HLR108" s="4"/>
      <c r="HLS108" s="4"/>
      <c r="HLT108" s="4"/>
      <c r="HLU108" s="4"/>
      <c r="HLV108" s="4"/>
      <c r="HLW108" s="4"/>
      <c r="HLX108" s="4"/>
      <c r="HLY108" s="4"/>
      <c r="HLZ108" s="4"/>
      <c r="HMA108" s="4"/>
      <c r="HMB108" s="4"/>
      <c r="HMC108" s="4"/>
      <c r="HMD108" s="4"/>
      <c r="HME108" s="4"/>
      <c r="HMF108" s="4"/>
      <c r="HMG108" s="4"/>
      <c r="HMH108" s="4"/>
      <c r="HMI108" s="4"/>
      <c r="HMJ108" s="4"/>
      <c r="HMK108" s="4"/>
      <c r="HML108" s="4"/>
      <c r="HMM108" s="4"/>
      <c r="HMN108" s="4"/>
      <c r="HMO108" s="4"/>
      <c r="HMP108" s="4"/>
      <c r="HMQ108" s="4"/>
      <c r="HMR108" s="4"/>
      <c r="HMS108" s="4"/>
      <c r="HMT108" s="4"/>
      <c r="HMU108" s="4"/>
      <c r="HMV108" s="4"/>
      <c r="HMW108" s="4"/>
      <c r="HMX108" s="4"/>
      <c r="HMY108" s="4"/>
      <c r="HMZ108" s="4"/>
      <c r="HNA108" s="4"/>
      <c r="HNB108" s="4"/>
      <c r="HNC108" s="4"/>
      <c r="HND108" s="4"/>
      <c r="HNE108" s="4"/>
      <c r="HNF108" s="4"/>
      <c r="HNG108" s="4"/>
      <c r="HNH108" s="4"/>
      <c r="HNI108" s="4"/>
      <c r="HNJ108" s="4"/>
      <c r="HNK108" s="4"/>
      <c r="HNL108" s="4"/>
      <c r="HNM108" s="4"/>
      <c r="HNN108" s="4"/>
      <c r="HNO108" s="4"/>
      <c r="HNP108" s="4"/>
      <c r="HNQ108" s="4"/>
      <c r="HNR108" s="4"/>
      <c r="HNS108" s="4"/>
      <c r="HNT108" s="4"/>
      <c r="HNU108" s="4"/>
      <c r="HNV108" s="4"/>
      <c r="HNW108" s="4"/>
      <c r="HNX108" s="4"/>
      <c r="HNY108" s="4"/>
      <c r="HNZ108" s="4"/>
      <c r="HOA108" s="4"/>
      <c r="HOB108" s="4"/>
      <c r="HOC108" s="4"/>
      <c r="HOD108" s="4"/>
      <c r="HOE108" s="4"/>
      <c r="HOF108" s="4"/>
      <c r="HOG108" s="4"/>
      <c r="HOH108" s="4"/>
      <c r="HOI108" s="4"/>
      <c r="HOJ108" s="4"/>
      <c r="HOK108" s="4"/>
      <c r="HOL108" s="4"/>
      <c r="HOM108" s="4"/>
      <c r="HON108" s="4"/>
      <c r="HOO108" s="4"/>
      <c r="HOP108" s="4"/>
      <c r="HOQ108" s="4"/>
      <c r="HOR108" s="4"/>
      <c r="HOS108" s="4"/>
      <c r="HOT108" s="4"/>
      <c r="HOU108" s="4"/>
      <c r="HOV108" s="4"/>
      <c r="HOW108" s="4"/>
      <c r="HOX108" s="4"/>
      <c r="HOY108" s="4"/>
      <c r="HOZ108" s="4"/>
      <c r="HPA108" s="4"/>
      <c r="HPB108" s="4"/>
      <c r="HPC108" s="4"/>
      <c r="HPD108" s="4"/>
      <c r="HPE108" s="4"/>
      <c r="HPF108" s="4"/>
      <c r="HPG108" s="4"/>
      <c r="HPH108" s="4"/>
      <c r="HPI108" s="4"/>
      <c r="HPJ108" s="4"/>
      <c r="HPK108" s="4"/>
      <c r="HPL108" s="4"/>
      <c r="HPM108" s="4"/>
      <c r="HPN108" s="4"/>
      <c r="HPO108" s="4"/>
      <c r="HPP108" s="4"/>
      <c r="HPQ108" s="4"/>
      <c r="HPR108" s="4"/>
      <c r="HPS108" s="4"/>
      <c r="HPT108" s="4"/>
      <c r="HPU108" s="4"/>
      <c r="HPV108" s="4"/>
      <c r="HPW108" s="4"/>
      <c r="HPX108" s="4"/>
      <c r="HPY108" s="4"/>
      <c r="HPZ108" s="4"/>
      <c r="HQA108" s="4"/>
      <c r="HQB108" s="4"/>
      <c r="HQC108" s="4"/>
      <c r="HQD108" s="4"/>
      <c r="HQE108" s="4"/>
      <c r="HQF108" s="4"/>
      <c r="HQG108" s="4"/>
      <c r="HQH108" s="4"/>
      <c r="HQI108" s="4"/>
      <c r="HQJ108" s="4"/>
      <c r="HQK108" s="4"/>
      <c r="HQL108" s="4"/>
      <c r="HQM108" s="4"/>
      <c r="HQN108" s="4"/>
      <c r="HQO108" s="4"/>
      <c r="HQP108" s="4"/>
      <c r="HQQ108" s="4"/>
      <c r="HQR108" s="4"/>
      <c r="HQS108" s="4"/>
      <c r="HQT108" s="4"/>
      <c r="HQU108" s="4"/>
      <c r="HQV108" s="4"/>
      <c r="HQW108" s="4"/>
      <c r="HQX108" s="4"/>
      <c r="HQY108" s="4"/>
      <c r="HQZ108" s="4"/>
      <c r="HRA108" s="4"/>
      <c r="HRB108" s="4"/>
      <c r="HRC108" s="4"/>
      <c r="HRD108" s="4"/>
      <c r="HRE108" s="4"/>
      <c r="HRF108" s="4"/>
      <c r="HRG108" s="4"/>
      <c r="HRH108" s="4"/>
      <c r="HRI108" s="4"/>
      <c r="HRJ108" s="4"/>
      <c r="HRK108" s="4"/>
      <c r="HRL108" s="4"/>
      <c r="HRM108" s="4"/>
      <c r="HRN108" s="4"/>
      <c r="HRO108" s="4"/>
      <c r="HRP108" s="4"/>
      <c r="HRQ108" s="4"/>
      <c r="HRR108" s="4"/>
      <c r="HRS108" s="4"/>
      <c r="HRT108" s="4"/>
      <c r="HRU108" s="4"/>
      <c r="HRV108" s="4"/>
      <c r="HRW108" s="4"/>
      <c r="HRX108" s="4"/>
      <c r="HRY108" s="4"/>
      <c r="HRZ108" s="4"/>
      <c r="HSA108" s="4"/>
      <c r="HSB108" s="4"/>
      <c r="HSC108" s="4"/>
      <c r="HSD108" s="4"/>
      <c r="HSE108" s="4"/>
      <c r="HSF108" s="4"/>
      <c r="HSG108" s="4"/>
      <c r="HSH108" s="4"/>
      <c r="HSI108" s="4"/>
      <c r="HSJ108" s="4"/>
      <c r="HSK108" s="4"/>
      <c r="HSL108" s="4"/>
      <c r="HSM108" s="4"/>
      <c r="HSN108" s="4"/>
      <c r="HSO108" s="4"/>
      <c r="HSP108" s="4"/>
      <c r="HSQ108" s="4"/>
      <c r="HSR108" s="4"/>
      <c r="HSS108" s="4"/>
      <c r="HST108" s="4"/>
      <c r="HSU108" s="4"/>
      <c r="HSV108" s="4"/>
      <c r="HSW108" s="4"/>
      <c r="HSX108" s="4"/>
      <c r="HSY108" s="4"/>
      <c r="HSZ108" s="4"/>
      <c r="HTA108" s="4"/>
      <c r="HTB108" s="4"/>
      <c r="HTC108" s="4"/>
      <c r="HTD108" s="4"/>
      <c r="HTE108" s="4"/>
      <c r="HTF108" s="4"/>
      <c r="HTG108" s="4"/>
      <c r="HTH108" s="4"/>
      <c r="HTI108" s="4"/>
      <c r="HTJ108" s="4"/>
      <c r="HTK108" s="4"/>
      <c r="HTL108" s="4"/>
      <c r="HTM108" s="4"/>
      <c r="HTN108" s="4"/>
      <c r="HTO108" s="4"/>
      <c r="HTP108" s="4"/>
      <c r="HTQ108" s="4"/>
      <c r="HTR108" s="4"/>
      <c r="HTS108" s="4"/>
      <c r="HTT108" s="4"/>
      <c r="HTU108" s="4"/>
      <c r="HTV108" s="4"/>
      <c r="HTW108" s="4"/>
      <c r="HTX108" s="4"/>
      <c r="HTY108" s="4"/>
      <c r="HTZ108" s="4"/>
      <c r="HUA108" s="4"/>
      <c r="HUB108" s="4"/>
      <c r="HUC108" s="4"/>
      <c r="HUD108" s="4"/>
      <c r="HUE108" s="4"/>
      <c r="HUF108" s="4"/>
      <c r="HUG108" s="4"/>
      <c r="HUH108" s="4"/>
      <c r="HUI108" s="4"/>
      <c r="HUJ108" s="4"/>
      <c r="HUK108" s="4"/>
      <c r="HUL108" s="4"/>
      <c r="HUM108" s="4"/>
      <c r="HUN108" s="4"/>
      <c r="HUO108" s="4"/>
      <c r="HUP108" s="4"/>
      <c r="HUQ108" s="4"/>
      <c r="HUR108" s="4"/>
      <c r="HUS108" s="4"/>
      <c r="HUT108" s="4"/>
      <c r="HUU108" s="4"/>
      <c r="HUV108" s="4"/>
      <c r="HUW108" s="4"/>
      <c r="HUX108" s="4"/>
      <c r="HUY108" s="4"/>
      <c r="HUZ108" s="4"/>
      <c r="HVA108" s="4"/>
      <c r="HVB108" s="4"/>
      <c r="HVC108" s="4"/>
      <c r="HVD108" s="4"/>
      <c r="HVE108" s="4"/>
      <c r="HVF108" s="4"/>
      <c r="HVG108" s="4"/>
      <c r="HVH108" s="4"/>
      <c r="HVI108" s="4"/>
      <c r="HVJ108" s="4"/>
      <c r="HVK108" s="4"/>
      <c r="HVL108" s="4"/>
      <c r="HVM108" s="4"/>
      <c r="HVN108" s="4"/>
      <c r="HVO108" s="4"/>
      <c r="HVP108" s="4"/>
      <c r="HVQ108" s="4"/>
      <c r="HVR108" s="4"/>
      <c r="HVS108" s="4"/>
      <c r="HVT108" s="4"/>
      <c r="HVU108" s="4"/>
      <c r="HVV108" s="4"/>
      <c r="HVW108" s="4"/>
      <c r="HVX108" s="4"/>
      <c r="HVY108" s="4"/>
      <c r="HVZ108" s="4"/>
      <c r="HWA108" s="4"/>
      <c r="HWB108" s="4"/>
      <c r="HWC108" s="4"/>
      <c r="HWD108" s="4"/>
      <c r="HWE108" s="4"/>
      <c r="HWF108" s="4"/>
      <c r="HWG108" s="4"/>
      <c r="HWH108" s="4"/>
      <c r="HWI108" s="4"/>
      <c r="HWJ108" s="4"/>
      <c r="HWK108" s="4"/>
      <c r="HWL108" s="4"/>
      <c r="HWM108" s="4"/>
      <c r="HWN108" s="4"/>
      <c r="HWO108" s="4"/>
      <c r="HWP108" s="4"/>
      <c r="HWQ108" s="4"/>
      <c r="HWR108" s="4"/>
      <c r="HWS108" s="4"/>
      <c r="HWT108" s="4"/>
      <c r="HWU108" s="4"/>
      <c r="HWV108" s="4"/>
      <c r="HWW108" s="4"/>
      <c r="HWX108" s="4"/>
      <c r="HWY108" s="4"/>
      <c r="HWZ108" s="4"/>
      <c r="HXA108" s="4"/>
      <c r="HXB108" s="4"/>
      <c r="HXC108" s="4"/>
      <c r="HXD108" s="4"/>
      <c r="HXE108" s="4"/>
      <c r="HXF108" s="4"/>
      <c r="HXG108" s="4"/>
      <c r="HXH108" s="4"/>
      <c r="HXI108" s="4"/>
      <c r="HXJ108" s="4"/>
      <c r="HXK108" s="4"/>
      <c r="HXL108" s="4"/>
      <c r="HXM108" s="4"/>
      <c r="HXN108" s="4"/>
      <c r="HXO108" s="4"/>
      <c r="HXP108" s="4"/>
      <c r="HXQ108" s="4"/>
      <c r="HXR108" s="4"/>
      <c r="HXS108" s="4"/>
      <c r="HXT108" s="4"/>
      <c r="HXU108" s="4"/>
      <c r="HXV108" s="4"/>
      <c r="HXW108" s="4"/>
      <c r="HXX108" s="4"/>
      <c r="HXY108" s="4"/>
      <c r="HXZ108" s="4"/>
      <c r="HYA108" s="4"/>
      <c r="HYB108" s="4"/>
      <c r="HYC108" s="4"/>
      <c r="HYD108" s="4"/>
      <c r="HYE108" s="4"/>
      <c r="HYF108" s="4"/>
      <c r="HYG108" s="4"/>
      <c r="HYH108" s="4"/>
      <c r="HYI108" s="4"/>
      <c r="HYJ108" s="4"/>
      <c r="HYK108" s="4"/>
      <c r="HYL108" s="4"/>
      <c r="HYM108" s="4"/>
      <c r="HYN108" s="4"/>
      <c r="HYO108" s="4"/>
      <c r="HYP108" s="4"/>
      <c r="HYQ108" s="4"/>
      <c r="HYR108" s="4"/>
      <c r="HYS108" s="4"/>
      <c r="HYT108" s="4"/>
      <c r="HYU108" s="4"/>
      <c r="HYV108" s="4"/>
      <c r="HYW108" s="4"/>
      <c r="HYX108" s="4"/>
      <c r="HYY108" s="4"/>
      <c r="HYZ108" s="4"/>
      <c r="HZA108" s="4"/>
      <c r="HZB108" s="4"/>
      <c r="HZC108" s="4"/>
      <c r="HZD108" s="4"/>
      <c r="HZE108" s="4"/>
      <c r="HZF108" s="4"/>
      <c r="HZG108" s="4"/>
      <c r="HZH108" s="4"/>
      <c r="HZI108" s="4"/>
      <c r="HZJ108" s="4"/>
      <c r="HZK108" s="4"/>
      <c r="HZL108" s="4"/>
      <c r="HZM108" s="4"/>
      <c r="HZN108" s="4"/>
      <c r="HZO108" s="4"/>
      <c r="HZP108" s="4"/>
      <c r="HZQ108" s="4"/>
      <c r="HZR108" s="4"/>
      <c r="HZS108" s="4"/>
      <c r="HZT108" s="4"/>
      <c r="HZU108" s="4"/>
      <c r="HZV108" s="4"/>
      <c r="HZW108" s="4"/>
      <c r="HZX108" s="4"/>
      <c r="HZY108" s="4"/>
      <c r="HZZ108" s="4"/>
      <c r="IAA108" s="4"/>
      <c r="IAB108" s="4"/>
      <c r="IAC108" s="4"/>
      <c r="IAD108" s="4"/>
      <c r="IAE108" s="4"/>
      <c r="IAF108" s="4"/>
      <c r="IAG108" s="4"/>
      <c r="IAH108" s="4"/>
      <c r="IAI108" s="4"/>
      <c r="IAJ108" s="4"/>
      <c r="IAK108" s="4"/>
      <c r="IAL108" s="4"/>
      <c r="IAM108" s="4"/>
      <c r="IAN108" s="4"/>
      <c r="IAO108" s="4"/>
      <c r="IAP108" s="4"/>
      <c r="IAQ108" s="4"/>
      <c r="IAR108" s="4"/>
      <c r="IAS108" s="4"/>
      <c r="IAT108" s="4"/>
      <c r="IAU108" s="4"/>
      <c r="IAV108" s="4"/>
      <c r="IAW108" s="4"/>
      <c r="IAX108" s="4"/>
      <c r="IAY108" s="4"/>
      <c r="IAZ108" s="4"/>
      <c r="IBA108" s="4"/>
      <c r="IBB108" s="4"/>
      <c r="IBC108" s="4"/>
      <c r="IBD108" s="4"/>
      <c r="IBE108" s="4"/>
      <c r="IBF108" s="4"/>
      <c r="IBG108" s="4"/>
      <c r="IBH108" s="4"/>
      <c r="IBI108" s="4"/>
      <c r="IBJ108" s="4"/>
      <c r="IBK108" s="4"/>
      <c r="IBL108" s="4"/>
      <c r="IBM108" s="4"/>
      <c r="IBN108" s="4"/>
      <c r="IBO108" s="4"/>
      <c r="IBP108" s="4"/>
      <c r="IBQ108" s="4"/>
      <c r="IBR108" s="4"/>
      <c r="IBS108" s="4"/>
      <c r="IBT108" s="4"/>
      <c r="IBU108" s="4"/>
      <c r="IBV108" s="4"/>
      <c r="IBW108" s="4"/>
      <c r="IBX108" s="4"/>
      <c r="IBY108" s="4"/>
      <c r="IBZ108" s="4"/>
      <c r="ICA108" s="4"/>
      <c r="ICB108" s="4"/>
      <c r="ICC108" s="4"/>
      <c r="ICD108" s="4"/>
      <c r="ICE108" s="4"/>
      <c r="ICF108" s="4"/>
      <c r="ICG108" s="4"/>
      <c r="ICH108" s="4"/>
      <c r="ICI108" s="4"/>
      <c r="ICJ108" s="4"/>
      <c r="ICK108" s="4"/>
      <c r="ICL108" s="4"/>
      <c r="ICM108" s="4"/>
      <c r="ICN108" s="4"/>
      <c r="ICO108" s="4"/>
      <c r="ICP108" s="4"/>
      <c r="ICQ108" s="4"/>
      <c r="ICR108" s="4"/>
      <c r="ICS108" s="4"/>
      <c r="ICT108" s="4"/>
      <c r="ICU108" s="4"/>
      <c r="ICV108" s="4"/>
      <c r="ICW108" s="4"/>
      <c r="ICX108" s="4"/>
      <c r="ICY108" s="4"/>
      <c r="ICZ108" s="4"/>
      <c r="IDA108" s="4"/>
      <c r="IDB108" s="4"/>
      <c r="IDC108" s="4"/>
      <c r="IDD108" s="4"/>
      <c r="IDE108" s="4"/>
      <c r="IDF108" s="4"/>
      <c r="IDG108" s="4"/>
      <c r="IDH108" s="4"/>
      <c r="IDI108" s="4"/>
      <c r="IDJ108" s="4"/>
      <c r="IDK108" s="4"/>
      <c r="IDL108" s="4"/>
      <c r="IDM108" s="4"/>
      <c r="IDN108" s="4"/>
      <c r="IDO108" s="4"/>
      <c r="IDP108" s="4"/>
      <c r="IDQ108" s="4"/>
      <c r="IDR108" s="4"/>
      <c r="IDS108" s="4"/>
      <c r="IDT108" s="4"/>
      <c r="IDU108" s="4"/>
      <c r="IDV108" s="4"/>
      <c r="IDW108" s="4"/>
      <c r="IDX108" s="4"/>
      <c r="IDY108" s="4"/>
      <c r="IDZ108" s="4"/>
      <c r="IEA108" s="4"/>
      <c r="IEB108" s="4"/>
      <c r="IEC108" s="4"/>
      <c r="IED108" s="4"/>
      <c r="IEE108" s="4"/>
      <c r="IEF108" s="4"/>
      <c r="IEG108" s="4"/>
      <c r="IEH108" s="4"/>
      <c r="IEI108" s="4"/>
      <c r="IEJ108" s="4"/>
      <c r="IEK108" s="4"/>
      <c r="IEL108" s="4"/>
      <c r="IEM108" s="4"/>
      <c r="IEN108" s="4"/>
      <c r="IEO108" s="4"/>
      <c r="IEP108" s="4"/>
      <c r="IEQ108" s="4"/>
      <c r="IER108" s="4"/>
      <c r="IES108" s="4"/>
      <c r="IET108" s="4"/>
      <c r="IEU108" s="4"/>
      <c r="IEV108" s="4"/>
      <c r="IEW108" s="4"/>
      <c r="IEX108" s="4"/>
      <c r="IEY108" s="4"/>
      <c r="IEZ108" s="4"/>
      <c r="IFA108" s="4"/>
      <c r="IFB108" s="4"/>
      <c r="IFC108" s="4"/>
      <c r="IFD108" s="4"/>
      <c r="IFE108" s="4"/>
      <c r="IFF108" s="4"/>
      <c r="IFG108" s="4"/>
      <c r="IFH108" s="4"/>
      <c r="IFI108" s="4"/>
      <c r="IFJ108" s="4"/>
      <c r="IFK108" s="4"/>
      <c r="IFL108" s="4"/>
      <c r="IFM108" s="4"/>
      <c r="IFN108" s="4"/>
      <c r="IFO108" s="4"/>
      <c r="IFP108" s="4"/>
      <c r="IFQ108" s="4"/>
      <c r="IFR108" s="4"/>
      <c r="IFS108" s="4"/>
      <c r="IFT108" s="4"/>
      <c r="IFU108" s="4"/>
      <c r="IFV108" s="4"/>
      <c r="IFW108" s="4"/>
      <c r="IFX108" s="4"/>
      <c r="IFY108" s="4"/>
      <c r="IFZ108" s="4"/>
      <c r="IGA108" s="4"/>
      <c r="IGB108" s="4"/>
      <c r="IGC108" s="4"/>
      <c r="IGD108" s="4"/>
      <c r="IGE108" s="4"/>
      <c r="IGF108" s="4"/>
      <c r="IGG108" s="4"/>
      <c r="IGH108" s="4"/>
      <c r="IGI108" s="4"/>
      <c r="IGJ108" s="4"/>
      <c r="IGK108" s="4"/>
      <c r="IGL108" s="4"/>
      <c r="IGM108" s="4"/>
      <c r="IGN108" s="4"/>
      <c r="IGO108" s="4"/>
      <c r="IGP108" s="4"/>
      <c r="IGQ108" s="4"/>
      <c r="IGR108" s="4"/>
      <c r="IGS108" s="4"/>
      <c r="IGT108" s="4"/>
      <c r="IGU108" s="4"/>
      <c r="IGV108" s="4"/>
      <c r="IGW108" s="4"/>
      <c r="IGX108" s="4"/>
      <c r="IGY108" s="4"/>
      <c r="IGZ108" s="4"/>
      <c r="IHA108" s="4"/>
      <c r="IHB108" s="4"/>
      <c r="IHC108" s="4"/>
      <c r="IHD108" s="4"/>
      <c r="IHE108" s="4"/>
      <c r="IHF108" s="4"/>
      <c r="IHG108" s="4"/>
      <c r="IHH108" s="4"/>
      <c r="IHI108" s="4"/>
      <c r="IHJ108" s="4"/>
      <c r="IHK108" s="4"/>
      <c r="IHL108" s="4"/>
      <c r="IHM108" s="4"/>
      <c r="IHN108" s="4"/>
      <c r="IHO108" s="4"/>
      <c r="IHP108" s="4"/>
      <c r="IHQ108" s="4"/>
      <c r="IHR108" s="4"/>
      <c r="IHS108" s="4"/>
      <c r="IHT108" s="4"/>
      <c r="IHU108" s="4"/>
      <c r="IHV108" s="4"/>
      <c r="IHW108" s="4"/>
      <c r="IHX108" s="4"/>
      <c r="IHY108" s="4"/>
      <c r="IHZ108" s="4"/>
      <c r="IIA108" s="4"/>
      <c r="IIB108" s="4"/>
      <c r="IIC108" s="4"/>
      <c r="IID108" s="4"/>
      <c r="IIE108" s="4"/>
      <c r="IIF108" s="4"/>
      <c r="IIG108" s="4"/>
      <c r="IIH108" s="4"/>
      <c r="III108" s="4"/>
      <c r="IIJ108" s="4"/>
      <c r="IIK108" s="4"/>
      <c r="IIL108" s="4"/>
      <c r="IIM108" s="4"/>
      <c r="IIN108" s="4"/>
      <c r="IIO108" s="4"/>
      <c r="IIP108" s="4"/>
      <c r="IIQ108" s="4"/>
      <c r="IIR108" s="4"/>
      <c r="IIS108" s="4"/>
      <c r="IIT108" s="4"/>
      <c r="IIU108" s="4"/>
      <c r="IIV108" s="4"/>
      <c r="IIW108" s="4"/>
      <c r="IIX108" s="4"/>
      <c r="IIY108" s="4"/>
      <c r="IIZ108" s="4"/>
      <c r="IJA108" s="4"/>
      <c r="IJB108" s="4"/>
      <c r="IJC108" s="4"/>
      <c r="IJD108" s="4"/>
      <c r="IJE108" s="4"/>
      <c r="IJF108" s="4"/>
      <c r="IJG108" s="4"/>
      <c r="IJH108" s="4"/>
      <c r="IJI108" s="4"/>
      <c r="IJJ108" s="4"/>
      <c r="IJK108" s="4"/>
      <c r="IJL108" s="4"/>
      <c r="IJM108" s="4"/>
      <c r="IJN108" s="4"/>
      <c r="IJO108" s="4"/>
      <c r="IJP108" s="4"/>
      <c r="IJQ108" s="4"/>
      <c r="IJR108" s="4"/>
      <c r="IJS108" s="4"/>
      <c r="IJT108" s="4"/>
      <c r="IJU108" s="4"/>
      <c r="IJV108" s="4"/>
      <c r="IJW108" s="4"/>
      <c r="IJX108" s="4"/>
      <c r="IJY108" s="4"/>
      <c r="IJZ108" s="4"/>
      <c r="IKA108" s="4"/>
      <c r="IKB108" s="4"/>
      <c r="IKC108" s="4"/>
      <c r="IKD108" s="4"/>
      <c r="IKE108" s="4"/>
      <c r="IKF108" s="4"/>
      <c r="IKG108" s="4"/>
      <c r="IKH108" s="4"/>
      <c r="IKI108" s="4"/>
      <c r="IKJ108" s="4"/>
      <c r="IKK108" s="4"/>
      <c r="IKL108" s="4"/>
      <c r="IKM108" s="4"/>
      <c r="IKN108" s="4"/>
      <c r="IKO108" s="4"/>
      <c r="IKP108" s="4"/>
      <c r="IKQ108" s="4"/>
      <c r="IKR108" s="4"/>
      <c r="IKS108" s="4"/>
      <c r="IKT108" s="4"/>
      <c r="IKU108" s="4"/>
      <c r="IKV108" s="4"/>
      <c r="IKW108" s="4"/>
      <c r="IKX108" s="4"/>
      <c r="IKY108" s="4"/>
      <c r="IKZ108" s="4"/>
      <c r="ILA108" s="4"/>
      <c r="ILB108" s="4"/>
      <c r="ILC108" s="4"/>
      <c r="ILD108" s="4"/>
      <c r="ILE108" s="4"/>
      <c r="ILF108" s="4"/>
      <c r="ILG108" s="4"/>
      <c r="ILH108" s="4"/>
      <c r="ILI108" s="4"/>
      <c r="ILJ108" s="4"/>
      <c r="ILK108" s="4"/>
      <c r="ILL108" s="4"/>
      <c r="ILM108" s="4"/>
      <c r="ILN108" s="4"/>
      <c r="ILO108" s="4"/>
      <c r="ILP108" s="4"/>
      <c r="ILQ108" s="4"/>
      <c r="ILR108" s="4"/>
      <c r="ILS108" s="4"/>
      <c r="ILT108" s="4"/>
      <c r="ILU108" s="4"/>
      <c r="ILV108" s="4"/>
      <c r="ILW108" s="4"/>
      <c r="ILX108" s="4"/>
      <c r="ILY108" s="4"/>
      <c r="ILZ108" s="4"/>
      <c r="IMA108" s="4"/>
      <c r="IMB108" s="4"/>
      <c r="IMC108" s="4"/>
      <c r="IMD108" s="4"/>
      <c r="IME108" s="4"/>
      <c r="IMF108" s="4"/>
      <c r="IMG108" s="4"/>
      <c r="IMH108" s="4"/>
      <c r="IMI108" s="4"/>
      <c r="IMJ108" s="4"/>
      <c r="IMK108" s="4"/>
      <c r="IML108" s="4"/>
      <c r="IMM108" s="4"/>
      <c r="IMN108" s="4"/>
      <c r="IMO108" s="4"/>
      <c r="IMP108" s="4"/>
      <c r="IMQ108" s="4"/>
      <c r="IMR108" s="4"/>
      <c r="IMS108" s="4"/>
      <c r="IMT108" s="4"/>
      <c r="IMU108" s="4"/>
      <c r="IMV108" s="4"/>
      <c r="IMW108" s="4"/>
      <c r="IMX108" s="4"/>
      <c r="IMY108" s="4"/>
      <c r="IMZ108" s="4"/>
      <c r="INA108" s="4"/>
      <c r="INB108" s="4"/>
      <c r="INC108" s="4"/>
      <c r="IND108" s="4"/>
      <c r="INE108" s="4"/>
      <c r="INF108" s="4"/>
      <c r="ING108" s="4"/>
      <c r="INH108" s="4"/>
      <c r="INI108" s="4"/>
      <c r="INJ108" s="4"/>
      <c r="INK108" s="4"/>
      <c r="INL108" s="4"/>
      <c r="INM108" s="4"/>
      <c r="INN108" s="4"/>
      <c r="INO108" s="4"/>
      <c r="INP108" s="4"/>
      <c r="INQ108" s="4"/>
      <c r="INR108" s="4"/>
      <c r="INS108" s="4"/>
      <c r="INT108" s="4"/>
      <c r="INU108" s="4"/>
      <c r="INV108" s="4"/>
      <c r="INW108" s="4"/>
      <c r="INX108" s="4"/>
      <c r="INY108" s="4"/>
      <c r="INZ108" s="4"/>
      <c r="IOA108" s="4"/>
      <c r="IOB108" s="4"/>
      <c r="IOC108" s="4"/>
      <c r="IOD108" s="4"/>
      <c r="IOE108" s="4"/>
      <c r="IOF108" s="4"/>
      <c r="IOG108" s="4"/>
      <c r="IOH108" s="4"/>
      <c r="IOI108" s="4"/>
      <c r="IOJ108" s="4"/>
      <c r="IOK108" s="4"/>
      <c r="IOL108" s="4"/>
      <c r="IOM108" s="4"/>
      <c r="ION108" s="4"/>
      <c r="IOO108" s="4"/>
      <c r="IOP108" s="4"/>
      <c r="IOQ108" s="4"/>
      <c r="IOR108" s="4"/>
      <c r="IOS108" s="4"/>
      <c r="IOT108" s="4"/>
      <c r="IOU108" s="4"/>
      <c r="IOV108" s="4"/>
      <c r="IOW108" s="4"/>
      <c r="IOX108" s="4"/>
      <c r="IOY108" s="4"/>
      <c r="IOZ108" s="4"/>
      <c r="IPA108" s="4"/>
      <c r="IPB108" s="4"/>
      <c r="IPC108" s="4"/>
      <c r="IPD108" s="4"/>
      <c r="IPE108" s="4"/>
      <c r="IPF108" s="4"/>
      <c r="IPG108" s="4"/>
      <c r="IPH108" s="4"/>
      <c r="IPI108" s="4"/>
      <c r="IPJ108" s="4"/>
      <c r="IPK108" s="4"/>
      <c r="IPL108" s="4"/>
      <c r="IPM108" s="4"/>
      <c r="IPN108" s="4"/>
      <c r="IPO108" s="4"/>
      <c r="IPP108" s="4"/>
      <c r="IPQ108" s="4"/>
      <c r="IPR108" s="4"/>
      <c r="IPS108" s="4"/>
      <c r="IPT108" s="4"/>
      <c r="IPU108" s="4"/>
      <c r="IPV108" s="4"/>
      <c r="IPW108" s="4"/>
      <c r="IPX108" s="4"/>
      <c r="IPY108" s="4"/>
      <c r="IPZ108" s="4"/>
      <c r="IQA108" s="4"/>
      <c r="IQB108" s="4"/>
      <c r="IQC108" s="4"/>
      <c r="IQD108" s="4"/>
      <c r="IQE108" s="4"/>
      <c r="IQF108" s="4"/>
      <c r="IQG108" s="4"/>
      <c r="IQH108" s="4"/>
      <c r="IQI108" s="4"/>
      <c r="IQJ108" s="4"/>
      <c r="IQK108" s="4"/>
      <c r="IQL108" s="4"/>
      <c r="IQM108" s="4"/>
      <c r="IQN108" s="4"/>
      <c r="IQO108" s="4"/>
      <c r="IQP108" s="4"/>
      <c r="IQQ108" s="4"/>
      <c r="IQR108" s="4"/>
      <c r="IQS108" s="4"/>
      <c r="IQT108" s="4"/>
      <c r="IQU108" s="4"/>
      <c r="IQV108" s="4"/>
      <c r="IQW108" s="4"/>
      <c r="IQX108" s="4"/>
      <c r="IQY108" s="4"/>
      <c r="IQZ108" s="4"/>
      <c r="IRA108" s="4"/>
      <c r="IRB108" s="4"/>
      <c r="IRC108" s="4"/>
      <c r="IRD108" s="4"/>
      <c r="IRE108" s="4"/>
      <c r="IRF108" s="4"/>
      <c r="IRG108" s="4"/>
      <c r="IRH108" s="4"/>
      <c r="IRI108" s="4"/>
      <c r="IRJ108" s="4"/>
      <c r="IRK108" s="4"/>
      <c r="IRL108" s="4"/>
      <c r="IRM108" s="4"/>
      <c r="IRN108" s="4"/>
      <c r="IRO108" s="4"/>
      <c r="IRP108" s="4"/>
      <c r="IRQ108" s="4"/>
      <c r="IRR108" s="4"/>
      <c r="IRS108" s="4"/>
      <c r="IRT108" s="4"/>
      <c r="IRU108" s="4"/>
      <c r="IRV108" s="4"/>
      <c r="IRW108" s="4"/>
      <c r="IRX108" s="4"/>
      <c r="IRY108" s="4"/>
      <c r="IRZ108" s="4"/>
      <c r="ISA108" s="4"/>
      <c r="ISB108" s="4"/>
      <c r="ISC108" s="4"/>
      <c r="ISD108" s="4"/>
      <c r="ISE108" s="4"/>
      <c r="ISF108" s="4"/>
      <c r="ISG108" s="4"/>
      <c r="ISH108" s="4"/>
      <c r="ISI108" s="4"/>
      <c r="ISJ108" s="4"/>
      <c r="ISK108" s="4"/>
      <c r="ISL108" s="4"/>
      <c r="ISM108" s="4"/>
      <c r="ISN108" s="4"/>
      <c r="ISO108" s="4"/>
      <c r="ISP108" s="4"/>
      <c r="ISQ108" s="4"/>
      <c r="ISR108" s="4"/>
      <c r="ISS108" s="4"/>
      <c r="IST108" s="4"/>
      <c r="ISU108" s="4"/>
      <c r="ISV108" s="4"/>
      <c r="ISW108" s="4"/>
      <c r="ISX108" s="4"/>
      <c r="ISY108" s="4"/>
      <c r="ISZ108" s="4"/>
      <c r="ITA108" s="4"/>
      <c r="ITB108" s="4"/>
      <c r="ITC108" s="4"/>
      <c r="ITD108" s="4"/>
      <c r="ITE108" s="4"/>
      <c r="ITF108" s="4"/>
      <c r="ITG108" s="4"/>
      <c r="ITH108" s="4"/>
      <c r="ITI108" s="4"/>
      <c r="ITJ108" s="4"/>
      <c r="ITK108" s="4"/>
      <c r="ITL108" s="4"/>
      <c r="ITM108" s="4"/>
      <c r="ITN108" s="4"/>
      <c r="ITO108" s="4"/>
      <c r="ITP108" s="4"/>
      <c r="ITQ108" s="4"/>
      <c r="ITR108" s="4"/>
      <c r="ITS108" s="4"/>
      <c r="ITT108" s="4"/>
      <c r="ITU108" s="4"/>
      <c r="ITV108" s="4"/>
      <c r="ITW108" s="4"/>
      <c r="ITX108" s="4"/>
      <c r="ITY108" s="4"/>
      <c r="ITZ108" s="4"/>
      <c r="IUA108" s="4"/>
      <c r="IUB108" s="4"/>
      <c r="IUC108" s="4"/>
      <c r="IUD108" s="4"/>
      <c r="IUE108" s="4"/>
      <c r="IUF108" s="4"/>
      <c r="IUG108" s="4"/>
      <c r="IUH108" s="4"/>
      <c r="IUI108" s="4"/>
      <c r="IUJ108" s="4"/>
      <c r="IUK108" s="4"/>
      <c r="IUL108" s="4"/>
      <c r="IUM108" s="4"/>
      <c r="IUN108" s="4"/>
      <c r="IUO108" s="4"/>
      <c r="IUP108" s="4"/>
      <c r="IUQ108" s="4"/>
      <c r="IUR108" s="4"/>
      <c r="IUS108" s="4"/>
      <c r="IUT108" s="4"/>
      <c r="IUU108" s="4"/>
      <c r="IUV108" s="4"/>
      <c r="IUW108" s="4"/>
      <c r="IUX108" s="4"/>
      <c r="IUY108" s="4"/>
      <c r="IUZ108" s="4"/>
      <c r="IVA108" s="4"/>
      <c r="IVB108" s="4"/>
      <c r="IVC108" s="4"/>
      <c r="IVD108" s="4"/>
      <c r="IVE108" s="4"/>
      <c r="IVF108" s="4"/>
      <c r="IVG108" s="4"/>
      <c r="IVH108" s="4"/>
      <c r="IVI108" s="4"/>
      <c r="IVJ108" s="4"/>
      <c r="IVK108" s="4"/>
      <c r="IVL108" s="4"/>
      <c r="IVM108" s="4"/>
      <c r="IVN108" s="4"/>
      <c r="IVO108" s="4"/>
      <c r="IVP108" s="4"/>
      <c r="IVQ108" s="4"/>
      <c r="IVR108" s="4"/>
      <c r="IVS108" s="4"/>
      <c r="IVT108" s="4"/>
      <c r="IVU108" s="4"/>
      <c r="IVV108" s="4"/>
      <c r="IVW108" s="4"/>
      <c r="IVX108" s="4"/>
      <c r="IVY108" s="4"/>
      <c r="IVZ108" s="4"/>
      <c r="IWA108" s="4"/>
      <c r="IWB108" s="4"/>
      <c r="IWC108" s="4"/>
      <c r="IWD108" s="4"/>
      <c r="IWE108" s="4"/>
      <c r="IWF108" s="4"/>
      <c r="IWG108" s="4"/>
      <c r="IWH108" s="4"/>
      <c r="IWI108" s="4"/>
      <c r="IWJ108" s="4"/>
      <c r="IWK108" s="4"/>
      <c r="IWL108" s="4"/>
      <c r="IWM108" s="4"/>
      <c r="IWN108" s="4"/>
      <c r="IWO108" s="4"/>
      <c r="IWP108" s="4"/>
      <c r="IWQ108" s="4"/>
      <c r="IWR108" s="4"/>
      <c r="IWS108" s="4"/>
      <c r="IWT108" s="4"/>
      <c r="IWU108" s="4"/>
      <c r="IWV108" s="4"/>
      <c r="IWW108" s="4"/>
      <c r="IWX108" s="4"/>
      <c r="IWY108" s="4"/>
      <c r="IWZ108" s="4"/>
      <c r="IXA108" s="4"/>
      <c r="IXB108" s="4"/>
      <c r="IXC108" s="4"/>
      <c r="IXD108" s="4"/>
      <c r="IXE108" s="4"/>
      <c r="IXF108" s="4"/>
      <c r="IXG108" s="4"/>
      <c r="IXH108" s="4"/>
      <c r="IXI108" s="4"/>
      <c r="IXJ108" s="4"/>
      <c r="IXK108" s="4"/>
      <c r="IXL108" s="4"/>
      <c r="IXM108" s="4"/>
      <c r="IXN108" s="4"/>
      <c r="IXO108" s="4"/>
      <c r="IXP108" s="4"/>
      <c r="IXQ108" s="4"/>
      <c r="IXR108" s="4"/>
      <c r="IXS108" s="4"/>
      <c r="IXT108" s="4"/>
      <c r="IXU108" s="4"/>
      <c r="IXV108" s="4"/>
      <c r="IXW108" s="4"/>
      <c r="IXX108" s="4"/>
      <c r="IXY108" s="4"/>
      <c r="IXZ108" s="4"/>
      <c r="IYA108" s="4"/>
      <c r="IYB108" s="4"/>
      <c r="IYC108" s="4"/>
      <c r="IYD108" s="4"/>
      <c r="IYE108" s="4"/>
      <c r="IYF108" s="4"/>
      <c r="IYG108" s="4"/>
      <c r="IYH108" s="4"/>
      <c r="IYI108" s="4"/>
      <c r="IYJ108" s="4"/>
      <c r="IYK108" s="4"/>
      <c r="IYL108" s="4"/>
      <c r="IYM108" s="4"/>
      <c r="IYN108" s="4"/>
      <c r="IYO108" s="4"/>
      <c r="IYP108" s="4"/>
      <c r="IYQ108" s="4"/>
      <c r="IYR108" s="4"/>
      <c r="IYS108" s="4"/>
      <c r="IYT108" s="4"/>
      <c r="IYU108" s="4"/>
      <c r="IYV108" s="4"/>
      <c r="IYW108" s="4"/>
      <c r="IYX108" s="4"/>
      <c r="IYY108" s="4"/>
      <c r="IYZ108" s="4"/>
      <c r="IZA108" s="4"/>
      <c r="IZB108" s="4"/>
      <c r="IZC108" s="4"/>
      <c r="IZD108" s="4"/>
      <c r="IZE108" s="4"/>
      <c r="IZF108" s="4"/>
      <c r="IZG108" s="4"/>
      <c r="IZH108" s="4"/>
      <c r="IZI108" s="4"/>
      <c r="IZJ108" s="4"/>
      <c r="IZK108" s="4"/>
      <c r="IZL108" s="4"/>
      <c r="IZM108" s="4"/>
      <c r="IZN108" s="4"/>
      <c r="IZO108" s="4"/>
      <c r="IZP108" s="4"/>
      <c r="IZQ108" s="4"/>
      <c r="IZR108" s="4"/>
      <c r="IZS108" s="4"/>
      <c r="IZT108" s="4"/>
      <c r="IZU108" s="4"/>
      <c r="IZV108" s="4"/>
      <c r="IZW108" s="4"/>
      <c r="IZX108" s="4"/>
      <c r="IZY108" s="4"/>
      <c r="IZZ108" s="4"/>
      <c r="JAA108" s="4"/>
      <c r="JAB108" s="4"/>
      <c r="JAC108" s="4"/>
      <c r="JAD108" s="4"/>
      <c r="JAE108" s="4"/>
      <c r="JAF108" s="4"/>
      <c r="JAG108" s="4"/>
      <c r="JAH108" s="4"/>
      <c r="JAI108" s="4"/>
      <c r="JAJ108" s="4"/>
      <c r="JAK108" s="4"/>
      <c r="JAL108" s="4"/>
      <c r="JAM108" s="4"/>
      <c r="JAN108" s="4"/>
      <c r="JAO108" s="4"/>
      <c r="JAP108" s="4"/>
      <c r="JAQ108" s="4"/>
      <c r="JAR108" s="4"/>
      <c r="JAS108" s="4"/>
      <c r="JAT108" s="4"/>
      <c r="JAU108" s="4"/>
      <c r="JAV108" s="4"/>
      <c r="JAW108" s="4"/>
      <c r="JAX108" s="4"/>
      <c r="JAY108" s="4"/>
      <c r="JAZ108" s="4"/>
      <c r="JBA108" s="4"/>
      <c r="JBB108" s="4"/>
      <c r="JBC108" s="4"/>
      <c r="JBD108" s="4"/>
      <c r="JBE108" s="4"/>
      <c r="JBF108" s="4"/>
      <c r="JBG108" s="4"/>
      <c r="JBH108" s="4"/>
      <c r="JBI108" s="4"/>
      <c r="JBJ108" s="4"/>
      <c r="JBK108" s="4"/>
      <c r="JBL108" s="4"/>
      <c r="JBM108" s="4"/>
      <c r="JBN108" s="4"/>
      <c r="JBO108" s="4"/>
      <c r="JBP108" s="4"/>
      <c r="JBQ108" s="4"/>
      <c r="JBR108" s="4"/>
      <c r="JBS108" s="4"/>
      <c r="JBT108" s="4"/>
      <c r="JBU108" s="4"/>
      <c r="JBV108" s="4"/>
      <c r="JBW108" s="4"/>
      <c r="JBX108" s="4"/>
      <c r="JBY108" s="4"/>
      <c r="JBZ108" s="4"/>
      <c r="JCA108" s="4"/>
      <c r="JCB108" s="4"/>
      <c r="JCC108" s="4"/>
      <c r="JCD108" s="4"/>
      <c r="JCE108" s="4"/>
      <c r="JCF108" s="4"/>
      <c r="JCG108" s="4"/>
      <c r="JCH108" s="4"/>
      <c r="JCI108" s="4"/>
      <c r="JCJ108" s="4"/>
      <c r="JCK108" s="4"/>
      <c r="JCL108" s="4"/>
      <c r="JCM108" s="4"/>
      <c r="JCN108" s="4"/>
      <c r="JCO108" s="4"/>
      <c r="JCP108" s="4"/>
      <c r="JCQ108" s="4"/>
      <c r="JCR108" s="4"/>
      <c r="JCS108" s="4"/>
      <c r="JCT108" s="4"/>
      <c r="JCU108" s="4"/>
      <c r="JCV108" s="4"/>
      <c r="JCW108" s="4"/>
      <c r="JCX108" s="4"/>
      <c r="JCY108" s="4"/>
      <c r="JCZ108" s="4"/>
      <c r="JDA108" s="4"/>
      <c r="JDB108" s="4"/>
      <c r="JDC108" s="4"/>
      <c r="JDD108" s="4"/>
      <c r="JDE108" s="4"/>
      <c r="JDF108" s="4"/>
      <c r="JDG108" s="4"/>
      <c r="JDH108" s="4"/>
      <c r="JDI108" s="4"/>
      <c r="JDJ108" s="4"/>
      <c r="JDK108" s="4"/>
      <c r="JDL108" s="4"/>
      <c r="JDM108" s="4"/>
      <c r="JDN108" s="4"/>
      <c r="JDO108" s="4"/>
      <c r="JDP108" s="4"/>
      <c r="JDQ108" s="4"/>
      <c r="JDR108" s="4"/>
      <c r="JDS108" s="4"/>
      <c r="JDT108" s="4"/>
      <c r="JDU108" s="4"/>
      <c r="JDV108" s="4"/>
      <c r="JDW108" s="4"/>
      <c r="JDX108" s="4"/>
      <c r="JDY108" s="4"/>
      <c r="JDZ108" s="4"/>
      <c r="JEA108" s="4"/>
      <c r="JEB108" s="4"/>
      <c r="JEC108" s="4"/>
      <c r="JED108" s="4"/>
      <c r="JEE108" s="4"/>
      <c r="JEF108" s="4"/>
      <c r="JEG108" s="4"/>
      <c r="JEH108" s="4"/>
      <c r="JEI108" s="4"/>
      <c r="JEJ108" s="4"/>
      <c r="JEK108" s="4"/>
      <c r="JEL108" s="4"/>
      <c r="JEM108" s="4"/>
      <c r="JEN108" s="4"/>
      <c r="JEO108" s="4"/>
      <c r="JEP108" s="4"/>
      <c r="JEQ108" s="4"/>
      <c r="JER108" s="4"/>
      <c r="JES108" s="4"/>
      <c r="JET108" s="4"/>
      <c r="JEU108" s="4"/>
      <c r="JEV108" s="4"/>
      <c r="JEW108" s="4"/>
      <c r="JEX108" s="4"/>
      <c r="JEY108" s="4"/>
      <c r="JEZ108" s="4"/>
      <c r="JFA108" s="4"/>
      <c r="JFB108" s="4"/>
      <c r="JFC108" s="4"/>
      <c r="JFD108" s="4"/>
      <c r="JFE108" s="4"/>
      <c r="JFF108" s="4"/>
      <c r="JFG108" s="4"/>
      <c r="JFH108" s="4"/>
      <c r="JFI108" s="4"/>
      <c r="JFJ108" s="4"/>
      <c r="JFK108" s="4"/>
      <c r="JFL108" s="4"/>
      <c r="JFM108" s="4"/>
      <c r="JFN108" s="4"/>
      <c r="JFO108" s="4"/>
      <c r="JFP108" s="4"/>
      <c r="JFQ108" s="4"/>
      <c r="JFR108" s="4"/>
      <c r="JFS108" s="4"/>
      <c r="JFT108" s="4"/>
      <c r="JFU108" s="4"/>
      <c r="JFV108" s="4"/>
      <c r="JFW108" s="4"/>
      <c r="JFX108" s="4"/>
      <c r="JFY108" s="4"/>
      <c r="JFZ108" s="4"/>
      <c r="JGA108" s="4"/>
      <c r="JGB108" s="4"/>
      <c r="JGC108" s="4"/>
      <c r="JGD108" s="4"/>
      <c r="JGE108" s="4"/>
      <c r="JGF108" s="4"/>
      <c r="JGG108" s="4"/>
      <c r="JGH108" s="4"/>
      <c r="JGI108" s="4"/>
      <c r="JGJ108" s="4"/>
      <c r="JGK108" s="4"/>
      <c r="JGL108" s="4"/>
      <c r="JGM108" s="4"/>
      <c r="JGN108" s="4"/>
      <c r="JGO108" s="4"/>
      <c r="JGP108" s="4"/>
      <c r="JGQ108" s="4"/>
      <c r="JGR108" s="4"/>
      <c r="JGS108" s="4"/>
      <c r="JGT108" s="4"/>
      <c r="JGU108" s="4"/>
      <c r="JGV108" s="4"/>
      <c r="JGW108" s="4"/>
      <c r="JGX108" s="4"/>
      <c r="JGY108" s="4"/>
      <c r="JGZ108" s="4"/>
      <c r="JHA108" s="4"/>
      <c r="JHB108" s="4"/>
      <c r="JHC108" s="4"/>
      <c r="JHD108" s="4"/>
      <c r="JHE108" s="4"/>
      <c r="JHF108" s="4"/>
      <c r="JHG108" s="4"/>
      <c r="JHH108" s="4"/>
      <c r="JHI108" s="4"/>
      <c r="JHJ108" s="4"/>
      <c r="JHK108" s="4"/>
      <c r="JHL108" s="4"/>
      <c r="JHM108" s="4"/>
      <c r="JHN108" s="4"/>
      <c r="JHO108" s="4"/>
      <c r="JHP108" s="4"/>
      <c r="JHQ108" s="4"/>
      <c r="JHR108" s="4"/>
      <c r="JHS108" s="4"/>
      <c r="JHT108" s="4"/>
      <c r="JHU108" s="4"/>
      <c r="JHV108" s="4"/>
      <c r="JHW108" s="4"/>
      <c r="JHX108" s="4"/>
      <c r="JHY108" s="4"/>
      <c r="JHZ108" s="4"/>
      <c r="JIA108" s="4"/>
      <c r="JIB108" s="4"/>
      <c r="JIC108" s="4"/>
      <c r="JID108" s="4"/>
      <c r="JIE108" s="4"/>
      <c r="JIF108" s="4"/>
      <c r="JIG108" s="4"/>
      <c r="JIH108" s="4"/>
      <c r="JII108" s="4"/>
      <c r="JIJ108" s="4"/>
      <c r="JIK108" s="4"/>
      <c r="JIL108" s="4"/>
      <c r="JIM108" s="4"/>
      <c r="JIN108" s="4"/>
      <c r="JIO108" s="4"/>
      <c r="JIP108" s="4"/>
      <c r="JIQ108" s="4"/>
      <c r="JIR108" s="4"/>
      <c r="JIS108" s="4"/>
      <c r="JIT108" s="4"/>
      <c r="JIU108" s="4"/>
      <c r="JIV108" s="4"/>
      <c r="JIW108" s="4"/>
      <c r="JIX108" s="4"/>
      <c r="JIY108" s="4"/>
      <c r="JIZ108" s="4"/>
      <c r="JJA108" s="4"/>
      <c r="JJB108" s="4"/>
      <c r="JJC108" s="4"/>
      <c r="JJD108" s="4"/>
      <c r="JJE108" s="4"/>
      <c r="JJF108" s="4"/>
      <c r="JJG108" s="4"/>
      <c r="JJH108" s="4"/>
      <c r="JJI108" s="4"/>
      <c r="JJJ108" s="4"/>
      <c r="JJK108" s="4"/>
      <c r="JJL108" s="4"/>
      <c r="JJM108" s="4"/>
      <c r="JJN108" s="4"/>
      <c r="JJO108" s="4"/>
      <c r="JJP108" s="4"/>
      <c r="JJQ108" s="4"/>
      <c r="JJR108" s="4"/>
      <c r="JJS108" s="4"/>
      <c r="JJT108" s="4"/>
      <c r="JJU108" s="4"/>
      <c r="JJV108" s="4"/>
      <c r="JJW108" s="4"/>
      <c r="JJX108" s="4"/>
      <c r="JJY108" s="4"/>
      <c r="JJZ108" s="4"/>
      <c r="JKA108" s="4"/>
      <c r="JKB108" s="4"/>
      <c r="JKC108" s="4"/>
      <c r="JKD108" s="4"/>
      <c r="JKE108" s="4"/>
      <c r="JKF108" s="4"/>
      <c r="JKG108" s="4"/>
      <c r="JKH108" s="4"/>
      <c r="JKI108" s="4"/>
      <c r="JKJ108" s="4"/>
      <c r="JKK108" s="4"/>
      <c r="JKL108" s="4"/>
      <c r="JKM108" s="4"/>
      <c r="JKN108" s="4"/>
      <c r="JKO108" s="4"/>
      <c r="JKP108" s="4"/>
      <c r="JKQ108" s="4"/>
      <c r="JKR108" s="4"/>
      <c r="JKS108" s="4"/>
      <c r="JKT108" s="4"/>
      <c r="JKU108" s="4"/>
      <c r="JKV108" s="4"/>
      <c r="JKW108" s="4"/>
      <c r="JKX108" s="4"/>
      <c r="JKY108" s="4"/>
      <c r="JKZ108" s="4"/>
      <c r="JLA108" s="4"/>
      <c r="JLB108" s="4"/>
      <c r="JLC108" s="4"/>
      <c r="JLD108" s="4"/>
      <c r="JLE108" s="4"/>
      <c r="JLF108" s="4"/>
      <c r="JLG108" s="4"/>
      <c r="JLH108" s="4"/>
      <c r="JLI108" s="4"/>
      <c r="JLJ108" s="4"/>
      <c r="JLK108" s="4"/>
      <c r="JLL108" s="4"/>
      <c r="JLM108" s="4"/>
      <c r="JLN108" s="4"/>
      <c r="JLO108" s="4"/>
      <c r="JLP108" s="4"/>
      <c r="JLQ108" s="4"/>
      <c r="JLR108" s="4"/>
      <c r="JLS108" s="4"/>
      <c r="JLT108" s="4"/>
      <c r="JLU108" s="4"/>
      <c r="JLV108" s="4"/>
      <c r="JLW108" s="4"/>
      <c r="JLX108" s="4"/>
      <c r="JLY108" s="4"/>
      <c r="JLZ108" s="4"/>
      <c r="JMA108" s="4"/>
      <c r="JMB108" s="4"/>
      <c r="JMC108" s="4"/>
      <c r="JMD108" s="4"/>
      <c r="JME108" s="4"/>
      <c r="JMF108" s="4"/>
      <c r="JMG108" s="4"/>
      <c r="JMH108" s="4"/>
      <c r="JMI108" s="4"/>
      <c r="JMJ108" s="4"/>
      <c r="JMK108" s="4"/>
      <c r="JML108" s="4"/>
      <c r="JMM108" s="4"/>
      <c r="JMN108" s="4"/>
      <c r="JMO108" s="4"/>
      <c r="JMP108" s="4"/>
      <c r="JMQ108" s="4"/>
      <c r="JMR108" s="4"/>
      <c r="JMS108" s="4"/>
      <c r="JMT108" s="4"/>
      <c r="JMU108" s="4"/>
      <c r="JMV108" s="4"/>
      <c r="JMW108" s="4"/>
      <c r="JMX108" s="4"/>
      <c r="JMY108" s="4"/>
      <c r="JMZ108" s="4"/>
      <c r="JNA108" s="4"/>
      <c r="JNB108" s="4"/>
      <c r="JNC108" s="4"/>
      <c r="JND108" s="4"/>
      <c r="JNE108" s="4"/>
      <c r="JNF108" s="4"/>
      <c r="JNG108" s="4"/>
      <c r="JNH108" s="4"/>
      <c r="JNI108" s="4"/>
      <c r="JNJ108" s="4"/>
      <c r="JNK108" s="4"/>
      <c r="JNL108" s="4"/>
      <c r="JNM108" s="4"/>
      <c r="JNN108" s="4"/>
      <c r="JNO108" s="4"/>
      <c r="JNP108" s="4"/>
      <c r="JNQ108" s="4"/>
      <c r="JNR108" s="4"/>
      <c r="JNS108" s="4"/>
      <c r="JNT108" s="4"/>
      <c r="JNU108" s="4"/>
      <c r="JNV108" s="4"/>
      <c r="JNW108" s="4"/>
      <c r="JNX108" s="4"/>
      <c r="JNY108" s="4"/>
      <c r="JNZ108" s="4"/>
      <c r="JOA108" s="4"/>
      <c r="JOB108" s="4"/>
      <c r="JOC108" s="4"/>
      <c r="JOD108" s="4"/>
      <c r="JOE108" s="4"/>
      <c r="JOF108" s="4"/>
      <c r="JOG108" s="4"/>
      <c r="JOH108" s="4"/>
      <c r="JOI108" s="4"/>
      <c r="JOJ108" s="4"/>
      <c r="JOK108" s="4"/>
      <c r="JOL108" s="4"/>
      <c r="JOM108" s="4"/>
      <c r="JON108" s="4"/>
      <c r="JOO108" s="4"/>
      <c r="JOP108" s="4"/>
      <c r="JOQ108" s="4"/>
      <c r="JOR108" s="4"/>
      <c r="JOS108" s="4"/>
      <c r="JOT108" s="4"/>
      <c r="JOU108" s="4"/>
      <c r="JOV108" s="4"/>
      <c r="JOW108" s="4"/>
      <c r="JOX108" s="4"/>
      <c r="JOY108" s="4"/>
      <c r="JOZ108" s="4"/>
      <c r="JPA108" s="4"/>
      <c r="JPB108" s="4"/>
      <c r="JPC108" s="4"/>
      <c r="JPD108" s="4"/>
      <c r="JPE108" s="4"/>
      <c r="JPF108" s="4"/>
      <c r="JPG108" s="4"/>
      <c r="JPH108" s="4"/>
      <c r="JPI108" s="4"/>
      <c r="JPJ108" s="4"/>
      <c r="JPK108" s="4"/>
      <c r="JPL108" s="4"/>
      <c r="JPM108" s="4"/>
      <c r="JPN108" s="4"/>
      <c r="JPO108" s="4"/>
      <c r="JPP108" s="4"/>
      <c r="JPQ108" s="4"/>
      <c r="JPR108" s="4"/>
      <c r="JPS108" s="4"/>
      <c r="JPT108" s="4"/>
      <c r="JPU108" s="4"/>
      <c r="JPV108" s="4"/>
      <c r="JPW108" s="4"/>
      <c r="JPX108" s="4"/>
      <c r="JPY108" s="4"/>
      <c r="JPZ108" s="4"/>
      <c r="JQA108" s="4"/>
      <c r="JQB108" s="4"/>
      <c r="JQC108" s="4"/>
      <c r="JQD108" s="4"/>
      <c r="JQE108" s="4"/>
      <c r="JQF108" s="4"/>
      <c r="JQG108" s="4"/>
      <c r="JQH108" s="4"/>
      <c r="JQI108" s="4"/>
      <c r="JQJ108" s="4"/>
      <c r="JQK108" s="4"/>
      <c r="JQL108" s="4"/>
      <c r="JQM108" s="4"/>
      <c r="JQN108" s="4"/>
      <c r="JQO108" s="4"/>
      <c r="JQP108" s="4"/>
      <c r="JQQ108" s="4"/>
      <c r="JQR108" s="4"/>
      <c r="JQS108" s="4"/>
      <c r="JQT108" s="4"/>
      <c r="JQU108" s="4"/>
      <c r="JQV108" s="4"/>
      <c r="JQW108" s="4"/>
      <c r="JQX108" s="4"/>
      <c r="JQY108" s="4"/>
      <c r="JQZ108" s="4"/>
      <c r="JRA108" s="4"/>
      <c r="JRB108" s="4"/>
      <c r="JRC108" s="4"/>
      <c r="JRD108" s="4"/>
      <c r="JRE108" s="4"/>
      <c r="JRF108" s="4"/>
      <c r="JRG108" s="4"/>
      <c r="JRH108" s="4"/>
      <c r="JRI108" s="4"/>
      <c r="JRJ108" s="4"/>
      <c r="JRK108" s="4"/>
      <c r="JRL108" s="4"/>
      <c r="JRM108" s="4"/>
      <c r="JRN108" s="4"/>
      <c r="JRO108" s="4"/>
      <c r="JRP108" s="4"/>
      <c r="JRQ108" s="4"/>
      <c r="JRR108" s="4"/>
      <c r="JRS108" s="4"/>
      <c r="JRT108" s="4"/>
      <c r="JRU108" s="4"/>
      <c r="JRV108" s="4"/>
      <c r="JRW108" s="4"/>
      <c r="JRX108" s="4"/>
      <c r="JRY108" s="4"/>
      <c r="JRZ108" s="4"/>
      <c r="JSA108" s="4"/>
      <c r="JSB108" s="4"/>
      <c r="JSC108" s="4"/>
      <c r="JSD108" s="4"/>
      <c r="JSE108" s="4"/>
      <c r="JSF108" s="4"/>
      <c r="JSG108" s="4"/>
      <c r="JSH108" s="4"/>
      <c r="JSI108" s="4"/>
      <c r="JSJ108" s="4"/>
      <c r="JSK108" s="4"/>
      <c r="JSL108" s="4"/>
      <c r="JSM108" s="4"/>
      <c r="JSN108" s="4"/>
      <c r="JSO108" s="4"/>
      <c r="JSP108" s="4"/>
      <c r="JSQ108" s="4"/>
      <c r="JSR108" s="4"/>
      <c r="JSS108" s="4"/>
      <c r="JST108" s="4"/>
      <c r="JSU108" s="4"/>
      <c r="JSV108" s="4"/>
      <c r="JSW108" s="4"/>
      <c r="JSX108" s="4"/>
      <c r="JSY108" s="4"/>
      <c r="JSZ108" s="4"/>
      <c r="JTA108" s="4"/>
      <c r="JTB108" s="4"/>
      <c r="JTC108" s="4"/>
      <c r="JTD108" s="4"/>
      <c r="JTE108" s="4"/>
      <c r="JTF108" s="4"/>
      <c r="JTG108" s="4"/>
      <c r="JTH108" s="4"/>
      <c r="JTI108" s="4"/>
      <c r="JTJ108" s="4"/>
      <c r="JTK108" s="4"/>
      <c r="JTL108" s="4"/>
      <c r="JTM108" s="4"/>
      <c r="JTN108" s="4"/>
      <c r="JTO108" s="4"/>
      <c r="JTP108" s="4"/>
      <c r="JTQ108" s="4"/>
      <c r="JTR108" s="4"/>
      <c r="JTS108" s="4"/>
      <c r="JTT108" s="4"/>
      <c r="JTU108" s="4"/>
      <c r="JTV108" s="4"/>
      <c r="JTW108" s="4"/>
      <c r="JTX108" s="4"/>
      <c r="JTY108" s="4"/>
      <c r="JTZ108" s="4"/>
      <c r="JUA108" s="4"/>
      <c r="JUB108" s="4"/>
      <c r="JUC108" s="4"/>
      <c r="JUD108" s="4"/>
      <c r="JUE108" s="4"/>
      <c r="JUF108" s="4"/>
      <c r="JUG108" s="4"/>
      <c r="JUH108" s="4"/>
      <c r="JUI108" s="4"/>
      <c r="JUJ108" s="4"/>
      <c r="JUK108" s="4"/>
      <c r="JUL108" s="4"/>
      <c r="JUM108" s="4"/>
      <c r="JUN108" s="4"/>
      <c r="JUO108" s="4"/>
      <c r="JUP108" s="4"/>
      <c r="JUQ108" s="4"/>
      <c r="JUR108" s="4"/>
      <c r="JUS108" s="4"/>
      <c r="JUT108" s="4"/>
      <c r="JUU108" s="4"/>
      <c r="JUV108" s="4"/>
      <c r="JUW108" s="4"/>
      <c r="JUX108" s="4"/>
      <c r="JUY108" s="4"/>
      <c r="JUZ108" s="4"/>
      <c r="JVA108" s="4"/>
      <c r="JVB108" s="4"/>
      <c r="JVC108" s="4"/>
      <c r="JVD108" s="4"/>
      <c r="JVE108" s="4"/>
      <c r="JVF108" s="4"/>
      <c r="JVG108" s="4"/>
      <c r="JVH108" s="4"/>
      <c r="JVI108" s="4"/>
      <c r="JVJ108" s="4"/>
      <c r="JVK108" s="4"/>
      <c r="JVL108" s="4"/>
      <c r="JVM108" s="4"/>
      <c r="JVN108" s="4"/>
      <c r="JVO108" s="4"/>
      <c r="JVP108" s="4"/>
      <c r="JVQ108" s="4"/>
      <c r="JVR108" s="4"/>
      <c r="JVS108" s="4"/>
      <c r="JVT108" s="4"/>
      <c r="JVU108" s="4"/>
      <c r="JVV108" s="4"/>
      <c r="JVW108" s="4"/>
      <c r="JVX108" s="4"/>
      <c r="JVY108" s="4"/>
      <c r="JVZ108" s="4"/>
      <c r="JWA108" s="4"/>
      <c r="JWB108" s="4"/>
      <c r="JWC108" s="4"/>
      <c r="JWD108" s="4"/>
      <c r="JWE108" s="4"/>
      <c r="JWF108" s="4"/>
      <c r="JWG108" s="4"/>
      <c r="JWH108" s="4"/>
      <c r="JWI108" s="4"/>
      <c r="JWJ108" s="4"/>
      <c r="JWK108" s="4"/>
      <c r="JWL108" s="4"/>
      <c r="JWM108" s="4"/>
      <c r="JWN108" s="4"/>
      <c r="JWO108" s="4"/>
      <c r="JWP108" s="4"/>
      <c r="JWQ108" s="4"/>
      <c r="JWR108" s="4"/>
      <c r="JWS108" s="4"/>
      <c r="JWT108" s="4"/>
      <c r="JWU108" s="4"/>
      <c r="JWV108" s="4"/>
      <c r="JWW108" s="4"/>
      <c r="JWX108" s="4"/>
      <c r="JWY108" s="4"/>
      <c r="JWZ108" s="4"/>
      <c r="JXA108" s="4"/>
      <c r="JXB108" s="4"/>
      <c r="JXC108" s="4"/>
      <c r="JXD108" s="4"/>
      <c r="JXE108" s="4"/>
      <c r="JXF108" s="4"/>
      <c r="JXG108" s="4"/>
      <c r="JXH108" s="4"/>
      <c r="JXI108" s="4"/>
      <c r="JXJ108" s="4"/>
      <c r="JXK108" s="4"/>
      <c r="JXL108" s="4"/>
      <c r="JXM108" s="4"/>
      <c r="JXN108" s="4"/>
      <c r="JXO108" s="4"/>
      <c r="JXP108" s="4"/>
      <c r="JXQ108" s="4"/>
      <c r="JXR108" s="4"/>
      <c r="JXS108" s="4"/>
      <c r="JXT108" s="4"/>
      <c r="JXU108" s="4"/>
      <c r="JXV108" s="4"/>
      <c r="JXW108" s="4"/>
      <c r="JXX108" s="4"/>
      <c r="JXY108" s="4"/>
      <c r="JXZ108" s="4"/>
      <c r="JYA108" s="4"/>
      <c r="JYB108" s="4"/>
      <c r="JYC108" s="4"/>
      <c r="JYD108" s="4"/>
      <c r="JYE108" s="4"/>
      <c r="JYF108" s="4"/>
      <c r="JYG108" s="4"/>
      <c r="JYH108" s="4"/>
      <c r="JYI108" s="4"/>
      <c r="JYJ108" s="4"/>
      <c r="JYK108" s="4"/>
      <c r="JYL108" s="4"/>
      <c r="JYM108" s="4"/>
      <c r="JYN108" s="4"/>
      <c r="JYO108" s="4"/>
      <c r="JYP108" s="4"/>
      <c r="JYQ108" s="4"/>
      <c r="JYR108" s="4"/>
      <c r="JYS108" s="4"/>
      <c r="JYT108" s="4"/>
      <c r="JYU108" s="4"/>
      <c r="JYV108" s="4"/>
      <c r="JYW108" s="4"/>
      <c r="JYX108" s="4"/>
      <c r="JYY108" s="4"/>
      <c r="JYZ108" s="4"/>
      <c r="JZA108" s="4"/>
      <c r="JZB108" s="4"/>
      <c r="JZC108" s="4"/>
      <c r="JZD108" s="4"/>
      <c r="JZE108" s="4"/>
      <c r="JZF108" s="4"/>
      <c r="JZG108" s="4"/>
      <c r="JZH108" s="4"/>
      <c r="JZI108" s="4"/>
      <c r="JZJ108" s="4"/>
      <c r="JZK108" s="4"/>
      <c r="JZL108" s="4"/>
      <c r="JZM108" s="4"/>
      <c r="JZN108" s="4"/>
      <c r="JZO108" s="4"/>
      <c r="JZP108" s="4"/>
      <c r="JZQ108" s="4"/>
      <c r="JZR108" s="4"/>
      <c r="JZS108" s="4"/>
      <c r="JZT108" s="4"/>
      <c r="JZU108" s="4"/>
      <c r="JZV108" s="4"/>
      <c r="JZW108" s="4"/>
      <c r="JZX108" s="4"/>
      <c r="JZY108" s="4"/>
      <c r="JZZ108" s="4"/>
      <c r="KAA108" s="4"/>
      <c r="KAB108" s="4"/>
      <c r="KAC108" s="4"/>
      <c r="KAD108" s="4"/>
      <c r="KAE108" s="4"/>
      <c r="KAF108" s="4"/>
      <c r="KAG108" s="4"/>
      <c r="KAH108" s="4"/>
      <c r="KAI108" s="4"/>
      <c r="KAJ108" s="4"/>
      <c r="KAK108" s="4"/>
      <c r="KAL108" s="4"/>
      <c r="KAM108" s="4"/>
      <c r="KAN108" s="4"/>
      <c r="KAO108" s="4"/>
      <c r="KAP108" s="4"/>
      <c r="KAQ108" s="4"/>
      <c r="KAR108" s="4"/>
      <c r="KAS108" s="4"/>
      <c r="KAT108" s="4"/>
      <c r="KAU108" s="4"/>
      <c r="KAV108" s="4"/>
      <c r="KAW108" s="4"/>
      <c r="KAX108" s="4"/>
      <c r="KAY108" s="4"/>
      <c r="KAZ108" s="4"/>
      <c r="KBA108" s="4"/>
      <c r="KBB108" s="4"/>
      <c r="KBC108" s="4"/>
      <c r="KBD108" s="4"/>
      <c r="KBE108" s="4"/>
      <c r="KBF108" s="4"/>
      <c r="KBG108" s="4"/>
      <c r="KBH108" s="4"/>
      <c r="KBI108" s="4"/>
      <c r="KBJ108" s="4"/>
      <c r="KBK108" s="4"/>
      <c r="KBL108" s="4"/>
      <c r="KBM108" s="4"/>
      <c r="KBN108" s="4"/>
      <c r="KBO108" s="4"/>
      <c r="KBP108" s="4"/>
      <c r="KBQ108" s="4"/>
      <c r="KBR108" s="4"/>
      <c r="KBS108" s="4"/>
      <c r="KBT108" s="4"/>
      <c r="KBU108" s="4"/>
      <c r="KBV108" s="4"/>
      <c r="KBW108" s="4"/>
      <c r="KBX108" s="4"/>
      <c r="KBY108" s="4"/>
      <c r="KBZ108" s="4"/>
      <c r="KCA108" s="4"/>
      <c r="KCB108" s="4"/>
      <c r="KCC108" s="4"/>
      <c r="KCD108" s="4"/>
      <c r="KCE108" s="4"/>
      <c r="KCF108" s="4"/>
      <c r="KCG108" s="4"/>
      <c r="KCH108" s="4"/>
      <c r="KCI108" s="4"/>
      <c r="KCJ108" s="4"/>
      <c r="KCK108" s="4"/>
      <c r="KCL108" s="4"/>
      <c r="KCM108" s="4"/>
      <c r="KCN108" s="4"/>
      <c r="KCO108" s="4"/>
      <c r="KCP108" s="4"/>
      <c r="KCQ108" s="4"/>
      <c r="KCR108" s="4"/>
      <c r="KCS108" s="4"/>
      <c r="KCT108" s="4"/>
      <c r="KCU108" s="4"/>
      <c r="KCV108" s="4"/>
      <c r="KCW108" s="4"/>
      <c r="KCX108" s="4"/>
      <c r="KCY108" s="4"/>
      <c r="KCZ108" s="4"/>
      <c r="KDA108" s="4"/>
      <c r="KDB108" s="4"/>
      <c r="KDC108" s="4"/>
      <c r="KDD108" s="4"/>
      <c r="KDE108" s="4"/>
      <c r="KDF108" s="4"/>
      <c r="KDG108" s="4"/>
      <c r="KDH108" s="4"/>
      <c r="KDI108" s="4"/>
      <c r="KDJ108" s="4"/>
      <c r="KDK108" s="4"/>
      <c r="KDL108" s="4"/>
      <c r="KDM108" s="4"/>
      <c r="KDN108" s="4"/>
      <c r="KDO108" s="4"/>
      <c r="KDP108" s="4"/>
      <c r="KDQ108" s="4"/>
      <c r="KDR108" s="4"/>
      <c r="KDS108" s="4"/>
      <c r="KDT108" s="4"/>
      <c r="KDU108" s="4"/>
      <c r="KDV108" s="4"/>
      <c r="KDW108" s="4"/>
      <c r="KDX108" s="4"/>
      <c r="KDY108" s="4"/>
      <c r="KDZ108" s="4"/>
      <c r="KEA108" s="4"/>
      <c r="KEB108" s="4"/>
      <c r="KEC108" s="4"/>
      <c r="KED108" s="4"/>
      <c r="KEE108" s="4"/>
      <c r="KEF108" s="4"/>
      <c r="KEG108" s="4"/>
      <c r="KEH108" s="4"/>
      <c r="KEI108" s="4"/>
      <c r="KEJ108" s="4"/>
      <c r="KEK108" s="4"/>
      <c r="KEL108" s="4"/>
      <c r="KEM108" s="4"/>
      <c r="KEN108" s="4"/>
      <c r="KEO108" s="4"/>
      <c r="KEP108" s="4"/>
      <c r="KEQ108" s="4"/>
      <c r="KER108" s="4"/>
      <c r="KES108" s="4"/>
      <c r="KET108" s="4"/>
      <c r="KEU108" s="4"/>
      <c r="KEV108" s="4"/>
      <c r="KEW108" s="4"/>
      <c r="KEX108" s="4"/>
      <c r="KEY108" s="4"/>
      <c r="KEZ108" s="4"/>
      <c r="KFA108" s="4"/>
      <c r="KFB108" s="4"/>
      <c r="KFC108" s="4"/>
      <c r="KFD108" s="4"/>
      <c r="KFE108" s="4"/>
      <c r="KFF108" s="4"/>
      <c r="KFG108" s="4"/>
      <c r="KFH108" s="4"/>
      <c r="KFI108" s="4"/>
      <c r="KFJ108" s="4"/>
      <c r="KFK108" s="4"/>
      <c r="KFL108" s="4"/>
      <c r="KFM108" s="4"/>
      <c r="KFN108" s="4"/>
      <c r="KFO108" s="4"/>
      <c r="KFP108" s="4"/>
      <c r="KFQ108" s="4"/>
      <c r="KFR108" s="4"/>
      <c r="KFS108" s="4"/>
      <c r="KFT108" s="4"/>
      <c r="KFU108" s="4"/>
      <c r="KFV108" s="4"/>
      <c r="KFW108" s="4"/>
      <c r="KFX108" s="4"/>
      <c r="KFY108" s="4"/>
      <c r="KFZ108" s="4"/>
      <c r="KGA108" s="4"/>
      <c r="KGB108" s="4"/>
      <c r="KGC108" s="4"/>
      <c r="KGD108" s="4"/>
      <c r="KGE108" s="4"/>
      <c r="KGF108" s="4"/>
      <c r="KGG108" s="4"/>
      <c r="KGH108" s="4"/>
      <c r="KGI108" s="4"/>
      <c r="KGJ108" s="4"/>
      <c r="KGK108" s="4"/>
      <c r="KGL108" s="4"/>
      <c r="KGM108" s="4"/>
      <c r="KGN108" s="4"/>
      <c r="KGO108" s="4"/>
      <c r="KGP108" s="4"/>
      <c r="KGQ108" s="4"/>
      <c r="KGR108" s="4"/>
      <c r="KGS108" s="4"/>
      <c r="KGT108" s="4"/>
      <c r="KGU108" s="4"/>
      <c r="KGV108" s="4"/>
      <c r="KGW108" s="4"/>
      <c r="KGX108" s="4"/>
      <c r="KGY108" s="4"/>
      <c r="KGZ108" s="4"/>
      <c r="KHA108" s="4"/>
      <c r="KHB108" s="4"/>
      <c r="KHC108" s="4"/>
      <c r="KHD108" s="4"/>
      <c r="KHE108" s="4"/>
      <c r="KHF108" s="4"/>
      <c r="KHG108" s="4"/>
      <c r="KHH108" s="4"/>
      <c r="KHI108" s="4"/>
      <c r="KHJ108" s="4"/>
      <c r="KHK108" s="4"/>
      <c r="KHL108" s="4"/>
      <c r="KHM108" s="4"/>
      <c r="KHN108" s="4"/>
      <c r="KHO108" s="4"/>
      <c r="KHP108" s="4"/>
      <c r="KHQ108" s="4"/>
      <c r="KHR108" s="4"/>
      <c r="KHS108" s="4"/>
      <c r="KHT108" s="4"/>
      <c r="KHU108" s="4"/>
      <c r="KHV108" s="4"/>
      <c r="KHW108" s="4"/>
      <c r="KHX108" s="4"/>
      <c r="KHY108" s="4"/>
      <c r="KHZ108" s="4"/>
      <c r="KIA108" s="4"/>
      <c r="KIB108" s="4"/>
      <c r="KIC108" s="4"/>
      <c r="KID108" s="4"/>
      <c r="KIE108" s="4"/>
      <c r="KIF108" s="4"/>
      <c r="KIG108" s="4"/>
      <c r="KIH108" s="4"/>
      <c r="KII108" s="4"/>
      <c r="KIJ108" s="4"/>
      <c r="KIK108" s="4"/>
      <c r="KIL108" s="4"/>
      <c r="KIM108" s="4"/>
      <c r="KIN108" s="4"/>
      <c r="KIO108" s="4"/>
      <c r="KIP108" s="4"/>
      <c r="KIQ108" s="4"/>
      <c r="KIR108" s="4"/>
      <c r="KIS108" s="4"/>
      <c r="KIT108" s="4"/>
      <c r="KIU108" s="4"/>
      <c r="KIV108" s="4"/>
      <c r="KIW108" s="4"/>
      <c r="KIX108" s="4"/>
      <c r="KIY108" s="4"/>
      <c r="KIZ108" s="4"/>
      <c r="KJA108" s="4"/>
      <c r="KJB108" s="4"/>
      <c r="KJC108" s="4"/>
      <c r="KJD108" s="4"/>
      <c r="KJE108" s="4"/>
      <c r="KJF108" s="4"/>
      <c r="KJG108" s="4"/>
      <c r="KJH108" s="4"/>
      <c r="KJI108" s="4"/>
      <c r="KJJ108" s="4"/>
      <c r="KJK108" s="4"/>
      <c r="KJL108" s="4"/>
      <c r="KJM108" s="4"/>
      <c r="KJN108" s="4"/>
      <c r="KJO108" s="4"/>
      <c r="KJP108" s="4"/>
      <c r="KJQ108" s="4"/>
      <c r="KJR108" s="4"/>
      <c r="KJS108" s="4"/>
      <c r="KJT108" s="4"/>
      <c r="KJU108" s="4"/>
      <c r="KJV108" s="4"/>
      <c r="KJW108" s="4"/>
      <c r="KJX108" s="4"/>
      <c r="KJY108" s="4"/>
      <c r="KJZ108" s="4"/>
      <c r="KKA108" s="4"/>
      <c r="KKB108" s="4"/>
      <c r="KKC108" s="4"/>
      <c r="KKD108" s="4"/>
      <c r="KKE108" s="4"/>
      <c r="KKF108" s="4"/>
      <c r="KKG108" s="4"/>
      <c r="KKH108" s="4"/>
      <c r="KKI108" s="4"/>
      <c r="KKJ108" s="4"/>
      <c r="KKK108" s="4"/>
      <c r="KKL108" s="4"/>
      <c r="KKM108" s="4"/>
      <c r="KKN108" s="4"/>
      <c r="KKO108" s="4"/>
      <c r="KKP108" s="4"/>
      <c r="KKQ108" s="4"/>
      <c r="KKR108" s="4"/>
      <c r="KKS108" s="4"/>
      <c r="KKT108" s="4"/>
      <c r="KKU108" s="4"/>
      <c r="KKV108" s="4"/>
      <c r="KKW108" s="4"/>
      <c r="KKX108" s="4"/>
      <c r="KKY108" s="4"/>
      <c r="KKZ108" s="4"/>
      <c r="KLA108" s="4"/>
      <c r="KLB108" s="4"/>
      <c r="KLC108" s="4"/>
      <c r="KLD108" s="4"/>
      <c r="KLE108" s="4"/>
      <c r="KLF108" s="4"/>
      <c r="KLG108" s="4"/>
      <c r="KLH108" s="4"/>
      <c r="KLI108" s="4"/>
      <c r="KLJ108" s="4"/>
      <c r="KLK108" s="4"/>
      <c r="KLL108" s="4"/>
      <c r="KLM108" s="4"/>
      <c r="KLN108" s="4"/>
      <c r="KLO108" s="4"/>
      <c r="KLP108" s="4"/>
      <c r="KLQ108" s="4"/>
      <c r="KLR108" s="4"/>
      <c r="KLS108" s="4"/>
      <c r="KLT108" s="4"/>
      <c r="KLU108" s="4"/>
      <c r="KLV108" s="4"/>
      <c r="KLW108" s="4"/>
      <c r="KLX108" s="4"/>
      <c r="KLY108" s="4"/>
      <c r="KLZ108" s="4"/>
      <c r="KMA108" s="4"/>
      <c r="KMB108" s="4"/>
      <c r="KMC108" s="4"/>
      <c r="KMD108" s="4"/>
      <c r="KME108" s="4"/>
      <c r="KMF108" s="4"/>
      <c r="KMG108" s="4"/>
      <c r="KMH108" s="4"/>
      <c r="KMI108" s="4"/>
      <c r="KMJ108" s="4"/>
      <c r="KMK108" s="4"/>
      <c r="KML108" s="4"/>
      <c r="KMM108" s="4"/>
      <c r="KMN108" s="4"/>
      <c r="KMO108" s="4"/>
      <c r="KMP108" s="4"/>
      <c r="KMQ108" s="4"/>
      <c r="KMR108" s="4"/>
      <c r="KMS108" s="4"/>
      <c r="KMT108" s="4"/>
      <c r="KMU108" s="4"/>
      <c r="KMV108" s="4"/>
      <c r="KMW108" s="4"/>
      <c r="KMX108" s="4"/>
      <c r="KMY108" s="4"/>
      <c r="KMZ108" s="4"/>
      <c r="KNA108" s="4"/>
      <c r="KNB108" s="4"/>
      <c r="KNC108" s="4"/>
      <c r="KND108" s="4"/>
      <c r="KNE108" s="4"/>
      <c r="KNF108" s="4"/>
      <c r="KNG108" s="4"/>
      <c r="KNH108" s="4"/>
      <c r="KNI108" s="4"/>
      <c r="KNJ108" s="4"/>
      <c r="KNK108" s="4"/>
      <c r="KNL108" s="4"/>
      <c r="KNM108" s="4"/>
      <c r="KNN108" s="4"/>
      <c r="KNO108" s="4"/>
      <c r="KNP108" s="4"/>
      <c r="KNQ108" s="4"/>
      <c r="KNR108" s="4"/>
      <c r="KNS108" s="4"/>
      <c r="KNT108" s="4"/>
      <c r="KNU108" s="4"/>
      <c r="KNV108" s="4"/>
      <c r="KNW108" s="4"/>
      <c r="KNX108" s="4"/>
      <c r="KNY108" s="4"/>
      <c r="KNZ108" s="4"/>
      <c r="KOA108" s="4"/>
      <c r="KOB108" s="4"/>
      <c r="KOC108" s="4"/>
      <c r="KOD108" s="4"/>
      <c r="KOE108" s="4"/>
      <c r="KOF108" s="4"/>
      <c r="KOG108" s="4"/>
      <c r="KOH108" s="4"/>
      <c r="KOI108" s="4"/>
      <c r="KOJ108" s="4"/>
      <c r="KOK108" s="4"/>
      <c r="KOL108" s="4"/>
      <c r="KOM108" s="4"/>
      <c r="KON108" s="4"/>
      <c r="KOO108" s="4"/>
      <c r="KOP108" s="4"/>
      <c r="KOQ108" s="4"/>
      <c r="KOR108" s="4"/>
      <c r="KOS108" s="4"/>
      <c r="KOT108" s="4"/>
      <c r="KOU108" s="4"/>
      <c r="KOV108" s="4"/>
      <c r="KOW108" s="4"/>
      <c r="KOX108" s="4"/>
      <c r="KOY108" s="4"/>
      <c r="KOZ108" s="4"/>
      <c r="KPA108" s="4"/>
      <c r="KPB108" s="4"/>
      <c r="KPC108" s="4"/>
      <c r="KPD108" s="4"/>
      <c r="KPE108" s="4"/>
      <c r="KPF108" s="4"/>
      <c r="KPG108" s="4"/>
      <c r="KPH108" s="4"/>
      <c r="KPI108" s="4"/>
      <c r="KPJ108" s="4"/>
      <c r="KPK108" s="4"/>
      <c r="KPL108" s="4"/>
      <c r="KPM108" s="4"/>
      <c r="KPN108" s="4"/>
      <c r="KPO108" s="4"/>
      <c r="KPP108" s="4"/>
      <c r="KPQ108" s="4"/>
      <c r="KPR108" s="4"/>
      <c r="KPS108" s="4"/>
      <c r="KPT108" s="4"/>
      <c r="KPU108" s="4"/>
      <c r="KPV108" s="4"/>
      <c r="KPW108" s="4"/>
      <c r="KPX108" s="4"/>
      <c r="KPY108" s="4"/>
      <c r="KPZ108" s="4"/>
      <c r="KQA108" s="4"/>
      <c r="KQB108" s="4"/>
      <c r="KQC108" s="4"/>
      <c r="KQD108" s="4"/>
      <c r="KQE108" s="4"/>
      <c r="KQF108" s="4"/>
      <c r="KQG108" s="4"/>
      <c r="KQH108" s="4"/>
      <c r="KQI108" s="4"/>
      <c r="KQJ108" s="4"/>
      <c r="KQK108" s="4"/>
      <c r="KQL108" s="4"/>
      <c r="KQM108" s="4"/>
      <c r="KQN108" s="4"/>
      <c r="KQO108" s="4"/>
      <c r="KQP108" s="4"/>
      <c r="KQQ108" s="4"/>
      <c r="KQR108" s="4"/>
      <c r="KQS108" s="4"/>
      <c r="KQT108" s="4"/>
      <c r="KQU108" s="4"/>
      <c r="KQV108" s="4"/>
      <c r="KQW108" s="4"/>
      <c r="KQX108" s="4"/>
      <c r="KQY108" s="4"/>
      <c r="KQZ108" s="4"/>
      <c r="KRA108" s="4"/>
      <c r="KRB108" s="4"/>
      <c r="KRC108" s="4"/>
      <c r="KRD108" s="4"/>
      <c r="KRE108" s="4"/>
      <c r="KRF108" s="4"/>
      <c r="KRG108" s="4"/>
      <c r="KRH108" s="4"/>
      <c r="KRI108" s="4"/>
      <c r="KRJ108" s="4"/>
      <c r="KRK108" s="4"/>
      <c r="KRL108" s="4"/>
      <c r="KRM108" s="4"/>
      <c r="KRN108" s="4"/>
      <c r="KRO108" s="4"/>
      <c r="KRP108" s="4"/>
      <c r="KRQ108" s="4"/>
      <c r="KRR108" s="4"/>
      <c r="KRS108" s="4"/>
      <c r="KRT108" s="4"/>
      <c r="KRU108" s="4"/>
      <c r="KRV108" s="4"/>
      <c r="KRW108" s="4"/>
      <c r="KRX108" s="4"/>
      <c r="KRY108" s="4"/>
      <c r="KRZ108" s="4"/>
      <c r="KSA108" s="4"/>
      <c r="KSB108" s="4"/>
      <c r="KSC108" s="4"/>
      <c r="KSD108" s="4"/>
      <c r="KSE108" s="4"/>
      <c r="KSF108" s="4"/>
      <c r="KSG108" s="4"/>
      <c r="KSH108" s="4"/>
      <c r="KSI108" s="4"/>
      <c r="KSJ108" s="4"/>
      <c r="KSK108" s="4"/>
      <c r="KSL108" s="4"/>
      <c r="KSM108" s="4"/>
      <c r="KSN108" s="4"/>
      <c r="KSO108" s="4"/>
      <c r="KSP108" s="4"/>
      <c r="KSQ108" s="4"/>
      <c r="KSR108" s="4"/>
      <c r="KSS108" s="4"/>
      <c r="KST108" s="4"/>
      <c r="KSU108" s="4"/>
      <c r="KSV108" s="4"/>
      <c r="KSW108" s="4"/>
      <c r="KSX108" s="4"/>
      <c r="KSY108" s="4"/>
      <c r="KSZ108" s="4"/>
      <c r="KTA108" s="4"/>
      <c r="KTB108" s="4"/>
      <c r="KTC108" s="4"/>
      <c r="KTD108" s="4"/>
      <c r="KTE108" s="4"/>
      <c r="KTF108" s="4"/>
      <c r="KTG108" s="4"/>
      <c r="KTH108" s="4"/>
      <c r="KTI108" s="4"/>
      <c r="KTJ108" s="4"/>
      <c r="KTK108" s="4"/>
      <c r="KTL108" s="4"/>
      <c r="KTM108" s="4"/>
      <c r="KTN108" s="4"/>
      <c r="KTO108" s="4"/>
      <c r="KTP108" s="4"/>
      <c r="KTQ108" s="4"/>
      <c r="KTR108" s="4"/>
      <c r="KTS108" s="4"/>
      <c r="KTT108" s="4"/>
      <c r="KTU108" s="4"/>
      <c r="KTV108" s="4"/>
      <c r="KTW108" s="4"/>
      <c r="KTX108" s="4"/>
      <c r="KTY108" s="4"/>
      <c r="KTZ108" s="4"/>
      <c r="KUA108" s="4"/>
      <c r="KUB108" s="4"/>
      <c r="KUC108" s="4"/>
      <c r="KUD108" s="4"/>
      <c r="KUE108" s="4"/>
      <c r="KUF108" s="4"/>
      <c r="KUG108" s="4"/>
      <c r="KUH108" s="4"/>
      <c r="KUI108" s="4"/>
      <c r="KUJ108" s="4"/>
      <c r="KUK108" s="4"/>
      <c r="KUL108" s="4"/>
      <c r="KUM108" s="4"/>
      <c r="KUN108" s="4"/>
      <c r="KUO108" s="4"/>
      <c r="KUP108" s="4"/>
      <c r="KUQ108" s="4"/>
      <c r="KUR108" s="4"/>
      <c r="KUS108" s="4"/>
      <c r="KUT108" s="4"/>
      <c r="KUU108" s="4"/>
      <c r="KUV108" s="4"/>
      <c r="KUW108" s="4"/>
      <c r="KUX108" s="4"/>
      <c r="KUY108" s="4"/>
      <c r="KUZ108" s="4"/>
      <c r="KVA108" s="4"/>
      <c r="KVB108" s="4"/>
      <c r="KVC108" s="4"/>
      <c r="KVD108" s="4"/>
      <c r="KVE108" s="4"/>
      <c r="KVF108" s="4"/>
      <c r="KVG108" s="4"/>
      <c r="KVH108" s="4"/>
      <c r="KVI108" s="4"/>
      <c r="KVJ108" s="4"/>
      <c r="KVK108" s="4"/>
      <c r="KVL108" s="4"/>
      <c r="KVM108" s="4"/>
      <c r="KVN108" s="4"/>
      <c r="KVO108" s="4"/>
      <c r="KVP108" s="4"/>
      <c r="KVQ108" s="4"/>
      <c r="KVR108" s="4"/>
      <c r="KVS108" s="4"/>
      <c r="KVT108" s="4"/>
      <c r="KVU108" s="4"/>
      <c r="KVV108" s="4"/>
      <c r="KVW108" s="4"/>
      <c r="KVX108" s="4"/>
      <c r="KVY108" s="4"/>
      <c r="KVZ108" s="4"/>
      <c r="KWA108" s="4"/>
      <c r="KWB108" s="4"/>
      <c r="KWC108" s="4"/>
      <c r="KWD108" s="4"/>
      <c r="KWE108" s="4"/>
      <c r="KWF108" s="4"/>
      <c r="KWG108" s="4"/>
      <c r="KWH108" s="4"/>
      <c r="KWI108" s="4"/>
      <c r="KWJ108" s="4"/>
      <c r="KWK108" s="4"/>
      <c r="KWL108" s="4"/>
      <c r="KWM108" s="4"/>
      <c r="KWN108" s="4"/>
      <c r="KWO108" s="4"/>
      <c r="KWP108" s="4"/>
      <c r="KWQ108" s="4"/>
      <c r="KWR108" s="4"/>
      <c r="KWS108" s="4"/>
      <c r="KWT108" s="4"/>
      <c r="KWU108" s="4"/>
      <c r="KWV108" s="4"/>
      <c r="KWW108" s="4"/>
      <c r="KWX108" s="4"/>
      <c r="KWY108" s="4"/>
      <c r="KWZ108" s="4"/>
      <c r="KXA108" s="4"/>
      <c r="KXB108" s="4"/>
      <c r="KXC108" s="4"/>
      <c r="KXD108" s="4"/>
      <c r="KXE108" s="4"/>
      <c r="KXF108" s="4"/>
      <c r="KXG108" s="4"/>
      <c r="KXH108" s="4"/>
      <c r="KXI108" s="4"/>
      <c r="KXJ108" s="4"/>
      <c r="KXK108" s="4"/>
      <c r="KXL108" s="4"/>
      <c r="KXM108" s="4"/>
      <c r="KXN108" s="4"/>
      <c r="KXO108" s="4"/>
      <c r="KXP108" s="4"/>
      <c r="KXQ108" s="4"/>
      <c r="KXR108" s="4"/>
      <c r="KXS108" s="4"/>
      <c r="KXT108" s="4"/>
      <c r="KXU108" s="4"/>
      <c r="KXV108" s="4"/>
      <c r="KXW108" s="4"/>
      <c r="KXX108" s="4"/>
      <c r="KXY108" s="4"/>
      <c r="KXZ108" s="4"/>
      <c r="KYA108" s="4"/>
      <c r="KYB108" s="4"/>
      <c r="KYC108" s="4"/>
      <c r="KYD108" s="4"/>
      <c r="KYE108" s="4"/>
      <c r="KYF108" s="4"/>
      <c r="KYG108" s="4"/>
      <c r="KYH108" s="4"/>
      <c r="KYI108" s="4"/>
      <c r="KYJ108" s="4"/>
      <c r="KYK108" s="4"/>
      <c r="KYL108" s="4"/>
      <c r="KYM108" s="4"/>
      <c r="KYN108" s="4"/>
      <c r="KYO108" s="4"/>
      <c r="KYP108" s="4"/>
      <c r="KYQ108" s="4"/>
      <c r="KYR108" s="4"/>
      <c r="KYS108" s="4"/>
      <c r="KYT108" s="4"/>
      <c r="KYU108" s="4"/>
      <c r="KYV108" s="4"/>
      <c r="KYW108" s="4"/>
      <c r="KYX108" s="4"/>
      <c r="KYY108" s="4"/>
      <c r="KYZ108" s="4"/>
      <c r="KZA108" s="4"/>
      <c r="KZB108" s="4"/>
      <c r="KZC108" s="4"/>
      <c r="KZD108" s="4"/>
      <c r="KZE108" s="4"/>
      <c r="KZF108" s="4"/>
      <c r="KZG108" s="4"/>
      <c r="KZH108" s="4"/>
      <c r="KZI108" s="4"/>
      <c r="KZJ108" s="4"/>
      <c r="KZK108" s="4"/>
      <c r="KZL108" s="4"/>
      <c r="KZM108" s="4"/>
      <c r="KZN108" s="4"/>
      <c r="KZO108" s="4"/>
      <c r="KZP108" s="4"/>
      <c r="KZQ108" s="4"/>
      <c r="KZR108" s="4"/>
      <c r="KZS108" s="4"/>
      <c r="KZT108" s="4"/>
      <c r="KZU108" s="4"/>
      <c r="KZV108" s="4"/>
      <c r="KZW108" s="4"/>
      <c r="KZX108" s="4"/>
      <c r="KZY108" s="4"/>
      <c r="KZZ108" s="4"/>
      <c r="LAA108" s="4"/>
      <c r="LAB108" s="4"/>
      <c r="LAC108" s="4"/>
      <c r="LAD108" s="4"/>
      <c r="LAE108" s="4"/>
      <c r="LAF108" s="4"/>
      <c r="LAG108" s="4"/>
      <c r="LAH108" s="4"/>
      <c r="LAI108" s="4"/>
      <c r="LAJ108" s="4"/>
      <c r="LAK108" s="4"/>
      <c r="LAL108" s="4"/>
      <c r="LAM108" s="4"/>
      <c r="LAN108" s="4"/>
      <c r="LAO108" s="4"/>
      <c r="LAP108" s="4"/>
      <c r="LAQ108" s="4"/>
      <c r="LAR108" s="4"/>
      <c r="LAS108" s="4"/>
      <c r="LAT108" s="4"/>
      <c r="LAU108" s="4"/>
      <c r="LAV108" s="4"/>
      <c r="LAW108" s="4"/>
      <c r="LAX108" s="4"/>
      <c r="LAY108" s="4"/>
      <c r="LAZ108" s="4"/>
      <c r="LBA108" s="4"/>
      <c r="LBB108" s="4"/>
      <c r="LBC108" s="4"/>
      <c r="LBD108" s="4"/>
      <c r="LBE108" s="4"/>
      <c r="LBF108" s="4"/>
      <c r="LBG108" s="4"/>
      <c r="LBH108" s="4"/>
      <c r="LBI108" s="4"/>
      <c r="LBJ108" s="4"/>
      <c r="LBK108" s="4"/>
      <c r="LBL108" s="4"/>
      <c r="LBM108" s="4"/>
      <c r="LBN108" s="4"/>
      <c r="LBO108" s="4"/>
      <c r="LBP108" s="4"/>
      <c r="LBQ108" s="4"/>
      <c r="LBR108" s="4"/>
      <c r="LBS108" s="4"/>
      <c r="LBT108" s="4"/>
      <c r="LBU108" s="4"/>
      <c r="LBV108" s="4"/>
      <c r="LBW108" s="4"/>
      <c r="LBX108" s="4"/>
      <c r="LBY108" s="4"/>
      <c r="LBZ108" s="4"/>
      <c r="LCA108" s="4"/>
      <c r="LCB108" s="4"/>
      <c r="LCC108" s="4"/>
      <c r="LCD108" s="4"/>
      <c r="LCE108" s="4"/>
      <c r="LCF108" s="4"/>
      <c r="LCG108" s="4"/>
      <c r="LCH108" s="4"/>
      <c r="LCI108" s="4"/>
      <c r="LCJ108" s="4"/>
      <c r="LCK108" s="4"/>
      <c r="LCL108" s="4"/>
      <c r="LCM108" s="4"/>
      <c r="LCN108" s="4"/>
      <c r="LCO108" s="4"/>
      <c r="LCP108" s="4"/>
      <c r="LCQ108" s="4"/>
      <c r="LCR108" s="4"/>
      <c r="LCS108" s="4"/>
      <c r="LCT108" s="4"/>
      <c r="LCU108" s="4"/>
      <c r="LCV108" s="4"/>
      <c r="LCW108" s="4"/>
      <c r="LCX108" s="4"/>
      <c r="LCY108" s="4"/>
      <c r="LCZ108" s="4"/>
      <c r="LDA108" s="4"/>
      <c r="LDB108" s="4"/>
      <c r="LDC108" s="4"/>
      <c r="LDD108" s="4"/>
      <c r="LDE108" s="4"/>
      <c r="LDF108" s="4"/>
      <c r="LDG108" s="4"/>
      <c r="LDH108" s="4"/>
      <c r="LDI108" s="4"/>
      <c r="LDJ108" s="4"/>
      <c r="LDK108" s="4"/>
      <c r="LDL108" s="4"/>
      <c r="LDM108" s="4"/>
      <c r="LDN108" s="4"/>
      <c r="LDO108" s="4"/>
      <c r="LDP108" s="4"/>
      <c r="LDQ108" s="4"/>
      <c r="LDR108" s="4"/>
      <c r="LDS108" s="4"/>
      <c r="LDT108" s="4"/>
      <c r="LDU108" s="4"/>
      <c r="LDV108" s="4"/>
      <c r="LDW108" s="4"/>
      <c r="LDX108" s="4"/>
      <c r="LDY108" s="4"/>
      <c r="LDZ108" s="4"/>
      <c r="LEA108" s="4"/>
      <c r="LEB108" s="4"/>
      <c r="LEC108" s="4"/>
      <c r="LED108" s="4"/>
      <c r="LEE108" s="4"/>
      <c r="LEF108" s="4"/>
      <c r="LEG108" s="4"/>
      <c r="LEH108" s="4"/>
      <c r="LEI108" s="4"/>
      <c r="LEJ108" s="4"/>
      <c r="LEK108" s="4"/>
      <c r="LEL108" s="4"/>
      <c r="LEM108" s="4"/>
      <c r="LEN108" s="4"/>
      <c r="LEO108" s="4"/>
      <c r="LEP108" s="4"/>
      <c r="LEQ108" s="4"/>
      <c r="LER108" s="4"/>
      <c r="LES108" s="4"/>
      <c r="LET108" s="4"/>
      <c r="LEU108" s="4"/>
      <c r="LEV108" s="4"/>
      <c r="LEW108" s="4"/>
      <c r="LEX108" s="4"/>
      <c r="LEY108" s="4"/>
      <c r="LEZ108" s="4"/>
      <c r="LFA108" s="4"/>
      <c r="LFB108" s="4"/>
      <c r="LFC108" s="4"/>
      <c r="LFD108" s="4"/>
      <c r="LFE108" s="4"/>
      <c r="LFF108" s="4"/>
      <c r="LFG108" s="4"/>
      <c r="LFH108" s="4"/>
      <c r="LFI108" s="4"/>
      <c r="LFJ108" s="4"/>
      <c r="LFK108" s="4"/>
      <c r="LFL108" s="4"/>
      <c r="LFM108" s="4"/>
      <c r="LFN108" s="4"/>
      <c r="LFO108" s="4"/>
      <c r="LFP108" s="4"/>
      <c r="LFQ108" s="4"/>
      <c r="LFR108" s="4"/>
      <c r="LFS108" s="4"/>
      <c r="LFT108" s="4"/>
      <c r="LFU108" s="4"/>
      <c r="LFV108" s="4"/>
      <c r="LFW108" s="4"/>
      <c r="LFX108" s="4"/>
      <c r="LFY108" s="4"/>
      <c r="LFZ108" s="4"/>
      <c r="LGA108" s="4"/>
      <c r="LGB108" s="4"/>
      <c r="LGC108" s="4"/>
      <c r="LGD108" s="4"/>
      <c r="LGE108" s="4"/>
      <c r="LGF108" s="4"/>
      <c r="LGG108" s="4"/>
      <c r="LGH108" s="4"/>
      <c r="LGI108" s="4"/>
      <c r="LGJ108" s="4"/>
      <c r="LGK108" s="4"/>
      <c r="LGL108" s="4"/>
      <c r="LGM108" s="4"/>
      <c r="LGN108" s="4"/>
      <c r="LGO108" s="4"/>
      <c r="LGP108" s="4"/>
      <c r="LGQ108" s="4"/>
      <c r="LGR108" s="4"/>
      <c r="LGS108" s="4"/>
      <c r="LGT108" s="4"/>
      <c r="LGU108" s="4"/>
      <c r="LGV108" s="4"/>
      <c r="LGW108" s="4"/>
      <c r="LGX108" s="4"/>
      <c r="LGY108" s="4"/>
      <c r="LGZ108" s="4"/>
      <c r="LHA108" s="4"/>
      <c r="LHB108" s="4"/>
      <c r="LHC108" s="4"/>
      <c r="LHD108" s="4"/>
      <c r="LHE108" s="4"/>
      <c r="LHF108" s="4"/>
      <c r="LHG108" s="4"/>
      <c r="LHH108" s="4"/>
      <c r="LHI108" s="4"/>
      <c r="LHJ108" s="4"/>
      <c r="LHK108" s="4"/>
      <c r="LHL108" s="4"/>
      <c r="LHM108" s="4"/>
      <c r="LHN108" s="4"/>
      <c r="LHO108" s="4"/>
      <c r="LHP108" s="4"/>
      <c r="LHQ108" s="4"/>
      <c r="LHR108" s="4"/>
      <c r="LHS108" s="4"/>
      <c r="LHT108" s="4"/>
      <c r="LHU108" s="4"/>
      <c r="LHV108" s="4"/>
      <c r="LHW108" s="4"/>
      <c r="LHX108" s="4"/>
      <c r="LHY108" s="4"/>
      <c r="LHZ108" s="4"/>
      <c r="LIA108" s="4"/>
      <c r="LIB108" s="4"/>
      <c r="LIC108" s="4"/>
      <c r="LID108" s="4"/>
      <c r="LIE108" s="4"/>
      <c r="LIF108" s="4"/>
      <c r="LIG108" s="4"/>
      <c r="LIH108" s="4"/>
      <c r="LII108" s="4"/>
      <c r="LIJ108" s="4"/>
      <c r="LIK108" s="4"/>
      <c r="LIL108" s="4"/>
      <c r="LIM108" s="4"/>
      <c r="LIN108" s="4"/>
      <c r="LIO108" s="4"/>
      <c r="LIP108" s="4"/>
      <c r="LIQ108" s="4"/>
      <c r="LIR108" s="4"/>
      <c r="LIS108" s="4"/>
      <c r="LIT108" s="4"/>
      <c r="LIU108" s="4"/>
      <c r="LIV108" s="4"/>
      <c r="LIW108" s="4"/>
      <c r="LIX108" s="4"/>
      <c r="LIY108" s="4"/>
      <c r="LIZ108" s="4"/>
      <c r="LJA108" s="4"/>
      <c r="LJB108" s="4"/>
      <c r="LJC108" s="4"/>
      <c r="LJD108" s="4"/>
      <c r="LJE108" s="4"/>
      <c r="LJF108" s="4"/>
      <c r="LJG108" s="4"/>
      <c r="LJH108" s="4"/>
      <c r="LJI108" s="4"/>
      <c r="LJJ108" s="4"/>
      <c r="LJK108" s="4"/>
      <c r="LJL108" s="4"/>
      <c r="LJM108" s="4"/>
      <c r="LJN108" s="4"/>
      <c r="LJO108" s="4"/>
      <c r="LJP108" s="4"/>
      <c r="LJQ108" s="4"/>
      <c r="LJR108" s="4"/>
      <c r="LJS108" s="4"/>
      <c r="LJT108" s="4"/>
      <c r="LJU108" s="4"/>
      <c r="LJV108" s="4"/>
      <c r="LJW108" s="4"/>
      <c r="LJX108" s="4"/>
      <c r="LJY108" s="4"/>
      <c r="LJZ108" s="4"/>
      <c r="LKA108" s="4"/>
      <c r="LKB108" s="4"/>
      <c r="LKC108" s="4"/>
      <c r="LKD108" s="4"/>
      <c r="LKE108" s="4"/>
      <c r="LKF108" s="4"/>
      <c r="LKG108" s="4"/>
      <c r="LKH108" s="4"/>
      <c r="LKI108" s="4"/>
      <c r="LKJ108" s="4"/>
      <c r="LKK108" s="4"/>
      <c r="LKL108" s="4"/>
      <c r="LKM108" s="4"/>
      <c r="LKN108" s="4"/>
      <c r="LKO108" s="4"/>
      <c r="LKP108" s="4"/>
      <c r="LKQ108" s="4"/>
      <c r="LKR108" s="4"/>
      <c r="LKS108" s="4"/>
      <c r="LKT108" s="4"/>
      <c r="LKU108" s="4"/>
      <c r="LKV108" s="4"/>
      <c r="LKW108" s="4"/>
      <c r="LKX108" s="4"/>
      <c r="LKY108" s="4"/>
      <c r="LKZ108" s="4"/>
      <c r="LLA108" s="4"/>
      <c r="LLB108" s="4"/>
      <c r="LLC108" s="4"/>
      <c r="LLD108" s="4"/>
      <c r="LLE108" s="4"/>
      <c r="LLF108" s="4"/>
      <c r="LLG108" s="4"/>
      <c r="LLH108" s="4"/>
      <c r="LLI108" s="4"/>
      <c r="LLJ108" s="4"/>
      <c r="LLK108" s="4"/>
      <c r="LLL108" s="4"/>
      <c r="LLM108" s="4"/>
      <c r="LLN108" s="4"/>
      <c r="LLO108" s="4"/>
      <c r="LLP108" s="4"/>
      <c r="LLQ108" s="4"/>
      <c r="LLR108" s="4"/>
      <c r="LLS108" s="4"/>
      <c r="LLT108" s="4"/>
      <c r="LLU108" s="4"/>
      <c r="LLV108" s="4"/>
      <c r="LLW108" s="4"/>
      <c r="LLX108" s="4"/>
      <c r="LLY108" s="4"/>
      <c r="LLZ108" s="4"/>
      <c r="LMA108" s="4"/>
      <c r="LMB108" s="4"/>
      <c r="LMC108" s="4"/>
      <c r="LMD108" s="4"/>
      <c r="LME108" s="4"/>
      <c r="LMF108" s="4"/>
      <c r="LMG108" s="4"/>
      <c r="LMH108" s="4"/>
      <c r="LMI108" s="4"/>
      <c r="LMJ108" s="4"/>
      <c r="LMK108" s="4"/>
      <c r="LML108" s="4"/>
      <c r="LMM108" s="4"/>
      <c r="LMN108" s="4"/>
      <c r="LMO108" s="4"/>
      <c r="LMP108" s="4"/>
      <c r="LMQ108" s="4"/>
      <c r="LMR108" s="4"/>
      <c r="LMS108" s="4"/>
      <c r="LMT108" s="4"/>
      <c r="LMU108" s="4"/>
      <c r="LMV108" s="4"/>
      <c r="LMW108" s="4"/>
      <c r="LMX108" s="4"/>
      <c r="LMY108" s="4"/>
      <c r="LMZ108" s="4"/>
      <c r="LNA108" s="4"/>
      <c r="LNB108" s="4"/>
      <c r="LNC108" s="4"/>
      <c r="LND108" s="4"/>
      <c r="LNE108" s="4"/>
      <c r="LNF108" s="4"/>
      <c r="LNG108" s="4"/>
      <c r="LNH108" s="4"/>
      <c r="LNI108" s="4"/>
      <c r="LNJ108" s="4"/>
      <c r="LNK108" s="4"/>
      <c r="LNL108" s="4"/>
      <c r="LNM108" s="4"/>
      <c r="LNN108" s="4"/>
      <c r="LNO108" s="4"/>
      <c r="LNP108" s="4"/>
      <c r="LNQ108" s="4"/>
      <c r="LNR108" s="4"/>
      <c r="LNS108" s="4"/>
      <c r="LNT108" s="4"/>
      <c r="LNU108" s="4"/>
      <c r="LNV108" s="4"/>
      <c r="LNW108" s="4"/>
      <c r="LNX108" s="4"/>
      <c r="LNY108" s="4"/>
      <c r="LNZ108" s="4"/>
      <c r="LOA108" s="4"/>
      <c r="LOB108" s="4"/>
      <c r="LOC108" s="4"/>
      <c r="LOD108" s="4"/>
      <c r="LOE108" s="4"/>
      <c r="LOF108" s="4"/>
      <c r="LOG108" s="4"/>
      <c r="LOH108" s="4"/>
      <c r="LOI108" s="4"/>
      <c r="LOJ108" s="4"/>
      <c r="LOK108" s="4"/>
      <c r="LOL108" s="4"/>
      <c r="LOM108" s="4"/>
      <c r="LON108" s="4"/>
      <c r="LOO108" s="4"/>
      <c r="LOP108" s="4"/>
      <c r="LOQ108" s="4"/>
      <c r="LOR108" s="4"/>
      <c r="LOS108" s="4"/>
      <c r="LOT108" s="4"/>
      <c r="LOU108" s="4"/>
      <c r="LOV108" s="4"/>
      <c r="LOW108" s="4"/>
      <c r="LOX108" s="4"/>
      <c r="LOY108" s="4"/>
      <c r="LOZ108" s="4"/>
      <c r="LPA108" s="4"/>
      <c r="LPB108" s="4"/>
      <c r="LPC108" s="4"/>
      <c r="LPD108" s="4"/>
      <c r="LPE108" s="4"/>
      <c r="LPF108" s="4"/>
      <c r="LPG108" s="4"/>
      <c r="LPH108" s="4"/>
      <c r="LPI108" s="4"/>
      <c r="LPJ108" s="4"/>
      <c r="LPK108" s="4"/>
      <c r="LPL108" s="4"/>
      <c r="LPM108" s="4"/>
      <c r="LPN108" s="4"/>
      <c r="LPO108" s="4"/>
      <c r="LPP108" s="4"/>
      <c r="LPQ108" s="4"/>
      <c r="LPR108" s="4"/>
      <c r="LPS108" s="4"/>
      <c r="LPT108" s="4"/>
      <c r="LPU108" s="4"/>
      <c r="LPV108" s="4"/>
      <c r="LPW108" s="4"/>
      <c r="LPX108" s="4"/>
      <c r="LPY108" s="4"/>
      <c r="LPZ108" s="4"/>
      <c r="LQA108" s="4"/>
      <c r="LQB108" s="4"/>
      <c r="LQC108" s="4"/>
      <c r="LQD108" s="4"/>
      <c r="LQE108" s="4"/>
      <c r="LQF108" s="4"/>
      <c r="LQG108" s="4"/>
      <c r="LQH108" s="4"/>
      <c r="LQI108" s="4"/>
      <c r="LQJ108" s="4"/>
      <c r="LQK108" s="4"/>
      <c r="LQL108" s="4"/>
      <c r="LQM108" s="4"/>
      <c r="LQN108" s="4"/>
      <c r="LQO108" s="4"/>
      <c r="LQP108" s="4"/>
      <c r="LQQ108" s="4"/>
      <c r="LQR108" s="4"/>
      <c r="LQS108" s="4"/>
      <c r="LQT108" s="4"/>
      <c r="LQU108" s="4"/>
      <c r="LQV108" s="4"/>
      <c r="LQW108" s="4"/>
      <c r="LQX108" s="4"/>
      <c r="LQY108" s="4"/>
      <c r="LQZ108" s="4"/>
      <c r="LRA108" s="4"/>
      <c r="LRB108" s="4"/>
      <c r="LRC108" s="4"/>
      <c r="LRD108" s="4"/>
      <c r="LRE108" s="4"/>
      <c r="LRF108" s="4"/>
      <c r="LRG108" s="4"/>
      <c r="LRH108" s="4"/>
      <c r="LRI108" s="4"/>
      <c r="LRJ108" s="4"/>
      <c r="LRK108" s="4"/>
      <c r="LRL108" s="4"/>
      <c r="LRM108" s="4"/>
      <c r="LRN108" s="4"/>
      <c r="LRO108" s="4"/>
      <c r="LRP108" s="4"/>
      <c r="LRQ108" s="4"/>
      <c r="LRR108" s="4"/>
      <c r="LRS108" s="4"/>
      <c r="LRT108" s="4"/>
      <c r="LRU108" s="4"/>
      <c r="LRV108" s="4"/>
      <c r="LRW108" s="4"/>
      <c r="LRX108" s="4"/>
      <c r="LRY108" s="4"/>
      <c r="LRZ108" s="4"/>
      <c r="LSA108" s="4"/>
      <c r="LSB108" s="4"/>
      <c r="LSC108" s="4"/>
      <c r="LSD108" s="4"/>
      <c r="LSE108" s="4"/>
      <c r="LSF108" s="4"/>
      <c r="LSG108" s="4"/>
      <c r="LSH108" s="4"/>
      <c r="LSI108" s="4"/>
      <c r="LSJ108" s="4"/>
      <c r="LSK108" s="4"/>
      <c r="LSL108" s="4"/>
      <c r="LSM108" s="4"/>
      <c r="LSN108" s="4"/>
      <c r="LSO108" s="4"/>
      <c r="LSP108" s="4"/>
      <c r="LSQ108" s="4"/>
      <c r="LSR108" s="4"/>
      <c r="LSS108" s="4"/>
      <c r="LST108" s="4"/>
      <c r="LSU108" s="4"/>
      <c r="LSV108" s="4"/>
      <c r="LSW108" s="4"/>
      <c r="LSX108" s="4"/>
      <c r="LSY108" s="4"/>
      <c r="LSZ108" s="4"/>
      <c r="LTA108" s="4"/>
      <c r="LTB108" s="4"/>
      <c r="LTC108" s="4"/>
      <c r="LTD108" s="4"/>
      <c r="LTE108" s="4"/>
      <c r="LTF108" s="4"/>
      <c r="LTG108" s="4"/>
      <c r="LTH108" s="4"/>
      <c r="LTI108" s="4"/>
      <c r="LTJ108" s="4"/>
      <c r="LTK108" s="4"/>
      <c r="LTL108" s="4"/>
      <c r="LTM108" s="4"/>
      <c r="LTN108" s="4"/>
      <c r="LTO108" s="4"/>
      <c r="LTP108" s="4"/>
      <c r="LTQ108" s="4"/>
      <c r="LTR108" s="4"/>
      <c r="LTS108" s="4"/>
      <c r="LTT108" s="4"/>
      <c r="LTU108" s="4"/>
      <c r="LTV108" s="4"/>
      <c r="LTW108" s="4"/>
      <c r="LTX108" s="4"/>
      <c r="LTY108" s="4"/>
      <c r="LTZ108" s="4"/>
      <c r="LUA108" s="4"/>
      <c r="LUB108" s="4"/>
      <c r="LUC108" s="4"/>
      <c r="LUD108" s="4"/>
      <c r="LUE108" s="4"/>
      <c r="LUF108" s="4"/>
      <c r="LUG108" s="4"/>
      <c r="LUH108" s="4"/>
      <c r="LUI108" s="4"/>
      <c r="LUJ108" s="4"/>
      <c r="LUK108" s="4"/>
      <c r="LUL108" s="4"/>
      <c r="LUM108" s="4"/>
      <c r="LUN108" s="4"/>
      <c r="LUO108" s="4"/>
      <c r="LUP108" s="4"/>
      <c r="LUQ108" s="4"/>
      <c r="LUR108" s="4"/>
      <c r="LUS108" s="4"/>
      <c r="LUT108" s="4"/>
      <c r="LUU108" s="4"/>
      <c r="LUV108" s="4"/>
      <c r="LUW108" s="4"/>
      <c r="LUX108" s="4"/>
      <c r="LUY108" s="4"/>
      <c r="LUZ108" s="4"/>
      <c r="LVA108" s="4"/>
      <c r="LVB108" s="4"/>
      <c r="LVC108" s="4"/>
      <c r="LVD108" s="4"/>
      <c r="LVE108" s="4"/>
      <c r="LVF108" s="4"/>
      <c r="LVG108" s="4"/>
      <c r="LVH108" s="4"/>
      <c r="LVI108" s="4"/>
      <c r="LVJ108" s="4"/>
      <c r="LVK108" s="4"/>
      <c r="LVL108" s="4"/>
      <c r="LVM108" s="4"/>
      <c r="LVN108" s="4"/>
      <c r="LVO108" s="4"/>
      <c r="LVP108" s="4"/>
      <c r="LVQ108" s="4"/>
      <c r="LVR108" s="4"/>
      <c r="LVS108" s="4"/>
      <c r="LVT108" s="4"/>
      <c r="LVU108" s="4"/>
      <c r="LVV108" s="4"/>
      <c r="LVW108" s="4"/>
      <c r="LVX108" s="4"/>
      <c r="LVY108" s="4"/>
      <c r="LVZ108" s="4"/>
      <c r="LWA108" s="4"/>
      <c r="LWB108" s="4"/>
      <c r="LWC108" s="4"/>
      <c r="LWD108" s="4"/>
      <c r="LWE108" s="4"/>
      <c r="LWF108" s="4"/>
      <c r="LWG108" s="4"/>
      <c r="LWH108" s="4"/>
      <c r="LWI108" s="4"/>
      <c r="LWJ108" s="4"/>
      <c r="LWK108" s="4"/>
      <c r="LWL108" s="4"/>
      <c r="LWM108" s="4"/>
      <c r="LWN108" s="4"/>
      <c r="LWO108" s="4"/>
      <c r="LWP108" s="4"/>
      <c r="LWQ108" s="4"/>
      <c r="LWR108" s="4"/>
      <c r="LWS108" s="4"/>
      <c r="LWT108" s="4"/>
      <c r="LWU108" s="4"/>
      <c r="LWV108" s="4"/>
      <c r="LWW108" s="4"/>
      <c r="LWX108" s="4"/>
      <c r="LWY108" s="4"/>
      <c r="LWZ108" s="4"/>
      <c r="LXA108" s="4"/>
      <c r="LXB108" s="4"/>
      <c r="LXC108" s="4"/>
      <c r="LXD108" s="4"/>
      <c r="LXE108" s="4"/>
      <c r="LXF108" s="4"/>
      <c r="LXG108" s="4"/>
      <c r="LXH108" s="4"/>
      <c r="LXI108" s="4"/>
      <c r="LXJ108" s="4"/>
      <c r="LXK108" s="4"/>
      <c r="LXL108" s="4"/>
      <c r="LXM108" s="4"/>
      <c r="LXN108" s="4"/>
      <c r="LXO108" s="4"/>
      <c r="LXP108" s="4"/>
      <c r="LXQ108" s="4"/>
      <c r="LXR108" s="4"/>
      <c r="LXS108" s="4"/>
      <c r="LXT108" s="4"/>
      <c r="LXU108" s="4"/>
      <c r="LXV108" s="4"/>
      <c r="LXW108" s="4"/>
      <c r="LXX108" s="4"/>
      <c r="LXY108" s="4"/>
      <c r="LXZ108" s="4"/>
      <c r="LYA108" s="4"/>
      <c r="LYB108" s="4"/>
      <c r="LYC108" s="4"/>
      <c r="LYD108" s="4"/>
      <c r="LYE108" s="4"/>
      <c r="LYF108" s="4"/>
      <c r="LYG108" s="4"/>
      <c r="LYH108" s="4"/>
      <c r="LYI108" s="4"/>
      <c r="LYJ108" s="4"/>
      <c r="LYK108" s="4"/>
      <c r="LYL108" s="4"/>
      <c r="LYM108" s="4"/>
      <c r="LYN108" s="4"/>
      <c r="LYO108" s="4"/>
      <c r="LYP108" s="4"/>
      <c r="LYQ108" s="4"/>
      <c r="LYR108" s="4"/>
      <c r="LYS108" s="4"/>
      <c r="LYT108" s="4"/>
      <c r="LYU108" s="4"/>
      <c r="LYV108" s="4"/>
      <c r="LYW108" s="4"/>
      <c r="LYX108" s="4"/>
      <c r="LYY108" s="4"/>
      <c r="LYZ108" s="4"/>
      <c r="LZA108" s="4"/>
      <c r="LZB108" s="4"/>
      <c r="LZC108" s="4"/>
      <c r="LZD108" s="4"/>
      <c r="LZE108" s="4"/>
      <c r="LZF108" s="4"/>
      <c r="LZG108" s="4"/>
      <c r="LZH108" s="4"/>
      <c r="LZI108" s="4"/>
      <c r="LZJ108" s="4"/>
      <c r="LZK108" s="4"/>
      <c r="LZL108" s="4"/>
      <c r="LZM108" s="4"/>
      <c r="LZN108" s="4"/>
      <c r="LZO108" s="4"/>
      <c r="LZP108" s="4"/>
      <c r="LZQ108" s="4"/>
      <c r="LZR108" s="4"/>
      <c r="LZS108" s="4"/>
      <c r="LZT108" s="4"/>
      <c r="LZU108" s="4"/>
      <c r="LZV108" s="4"/>
      <c r="LZW108" s="4"/>
      <c r="LZX108" s="4"/>
      <c r="LZY108" s="4"/>
      <c r="LZZ108" s="4"/>
      <c r="MAA108" s="4"/>
      <c r="MAB108" s="4"/>
      <c r="MAC108" s="4"/>
      <c r="MAD108" s="4"/>
      <c r="MAE108" s="4"/>
      <c r="MAF108" s="4"/>
      <c r="MAG108" s="4"/>
      <c r="MAH108" s="4"/>
      <c r="MAI108" s="4"/>
      <c r="MAJ108" s="4"/>
      <c r="MAK108" s="4"/>
      <c r="MAL108" s="4"/>
      <c r="MAM108" s="4"/>
      <c r="MAN108" s="4"/>
      <c r="MAO108" s="4"/>
      <c r="MAP108" s="4"/>
      <c r="MAQ108" s="4"/>
      <c r="MAR108" s="4"/>
      <c r="MAS108" s="4"/>
      <c r="MAT108" s="4"/>
      <c r="MAU108" s="4"/>
      <c r="MAV108" s="4"/>
      <c r="MAW108" s="4"/>
      <c r="MAX108" s="4"/>
      <c r="MAY108" s="4"/>
      <c r="MAZ108" s="4"/>
      <c r="MBA108" s="4"/>
      <c r="MBB108" s="4"/>
      <c r="MBC108" s="4"/>
      <c r="MBD108" s="4"/>
      <c r="MBE108" s="4"/>
      <c r="MBF108" s="4"/>
      <c r="MBG108" s="4"/>
      <c r="MBH108" s="4"/>
      <c r="MBI108" s="4"/>
      <c r="MBJ108" s="4"/>
      <c r="MBK108" s="4"/>
      <c r="MBL108" s="4"/>
      <c r="MBM108" s="4"/>
      <c r="MBN108" s="4"/>
      <c r="MBO108" s="4"/>
      <c r="MBP108" s="4"/>
      <c r="MBQ108" s="4"/>
      <c r="MBR108" s="4"/>
      <c r="MBS108" s="4"/>
      <c r="MBT108" s="4"/>
      <c r="MBU108" s="4"/>
      <c r="MBV108" s="4"/>
      <c r="MBW108" s="4"/>
      <c r="MBX108" s="4"/>
      <c r="MBY108" s="4"/>
      <c r="MBZ108" s="4"/>
      <c r="MCA108" s="4"/>
      <c r="MCB108" s="4"/>
      <c r="MCC108" s="4"/>
      <c r="MCD108" s="4"/>
      <c r="MCE108" s="4"/>
      <c r="MCF108" s="4"/>
      <c r="MCG108" s="4"/>
      <c r="MCH108" s="4"/>
      <c r="MCI108" s="4"/>
      <c r="MCJ108" s="4"/>
      <c r="MCK108" s="4"/>
      <c r="MCL108" s="4"/>
      <c r="MCM108" s="4"/>
      <c r="MCN108" s="4"/>
      <c r="MCO108" s="4"/>
      <c r="MCP108" s="4"/>
      <c r="MCQ108" s="4"/>
      <c r="MCR108" s="4"/>
      <c r="MCS108" s="4"/>
      <c r="MCT108" s="4"/>
      <c r="MCU108" s="4"/>
      <c r="MCV108" s="4"/>
      <c r="MCW108" s="4"/>
      <c r="MCX108" s="4"/>
      <c r="MCY108" s="4"/>
      <c r="MCZ108" s="4"/>
      <c r="MDA108" s="4"/>
      <c r="MDB108" s="4"/>
      <c r="MDC108" s="4"/>
      <c r="MDD108" s="4"/>
      <c r="MDE108" s="4"/>
      <c r="MDF108" s="4"/>
      <c r="MDG108" s="4"/>
      <c r="MDH108" s="4"/>
      <c r="MDI108" s="4"/>
      <c r="MDJ108" s="4"/>
      <c r="MDK108" s="4"/>
      <c r="MDL108" s="4"/>
      <c r="MDM108" s="4"/>
      <c r="MDN108" s="4"/>
      <c r="MDO108" s="4"/>
      <c r="MDP108" s="4"/>
      <c r="MDQ108" s="4"/>
      <c r="MDR108" s="4"/>
      <c r="MDS108" s="4"/>
      <c r="MDT108" s="4"/>
      <c r="MDU108" s="4"/>
      <c r="MDV108" s="4"/>
      <c r="MDW108" s="4"/>
      <c r="MDX108" s="4"/>
      <c r="MDY108" s="4"/>
      <c r="MDZ108" s="4"/>
      <c r="MEA108" s="4"/>
      <c r="MEB108" s="4"/>
      <c r="MEC108" s="4"/>
      <c r="MED108" s="4"/>
      <c r="MEE108" s="4"/>
      <c r="MEF108" s="4"/>
      <c r="MEG108" s="4"/>
      <c r="MEH108" s="4"/>
      <c r="MEI108" s="4"/>
      <c r="MEJ108" s="4"/>
      <c r="MEK108" s="4"/>
      <c r="MEL108" s="4"/>
      <c r="MEM108" s="4"/>
      <c r="MEN108" s="4"/>
      <c r="MEO108" s="4"/>
      <c r="MEP108" s="4"/>
      <c r="MEQ108" s="4"/>
      <c r="MER108" s="4"/>
      <c r="MES108" s="4"/>
      <c r="MET108" s="4"/>
      <c r="MEU108" s="4"/>
      <c r="MEV108" s="4"/>
      <c r="MEW108" s="4"/>
      <c r="MEX108" s="4"/>
      <c r="MEY108" s="4"/>
      <c r="MEZ108" s="4"/>
      <c r="MFA108" s="4"/>
      <c r="MFB108" s="4"/>
      <c r="MFC108" s="4"/>
      <c r="MFD108" s="4"/>
      <c r="MFE108" s="4"/>
      <c r="MFF108" s="4"/>
      <c r="MFG108" s="4"/>
      <c r="MFH108" s="4"/>
      <c r="MFI108" s="4"/>
      <c r="MFJ108" s="4"/>
      <c r="MFK108" s="4"/>
      <c r="MFL108" s="4"/>
      <c r="MFM108" s="4"/>
      <c r="MFN108" s="4"/>
      <c r="MFO108" s="4"/>
      <c r="MFP108" s="4"/>
      <c r="MFQ108" s="4"/>
      <c r="MFR108" s="4"/>
      <c r="MFS108" s="4"/>
      <c r="MFT108" s="4"/>
      <c r="MFU108" s="4"/>
      <c r="MFV108" s="4"/>
      <c r="MFW108" s="4"/>
      <c r="MFX108" s="4"/>
      <c r="MFY108" s="4"/>
      <c r="MFZ108" s="4"/>
      <c r="MGA108" s="4"/>
      <c r="MGB108" s="4"/>
      <c r="MGC108" s="4"/>
      <c r="MGD108" s="4"/>
      <c r="MGE108" s="4"/>
      <c r="MGF108" s="4"/>
      <c r="MGG108" s="4"/>
      <c r="MGH108" s="4"/>
      <c r="MGI108" s="4"/>
      <c r="MGJ108" s="4"/>
      <c r="MGK108" s="4"/>
      <c r="MGL108" s="4"/>
      <c r="MGM108" s="4"/>
      <c r="MGN108" s="4"/>
      <c r="MGO108" s="4"/>
      <c r="MGP108" s="4"/>
      <c r="MGQ108" s="4"/>
      <c r="MGR108" s="4"/>
      <c r="MGS108" s="4"/>
      <c r="MGT108" s="4"/>
      <c r="MGU108" s="4"/>
      <c r="MGV108" s="4"/>
      <c r="MGW108" s="4"/>
      <c r="MGX108" s="4"/>
      <c r="MGY108" s="4"/>
      <c r="MGZ108" s="4"/>
      <c r="MHA108" s="4"/>
      <c r="MHB108" s="4"/>
      <c r="MHC108" s="4"/>
      <c r="MHD108" s="4"/>
      <c r="MHE108" s="4"/>
      <c r="MHF108" s="4"/>
      <c r="MHG108" s="4"/>
      <c r="MHH108" s="4"/>
      <c r="MHI108" s="4"/>
      <c r="MHJ108" s="4"/>
      <c r="MHK108" s="4"/>
      <c r="MHL108" s="4"/>
      <c r="MHM108" s="4"/>
      <c r="MHN108" s="4"/>
      <c r="MHO108" s="4"/>
      <c r="MHP108" s="4"/>
      <c r="MHQ108" s="4"/>
      <c r="MHR108" s="4"/>
      <c r="MHS108" s="4"/>
      <c r="MHT108" s="4"/>
      <c r="MHU108" s="4"/>
      <c r="MHV108" s="4"/>
      <c r="MHW108" s="4"/>
      <c r="MHX108" s="4"/>
      <c r="MHY108" s="4"/>
      <c r="MHZ108" s="4"/>
      <c r="MIA108" s="4"/>
      <c r="MIB108" s="4"/>
      <c r="MIC108" s="4"/>
      <c r="MID108" s="4"/>
      <c r="MIE108" s="4"/>
      <c r="MIF108" s="4"/>
      <c r="MIG108" s="4"/>
      <c r="MIH108" s="4"/>
      <c r="MII108" s="4"/>
      <c r="MIJ108" s="4"/>
      <c r="MIK108" s="4"/>
      <c r="MIL108" s="4"/>
      <c r="MIM108" s="4"/>
      <c r="MIN108" s="4"/>
      <c r="MIO108" s="4"/>
      <c r="MIP108" s="4"/>
      <c r="MIQ108" s="4"/>
      <c r="MIR108" s="4"/>
      <c r="MIS108" s="4"/>
      <c r="MIT108" s="4"/>
      <c r="MIU108" s="4"/>
      <c r="MIV108" s="4"/>
      <c r="MIW108" s="4"/>
      <c r="MIX108" s="4"/>
      <c r="MIY108" s="4"/>
      <c r="MIZ108" s="4"/>
      <c r="MJA108" s="4"/>
      <c r="MJB108" s="4"/>
      <c r="MJC108" s="4"/>
      <c r="MJD108" s="4"/>
      <c r="MJE108" s="4"/>
      <c r="MJF108" s="4"/>
      <c r="MJG108" s="4"/>
      <c r="MJH108" s="4"/>
      <c r="MJI108" s="4"/>
      <c r="MJJ108" s="4"/>
      <c r="MJK108" s="4"/>
      <c r="MJL108" s="4"/>
      <c r="MJM108" s="4"/>
      <c r="MJN108" s="4"/>
      <c r="MJO108" s="4"/>
      <c r="MJP108" s="4"/>
      <c r="MJQ108" s="4"/>
      <c r="MJR108" s="4"/>
      <c r="MJS108" s="4"/>
      <c r="MJT108" s="4"/>
      <c r="MJU108" s="4"/>
      <c r="MJV108" s="4"/>
      <c r="MJW108" s="4"/>
      <c r="MJX108" s="4"/>
      <c r="MJY108" s="4"/>
      <c r="MJZ108" s="4"/>
      <c r="MKA108" s="4"/>
      <c r="MKB108" s="4"/>
      <c r="MKC108" s="4"/>
      <c r="MKD108" s="4"/>
      <c r="MKE108" s="4"/>
      <c r="MKF108" s="4"/>
      <c r="MKG108" s="4"/>
      <c r="MKH108" s="4"/>
      <c r="MKI108" s="4"/>
      <c r="MKJ108" s="4"/>
      <c r="MKK108" s="4"/>
      <c r="MKL108" s="4"/>
      <c r="MKM108" s="4"/>
      <c r="MKN108" s="4"/>
      <c r="MKO108" s="4"/>
      <c r="MKP108" s="4"/>
      <c r="MKQ108" s="4"/>
      <c r="MKR108" s="4"/>
      <c r="MKS108" s="4"/>
      <c r="MKT108" s="4"/>
      <c r="MKU108" s="4"/>
      <c r="MKV108" s="4"/>
      <c r="MKW108" s="4"/>
      <c r="MKX108" s="4"/>
      <c r="MKY108" s="4"/>
      <c r="MKZ108" s="4"/>
      <c r="MLA108" s="4"/>
      <c r="MLB108" s="4"/>
      <c r="MLC108" s="4"/>
      <c r="MLD108" s="4"/>
      <c r="MLE108" s="4"/>
      <c r="MLF108" s="4"/>
      <c r="MLG108" s="4"/>
      <c r="MLH108" s="4"/>
      <c r="MLI108" s="4"/>
      <c r="MLJ108" s="4"/>
      <c r="MLK108" s="4"/>
      <c r="MLL108" s="4"/>
      <c r="MLM108" s="4"/>
      <c r="MLN108" s="4"/>
      <c r="MLO108" s="4"/>
      <c r="MLP108" s="4"/>
      <c r="MLQ108" s="4"/>
      <c r="MLR108" s="4"/>
      <c r="MLS108" s="4"/>
      <c r="MLT108" s="4"/>
      <c r="MLU108" s="4"/>
      <c r="MLV108" s="4"/>
      <c r="MLW108" s="4"/>
      <c r="MLX108" s="4"/>
      <c r="MLY108" s="4"/>
      <c r="MLZ108" s="4"/>
      <c r="MMA108" s="4"/>
      <c r="MMB108" s="4"/>
      <c r="MMC108" s="4"/>
      <c r="MMD108" s="4"/>
      <c r="MME108" s="4"/>
      <c r="MMF108" s="4"/>
      <c r="MMG108" s="4"/>
      <c r="MMH108" s="4"/>
      <c r="MMI108" s="4"/>
      <c r="MMJ108" s="4"/>
      <c r="MMK108" s="4"/>
      <c r="MML108" s="4"/>
      <c r="MMM108" s="4"/>
      <c r="MMN108" s="4"/>
      <c r="MMO108" s="4"/>
      <c r="MMP108" s="4"/>
      <c r="MMQ108" s="4"/>
      <c r="MMR108" s="4"/>
      <c r="MMS108" s="4"/>
      <c r="MMT108" s="4"/>
      <c r="MMU108" s="4"/>
      <c r="MMV108" s="4"/>
      <c r="MMW108" s="4"/>
      <c r="MMX108" s="4"/>
      <c r="MMY108" s="4"/>
      <c r="MMZ108" s="4"/>
      <c r="MNA108" s="4"/>
      <c r="MNB108" s="4"/>
      <c r="MNC108" s="4"/>
      <c r="MND108" s="4"/>
      <c r="MNE108" s="4"/>
      <c r="MNF108" s="4"/>
      <c r="MNG108" s="4"/>
      <c r="MNH108" s="4"/>
      <c r="MNI108" s="4"/>
      <c r="MNJ108" s="4"/>
      <c r="MNK108" s="4"/>
      <c r="MNL108" s="4"/>
      <c r="MNM108" s="4"/>
      <c r="MNN108" s="4"/>
      <c r="MNO108" s="4"/>
      <c r="MNP108" s="4"/>
      <c r="MNQ108" s="4"/>
      <c r="MNR108" s="4"/>
      <c r="MNS108" s="4"/>
      <c r="MNT108" s="4"/>
      <c r="MNU108" s="4"/>
      <c r="MNV108" s="4"/>
      <c r="MNW108" s="4"/>
      <c r="MNX108" s="4"/>
      <c r="MNY108" s="4"/>
      <c r="MNZ108" s="4"/>
      <c r="MOA108" s="4"/>
      <c r="MOB108" s="4"/>
      <c r="MOC108" s="4"/>
      <c r="MOD108" s="4"/>
      <c r="MOE108" s="4"/>
      <c r="MOF108" s="4"/>
      <c r="MOG108" s="4"/>
      <c r="MOH108" s="4"/>
      <c r="MOI108" s="4"/>
      <c r="MOJ108" s="4"/>
      <c r="MOK108" s="4"/>
      <c r="MOL108" s="4"/>
      <c r="MOM108" s="4"/>
      <c r="MON108" s="4"/>
      <c r="MOO108" s="4"/>
      <c r="MOP108" s="4"/>
      <c r="MOQ108" s="4"/>
      <c r="MOR108" s="4"/>
      <c r="MOS108" s="4"/>
      <c r="MOT108" s="4"/>
      <c r="MOU108" s="4"/>
      <c r="MOV108" s="4"/>
      <c r="MOW108" s="4"/>
      <c r="MOX108" s="4"/>
      <c r="MOY108" s="4"/>
      <c r="MOZ108" s="4"/>
      <c r="MPA108" s="4"/>
      <c r="MPB108" s="4"/>
      <c r="MPC108" s="4"/>
      <c r="MPD108" s="4"/>
      <c r="MPE108" s="4"/>
      <c r="MPF108" s="4"/>
      <c r="MPG108" s="4"/>
      <c r="MPH108" s="4"/>
      <c r="MPI108" s="4"/>
      <c r="MPJ108" s="4"/>
      <c r="MPK108" s="4"/>
      <c r="MPL108" s="4"/>
      <c r="MPM108" s="4"/>
      <c r="MPN108" s="4"/>
      <c r="MPO108" s="4"/>
      <c r="MPP108" s="4"/>
      <c r="MPQ108" s="4"/>
      <c r="MPR108" s="4"/>
      <c r="MPS108" s="4"/>
      <c r="MPT108" s="4"/>
      <c r="MPU108" s="4"/>
      <c r="MPV108" s="4"/>
      <c r="MPW108" s="4"/>
      <c r="MPX108" s="4"/>
      <c r="MPY108" s="4"/>
      <c r="MPZ108" s="4"/>
      <c r="MQA108" s="4"/>
      <c r="MQB108" s="4"/>
      <c r="MQC108" s="4"/>
      <c r="MQD108" s="4"/>
      <c r="MQE108" s="4"/>
      <c r="MQF108" s="4"/>
      <c r="MQG108" s="4"/>
      <c r="MQH108" s="4"/>
      <c r="MQI108" s="4"/>
      <c r="MQJ108" s="4"/>
      <c r="MQK108" s="4"/>
      <c r="MQL108" s="4"/>
      <c r="MQM108" s="4"/>
      <c r="MQN108" s="4"/>
      <c r="MQO108" s="4"/>
      <c r="MQP108" s="4"/>
      <c r="MQQ108" s="4"/>
      <c r="MQR108" s="4"/>
      <c r="MQS108" s="4"/>
      <c r="MQT108" s="4"/>
      <c r="MQU108" s="4"/>
      <c r="MQV108" s="4"/>
      <c r="MQW108" s="4"/>
      <c r="MQX108" s="4"/>
      <c r="MQY108" s="4"/>
      <c r="MQZ108" s="4"/>
      <c r="MRA108" s="4"/>
      <c r="MRB108" s="4"/>
      <c r="MRC108" s="4"/>
      <c r="MRD108" s="4"/>
      <c r="MRE108" s="4"/>
      <c r="MRF108" s="4"/>
      <c r="MRG108" s="4"/>
      <c r="MRH108" s="4"/>
      <c r="MRI108" s="4"/>
      <c r="MRJ108" s="4"/>
      <c r="MRK108" s="4"/>
      <c r="MRL108" s="4"/>
      <c r="MRM108" s="4"/>
      <c r="MRN108" s="4"/>
      <c r="MRO108" s="4"/>
      <c r="MRP108" s="4"/>
      <c r="MRQ108" s="4"/>
      <c r="MRR108" s="4"/>
      <c r="MRS108" s="4"/>
      <c r="MRT108" s="4"/>
      <c r="MRU108" s="4"/>
      <c r="MRV108" s="4"/>
      <c r="MRW108" s="4"/>
      <c r="MRX108" s="4"/>
      <c r="MRY108" s="4"/>
      <c r="MRZ108" s="4"/>
      <c r="MSA108" s="4"/>
      <c r="MSB108" s="4"/>
      <c r="MSC108" s="4"/>
      <c r="MSD108" s="4"/>
      <c r="MSE108" s="4"/>
      <c r="MSF108" s="4"/>
      <c r="MSG108" s="4"/>
      <c r="MSH108" s="4"/>
      <c r="MSI108" s="4"/>
      <c r="MSJ108" s="4"/>
      <c r="MSK108" s="4"/>
      <c r="MSL108" s="4"/>
      <c r="MSM108" s="4"/>
      <c r="MSN108" s="4"/>
      <c r="MSO108" s="4"/>
      <c r="MSP108" s="4"/>
      <c r="MSQ108" s="4"/>
      <c r="MSR108" s="4"/>
      <c r="MSS108" s="4"/>
      <c r="MST108" s="4"/>
      <c r="MSU108" s="4"/>
      <c r="MSV108" s="4"/>
      <c r="MSW108" s="4"/>
      <c r="MSX108" s="4"/>
      <c r="MSY108" s="4"/>
      <c r="MSZ108" s="4"/>
      <c r="MTA108" s="4"/>
      <c r="MTB108" s="4"/>
      <c r="MTC108" s="4"/>
      <c r="MTD108" s="4"/>
      <c r="MTE108" s="4"/>
      <c r="MTF108" s="4"/>
      <c r="MTG108" s="4"/>
      <c r="MTH108" s="4"/>
      <c r="MTI108" s="4"/>
      <c r="MTJ108" s="4"/>
      <c r="MTK108" s="4"/>
      <c r="MTL108" s="4"/>
      <c r="MTM108" s="4"/>
      <c r="MTN108" s="4"/>
      <c r="MTO108" s="4"/>
      <c r="MTP108" s="4"/>
      <c r="MTQ108" s="4"/>
      <c r="MTR108" s="4"/>
      <c r="MTS108" s="4"/>
      <c r="MTT108" s="4"/>
      <c r="MTU108" s="4"/>
      <c r="MTV108" s="4"/>
      <c r="MTW108" s="4"/>
      <c r="MTX108" s="4"/>
      <c r="MTY108" s="4"/>
      <c r="MTZ108" s="4"/>
      <c r="MUA108" s="4"/>
      <c r="MUB108" s="4"/>
      <c r="MUC108" s="4"/>
      <c r="MUD108" s="4"/>
      <c r="MUE108" s="4"/>
      <c r="MUF108" s="4"/>
      <c r="MUG108" s="4"/>
      <c r="MUH108" s="4"/>
      <c r="MUI108" s="4"/>
      <c r="MUJ108" s="4"/>
      <c r="MUK108" s="4"/>
      <c r="MUL108" s="4"/>
      <c r="MUM108" s="4"/>
      <c r="MUN108" s="4"/>
      <c r="MUO108" s="4"/>
      <c r="MUP108" s="4"/>
      <c r="MUQ108" s="4"/>
      <c r="MUR108" s="4"/>
      <c r="MUS108" s="4"/>
      <c r="MUT108" s="4"/>
      <c r="MUU108" s="4"/>
      <c r="MUV108" s="4"/>
      <c r="MUW108" s="4"/>
      <c r="MUX108" s="4"/>
      <c r="MUY108" s="4"/>
      <c r="MUZ108" s="4"/>
      <c r="MVA108" s="4"/>
      <c r="MVB108" s="4"/>
      <c r="MVC108" s="4"/>
      <c r="MVD108" s="4"/>
      <c r="MVE108" s="4"/>
      <c r="MVF108" s="4"/>
      <c r="MVG108" s="4"/>
      <c r="MVH108" s="4"/>
      <c r="MVI108" s="4"/>
      <c r="MVJ108" s="4"/>
      <c r="MVK108" s="4"/>
      <c r="MVL108" s="4"/>
      <c r="MVM108" s="4"/>
      <c r="MVN108" s="4"/>
      <c r="MVO108" s="4"/>
      <c r="MVP108" s="4"/>
      <c r="MVQ108" s="4"/>
      <c r="MVR108" s="4"/>
      <c r="MVS108" s="4"/>
      <c r="MVT108" s="4"/>
      <c r="MVU108" s="4"/>
      <c r="MVV108" s="4"/>
      <c r="MVW108" s="4"/>
      <c r="MVX108" s="4"/>
      <c r="MVY108" s="4"/>
      <c r="MVZ108" s="4"/>
      <c r="MWA108" s="4"/>
      <c r="MWB108" s="4"/>
      <c r="MWC108" s="4"/>
      <c r="MWD108" s="4"/>
      <c r="MWE108" s="4"/>
      <c r="MWF108" s="4"/>
      <c r="MWG108" s="4"/>
      <c r="MWH108" s="4"/>
      <c r="MWI108" s="4"/>
      <c r="MWJ108" s="4"/>
      <c r="MWK108" s="4"/>
      <c r="MWL108" s="4"/>
      <c r="MWM108" s="4"/>
      <c r="MWN108" s="4"/>
      <c r="MWO108" s="4"/>
      <c r="MWP108" s="4"/>
      <c r="MWQ108" s="4"/>
      <c r="MWR108" s="4"/>
      <c r="MWS108" s="4"/>
      <c r="MWT108" s="4"/>
      <c r="MWU108" s="4"/>
      <c r="MWV108" s="4"/>
      <c r="MWW108" s="4"/>
      <c r="MWX108" s="4"/>
      <c r="MWY108" s="4"/>
      <c r="MWZ108" s="4"/>
      <c r="MXA108" s="4"/>
      <c r="MXB108" s="4"/>
      <c r="MXC108" s="4"/>
      <c r="MXD108" s="4"/>
      <c r="MXE108" s="4"/>
      <c r="MXF108" s="4"/>
      <c r="MXG108" s="4"/>
      <c r="MXH108" s="4"/>
      <c r="MXI108" s="4"/>
      <c r="MXJ108" s="4"/>
      <c r="MXK108" s="4"/>
      <c r="MXL108" s="4"/>
      <c r="MXM108" s="4"/>
      <c r="MXN108" s="4"/>
      <c r="MXO108" s="4"/>
      <c r="MXP108" s="4"/>
      <c r="MXQ108" s="4"/>
      <c r="MXR108" s="4"/>
      <c r="MXS108" s="4"/>
      <c r="MXT108" s="4"/>
      <c r="MXU108" s="4"/>
      <c r="MXV108" s="4"/>
      <c r="MXW108" s="4"/>
      <c r="MXX108" s="4"/>
      <c r="MXY108" s="4"/>
      <c r="MXZ108" s="4"/>
      <c r="MYA108" s="4"/>
      <c r="MYB108" s="4"/>
      <c r="MYC108" s="4"/>
      <c r="MYD108" s="4"/>
      <c r="MYE108" s="4"/>
      <c r="MYF108" s="4"/>
      <c r="MYG108" s="4"/>
      <c r="MYH108" s="4"/>
      <c r="MYI108" s="4"/>
      <c r="MYJ108" s="4"/>
      <c r="MYK108" s="4"/>
      <c r="MYL108" s="4"/>
      <c r="MYM108" s="4"/>
      <c r="MYN108" s="4"/>
      <c r="MYO108" s="4"/>
      <c r="MYP108" s="4"/>
      <c r="MYQ108" s="4"/>
      <c r="MYR108" s="4"/>
      <c r="MYS108" s="4"/>
      <c r="MYT108" s="4"/>
      <c r="MYU108" s="4"/>
      <c r="MYV108" s="4"/>
      <c r="MYW108" s="4"/>
      <c r="MYX108" s="4"/>
      <c r="MYY108" s="4"/>
      <c r="MYZ108" s="4"/>
      <c r="MZA108" s="4"/>
      <c r="MZB108" s="4"/>
      <c r="MZC108" s="4"/>
      <c r="MZD108" s="4"/>
      <c r="MZE108" s="4"/>
      <c r="MZF108" s="4"/>
      <c r="MZG108" s="4"/>
      <c r="MZH108" s="4"/>
      <c r="MZI108" s="4"/>
      <c r="MZJ108" s="4"/>
      <c r="MZK108" s="4"/>
      <c r="MZL108" s="4"/>
      <c r="MZM108" s="4"/>
      <c r="MZN108" s="4"/>
      <c r="MZO108" s="4"/>
      <c r="MZP108" s="4"/>
      <c r="MZQ108" s="4"/>
      <c r="MZR108" s="4"/>
      <c r="MZS108" s="4"/>
      <c r="MZT108" s="4"/>
      <c r="MZU108" s="4"/>
      <c r="MZV108" s="4"/>
      <c r="MZW108" s="4"/>
      <c r="MZX108" s="4"/>
      <c r="MZY108" s="4"/>
      <c r="MZZ108" s="4"/>
      <c r="NAA108" s="4"/>
      <c r="NAB108" s="4"/>
      <c r="NAC108" s="4"/>
      <c r="NAD108" s="4"/>
      <c r="NAE108" s="4"/>
      <c r="NAF108" s="4"/>
      <c r="NAG108" s="4"/>
      <c r="NAH108" s="4"/>
      <c r="NAI108" s="4"/>
      <c r="NAJ108" s="4"/>
      <c r="NAK108" s="4"/>
      <c r="NAL108" s="4"/>
      <c r="NAM108" s="4"/>
      <c r="NAN108" s="4"/>
      <c r="NAO108" s="4"/>
      <c r="NAP108" s="4"/>
      <c r="NAQ108" s="4"/>
      <c r="NAR108" s="4"/>
      <c r="NAS108" s="4"/>
      <c r="NAT108" s="4"/>
      <c r="NAU108" s="4"/>
      <c r="NAV108" s="4"/>
      <c r="NAW108" s="4"/>
      <c r="NAX108" s="4"/>
      <c r="NAY108" s="4"/>
      <c r="NAZ108" s="4"/>
      <c r="NBA108" s="4"/>
      <c r="NBB108" s="4"/>
      <c r="NBC108" s="4"/>
      <c r="NBD108" s="4"/>
      <c r="NBE108" s="4"/>
      <c r="NBF108" s="4"/>
      <c r="NBG108" s="4"/>
      <c r="NBH108" s="4"/>
      <c r="NBI108" s="4"/>
      <c r="NBJ108" s="4"/>
      <c r="NBK108" s="4"/>
      <c r="NBL108" s="4"/>
      <c r="NBM108" s="4"/>
      <c r="NBN108" s="4"/>
      <c r="NBO108" s="4"/>
      <c r="NBP108" s="4"/>
      <c r="NBQ108" s="4"/>
      <c r="NBR108" s="4"/>
      <c r="NBS108" s="4"/>
      <c r="NBT108" s="4"/>
      <c r="NBU108" s="4"/>
      <c r="NBV108" s="4"/>
      <c r="NBW108" s="4"/>
      <c r="NBX108" s="4"/>
      <c r="NBY108" s="4"/>
      <c r="NBZ108" s="4"/>
      <c r="NCA108" s="4"/>
      <c r="NCB108" s="4"/>
      <c r="NCC108" s="4"/>
      <c r="NCD108" s="4"/>
      <c r="NCE108" s="4"/>
      <c r="NCF108" s="4"/>
      <c r="NCG108" s="4"/>
      <c r="NCH108" s="4"/>
      <c r="NCI108" s="4"/>
      <c r="NCJ108" s="4"/>
      <c r="NCK108" s="4"/>
      <c r="NCL108" s="4"/>
      <c r="NCM108" s="4"/>
      <c r="NCN108" s="4"/>
      <c r="NCO108" s="4"/>
      <c r="NCP108" s="4"/>
      <c r="NCQ108" s="4"/>
      <c r="NCR108" s="4"/>
      <c r="NCS108" s="4"/>
      <c r="NCT108" s="4"/>
      <c r="NCU108" s="4"/>
      <c r="NCV108" s="4"/>
      <c r="NCW108" s="4"/>
      <c r="NCX108" s="4"/>
      <c r="NCY108" s="4"/>
      <c r="NCZ108" s="4"/>
      <c r="NDA108" s="4"/>
      <c r="NDB108" s="4"/>
      <c r="NDC108" s="4"/>
      <c r="NDD108" s="4"/>
      <c r="NDE108" s="4"/>
      <c r="NDF108" s="4"/>
      <c r="NDG108" s="4"/>
      <c r="NDH108" s="4"/>
      <c r="NDI108" s="4"/>
      <c r="NDJ108" s="4"/>
      <c r="NDK108" s="4"/>
      <c r="NDL108" s="4"/>
      <c r="NDM108" s="4"/>
      <c r="NDN108" s="4"/>
      <c r="NDO108" s="4"/>
      <c r="NDP108" s="4"/>
      <c r="NDQ108" s="4"/>
      <c r="NDR108" s="4"/>
      <c r="NDS108" s="4"/>
      <c r="NDT108" s="4"/>
      <c r="NDU108" s="4"/>
      <c r="NDV108" s="4"/>
      <c r="NDW108" s="4"/>
      <c r="NDX108" s="4"/>
      <c r="NDY108" s="4"/>
      <c r="NDZ108" s="4"/>
      <c r="NEA108" s="4"/>
      <c r="NEB108" s="4"/>
      <c r="NEC108" s="4"/>
      <c r="NED108" s="4"/>
      <c r="NEE108" s="4"/>
      <c r="NEF108" s="4"/>
      <c r="NEG108" s="4"/>
      <c r="NEH108" s="4"/>
      <c r="NEI108" s="4"/>
      <c r="NEJ108" s="4"/>
      <c r="NEK108" s="4"/>
      <c r="NEL108" s="4"/>
      <c r="NEM108" s="4"/>
      <c r="NEN108" s="4"/>
      <c r="NEO108" s="4"/>
      <c r="NEP108" s="4"/>
      <c r="NEQ108" s="4"/>
      <c r="NER108" s="4"/>
      <c r="NES108" s="4"/>
      <c r="NET108" s="4"/>
      <c r="NEU108" s="4"/>
      <c r="NEV108" s="4"/>
      <c r="NEW108" s="4"/>
      <c r="NEX108" s="4"/>
      <c r="NEY108" s="4"/>
      <c r="NEZ108" s="4"/>
      <c r="NFA108" s="4"/>
      <c r="NFB108" s="4"/>
      <c r="NFC108" s="4"/>
      <c r="NFD108" s="4"/>
      <c r="NFE108" s="4"/>
      <c r="NFF108" s="4"/>
      <c r="NFG108" s="4"/>
      <c r="NFH108" s="4"/>
      <c r="NFI108" s="4"/>
      <c r="NFJ108" s="4"/>
      <c r="NFK108" s="4"/>
      <c r="NFL108" s="4"/>
      <c r="NFM108" s="4"/>
      <c r="NFN108" s="4"/>
      <c r="NFO108" s="4"/>
      <c r="NFP108" s="4"/>
      <c r="NFQ108" s="4"/>
      <c r="NFR108" s="4"/>
      <c r="NFS108" s="4"/>
      <c r="NFT108" s="4"/>
      <c r="NFU108" s="4"/>
      <c r="NFV108" s="4"/>
      <c r="NFW108" s="4"/>
      <c r="NFX108" s="4"/>
      <c r="NFY108" s="4"/>
      <c r="NFZ108" s="4"/>
      <c r="NGA108" s="4"/>
      <c r="NGB108" s="4"/>
      <c r="NGC108" s="4"/>
      <c r="NGD108" s="4"/>
      <c r="NGE108" s="4"/>
      <c r="NGF108" s="4"/>
      <c r="NGG108" s="4"/>
      <c r="NGH108" s="4"/>
      <c r="NGI108" s="4"/>
      <c r="NGJ108" s="4"/>
      <c r="NGK108" s="4"/>
      <c r="NGL108" s="4"/>
      <c r="NGM108" s="4"/>
      <c r="NGN108" s="4"/>
      <c r="NGO108" s="4"/>
      <c r="NGP108" s="4"/>
      <c r="NGQ108" s="4"/>
      <c r="NGR108" s="4"/>
      <c r="NGS108" s="4"/>
      <c r="NGT108" s="4"/>
      <c r="NGU108" s="4"/>
      <c r="NGV108" s="4"/>
      <c r="NGW108" s="4"/>
      <c r="NGX108" s="4"/>
      <c r="NGY108" s="4"/>
      <c r="NGZ108" s="4"/>
      <c r="NHA108" s="4"/>
      <c r="NHB108" s="4"/>
      <c r="NHC108" s="4"/>
      <c r="NHD108" s="4"/>
      <c r="NHE108" s="4"/>
      <c r="NHF108" s="4"/>
      <c r="NHG108" s="4"/>
      <c r="NHH108" s="4"/>
      <c r="NHI108" s="4"/>
      <c r="NHJ108" s="4"/>
      <c r="NHK108" s="4"/>
      <c r="NHL108" s="4"/>
      <c r="NHM108" s="4"/>
      <c r="NHN108" s="4"/>
      <c r="NHO108" s="4"/>
      <c r="NHP108" s="4"/>
      <c r="NHQ108" s="4"/>
      <c r="NHR108" s="4"/>
      <c r="NHS108" s="4"/>
      <c r="NHT108" s="4"/>
      <c r="NHU108" s="4"/>
      <c r="NHV108" s="4"/>
      <c r="NHW108" s="4"/>
      <c r="NHX108" s="4"/>
      <c r="NHY108" s="4"/>
      <c r="NHZ108" s="4"/>
      <c r="NIA108" s="4"/>
      <c r="NIB108" s="4"/>
      <c r="NIC108" s="4"/>
      <c r="NID108" s="4"/>
      <c r="NIE108" s="4"/>
      <c r="NIF108" s="4"/>
      <c r="NIG108" s="4"/>
      <c r="NIH108" s="4"/>
      <c r="NII108" s="4"/>
      <c r="NIJ108" s="4"/>
      <c r="NIK108" s="4"/>
      <c r="NIL108" s="4"/>
      <c r="NIM108" s="4"/>
      <c r="NIN108" s="4"/>
      <c r="NIO108" s="4"/>
      <c r="NIP108" s="4"/>
      <c r="NIQ108" s="4"/>
      <c r="NIR108" s="4"/>
      <c r="NIS108" s="4"/>
      <c r="NIT108" s="4"/>
      <c r="NIU108" s="4"/>
      <c r="NIV108" s="4"/>
      <c r="NIW108" s="4"/>
      <c r="NIX108" s="4"/>
      <c r="NIY108" s="4"/>
      <c r="NIZ108" s="4"/>
      <c r="NJA108" s="4"/>
      <c r="NJB108" s="4"/>
      <c r="NJC108" s="4"/>
      <c r="NJD108" s="4"/>
      <c r="NJE108" s="4"/>
      <c r="NJF108" s="4"/>
      <c r="NJG108" s="4"/>
      <c r="NJH108" s="4"/>
      <c r="NJI108" s="4"/>
      <c r="NJJ108" s="4"/>
      <c r="NJK108" s="4"/>
      <c r="NJL108" s="4"/>
      <c r="NJM108" s="4"/>
      <c r="NJN108" s="4"/>
      <c r="NJO108" s="4"/>
      <c r="NJP108" s="4"/>
      <c r="NJQ108" s="4"/>
      <c r="NJR108" s="4"/>
      <c r="NJS108" s="4"/>
      <c r="NJT108" s="4"/>
      <c r="NJU108" s="4"/>
      <c r="NJV108" s="4"/>
      <c r="NJW108" s="4"/>
      <c r="NJX108" s="4"/>
      <c r="NJY108" s="4"/>
      <c r="NJZ108" s="4"/>
      <c r="NKA108" s="4"/>
      <c r="NKB108" s="4"/>
      <c r="NKC108" s="4"/>
      <c r="NKD108" s="4"/>
      <c r="NKE108" s="4"/>
      <c r="NKF108" s="4"/>
      <c r="NKG108" s="4"/>
      <c r="NKH108" s="4"/>
      <c r="NKI108" s="4"/>
      <c r="NKJ108" s="4"/>
      <c r="NKK108" s="4"/>
      <c r="NKL108" s="4"/>
      <c r="NKM108" s="4"/>
      <c r="NKN108" s="4"/>
      <c r="NKO108" s="4"/>
      <c r="NKP108" s="4"/>
      <c r="NKQ108" s="4"/>
      <c r="NKR108" s="4"/>
      <c r="NKS108" s="4"/>
      <c r="NKT108" s="4"/>
      <c r="NKU108" s="4"/>
      <c r="NKV108" s="4"/>
      <c r="NKW108" s="4"/>
      <c r="NKX108" s="4"/>
      <c r="NKY108" s="4"/>
      <c r="NKZ108" s="4"/>
      <c r="NLA108" s="4"/>
      <c r="NLB108" s="4"/>
      <c r="NLC108" s="4"/>
      <c r="NLD108" s="4"/>
      <c r="NLE108" s="4"/>
      <c r="NLF108" s="4"/>
      <c r="NLG108" s="4"/>
      <c r="NLH108" s="4"/>
      <c r="NLI108" s="4"/>
      <c r="NLJ108" s="4"/>
      <c r="NLK108" s="4"/>
      <c r="NLL108" s="4"/>
      <c r="NLM108" s="4"/>
      <c r="NLN108" s="4"/>
      <c r="NLO108" s="4"/>
      <c r="NLP108" s="4"/>
      <c r="NLQ108" s="4"/>
      <c r="NLR108" s="4"/>
      <c r="NLS108" s="4"/>
      <c r="NLT108" s="4"/>
      <c r="NLU108" s="4"/>
      <c r="NLV108" s="4"/>
      <c r="NLW108" s="4"/>
      <c r="NLX108" s="4"/>
      <c r="NLY108" s="4"/>
      <c r="NLZ108" s="4"/>
      <c r="NMA108" s="4"/>
      <c r="NMB108" s="4"/>
      <c r="NMC108" s="4"/>
      <c r="NMD108" s="4"/>
      <c r="NME108" s="4"/>
      <c r="NMF108" s="4"/>
      <c r="NMG108" s="4"/>
      <c r="NMH108" s="4"/>
      <c r="NMI108" s="4"/>
      <c r="NMJ108" s="4"/>
      <c r="NMK108" s="4"/>
      <c r="NML108" s="4"/>
      <c r="NMM108" s="4"/>
      <c r="NMN108" s="4"/>
      <c r="NMO108" s="4"/>
      <c r="NMP108" s="4"/>
      <c r="NMQ108" s="4"/>
      <c r="NMR108" s="4"/>
      <c r="NMS108" s="4"/>
      <c r="NMT108" s="4"/>
      <c r="NMU108" s="4"/>
      <c r="NMV108" s="4"/>
      <c r="NMW108" s="4"/>
      <c r="NMX108" s="4"/>
      <c r="NMY108" s="4"/>
      <c r="NMZ108" s="4"/>
      <c r="NNA108" s="4"/>
      <c r="NNB108" s="4"/>
      <c r="NNC108" s="4"/>
      <c r="NND108" s="4"/>
      <c r="NNE108" s="4"/>
      <c r="NNF108" s="4"/>
      <c r="NNG108" s="4"/>
      <c r="NNH108" s="4"/>
      <c r="NNI108" s="4"/>
      <c r="NNJ108" s="4"/>
      <c r="NNK108" s="4"/>
      <c r="NNL108" s="4"/>
      <c r="NNM108" s="4"/>
      <c r="NNN108" s="4"/>
      <c r="NNO108" s="4"/>
      <c r="NNP108" s="4"/>
      <c r="NNQ108" s="4"/>
      <c r="NNR108" s="4"/>
      <c r="NNS108" s="4"/>
      <c r="NNT108" s="4"/>
      <c r="NNU108" s="4"/>
      <c r="NNV108" s="4"/>
      <c r="NNW108" s="4"/>
      <c r="NNX108" s="4"/>
      <c r="NNY108" s="4"/>
      <c r="NNZ108" s="4"/>
      <c r="NOA108" s="4"/>
      <c r="NOB108" s="4"/>
      <c r="NOC108" s="4"/>
      <c r="NOD108" s="4"/>
      <c r="NOE108" s="4"/>
      <c r="NOF108" s="4"/>
      <c r="NOG108" s="4"/>
      <c r="NOH108" s="4"/>
      <c r="NOI108" s="4"/>
      <c r="NOJ108" s="4"/>
      <c r="NOK108" s="4"/>
      <c r="NOL108" s="4"/>
      <c r="NOM108" s="4"/>
      <c r="NON108" s="4"/>
      <c r="NOO108" s="4"/>
      <c r="NOP108" s="4"/>
      <c r="NOQ108" s="4"/>
      <c r="NOR108" s="4"/>
      <c r="NOS108" s="4"/>
      <c r="NOT108" s="4"/>
      <c r="NOU108" s="4"/>
      <c r="NOV108" s="4"/>
      <c r="NOW108" s="4"/>
      <c r="NOX108" s="4"/>
      <c r="NOY108" s="4"/>
      <c r="NOZ108" s="4"/>
      <c r="NPA108" s="4"/>
      <c r="NPB108" s="4"/>
      <c r="NPC108" s="4"/>
      <c r="NPD108" s="4"/>
      <c r="NPE108" s="4"/>
      <c r="NPF108" s="4"/>
      <c r="NPG108" s="4"/>
      <c r="NPH108" s="4"/>
      <c r="NPI108" s="4"/>
      <c r="NPJ108" s="4"/>
      <c r="NPK108" s="4"/>
      <c r="NPL108" s="4"/>
      <c r="NPM108" s="4"/>
      <c r="NPN108" s="4"/>
      <c r="NPO108" s="4"/>
      <c r="NPP108" s="4"/>
      <c r="NPQ108" s="4"/>
      <c r="NPR108" s="4"/>
      <c r="NPS108" s="4"/>
      <c r="NPT108" s="4"/>
      <c r="NPU108" s="4"/>
      <c r="NPV108" s="4"/>
      <c r="NPW108" s="4"/>
      <c r="NPX108" s="4"/>
      <c r="NPY108" s="4"/>
      <c r="NPZ108" s="4"/>
      <c r="NQA108" s="4"/>
      <c r="NQB108" s="4"/>
      <c r="NQC108" s="4"/>
      <c r="NQD108" s="4"/>
      <c r="NQE108" s="4"/>
      <c r="NQF108" s="4"/>
      <c r="NQG108" s="4"/>
      <c r="NQH108" s="4"/>
      <c r="NQI108" s="4"/>
      <c r="NQJ108" s="4"/>
      <c r="NQK108" s="4"/>
      <c r="NQL108" s="4"/>
      <c r="NQM108" s="4"/>
      <c r="NQN108" s="4"/>
      <c r="NQO108" s="4"/>
      <c r="NQP108" s="4"/>
      <c r="NQQ108" s="4"/>
      <c r="NQR108" s="4"/>
      <c r="NQS108" s="4"/>
      <c r="NQT108" s="4"/>
      <c r="NQU108" s="4"/>
      <c r="NQV108" s="4"/>
      <c r="NQW108" s="4"/>
      <c r="NQX108" s="4"/>
      <c r="NQY108" s="4"/>
      <c r="NQZ108" s="4"/>
      <c r="NRA108" s="4"/>
      <c r="NRB108" s="4"/>
      <c r="NRC108" s="4"/>
      <c r="NRD108" s="4"/>
      <c r="NRE108" s="4"/>
      <c r="NRF108" s="4"/>
      <c r="NRG108" s="4"/>
      <c r="NRH108" s="4"/>
      <c r="NRI108" s="4"/>
      <c r="NRJ108" s="4"/>
      <c r="NRK108" s="4"/>
      <c r="NRL108" s="4"/>
      <c r="NRM108" s="4"/>
      <c r="NRN108" s="4"/>
      <c r="NRO108" s="4"/>
      <c r="NRP108" s="4"/>
      <c r="NRQ108" s="4"/>
      <c r="NRR108" s="4"/>
      <c r="NRS108" s="4"/>
      <c r="NRT108" s="4"/>
      <c r="NRU108" s="4"/>
      <c r="NRV108" s="4"/>
      <c r="NRW108" s="4"/>
      <c r="NRX108" s="4"/>
      <c r="NRY108" s="4"/>
      <c r="NRZ108" s="4"/>
      <c r="NSA108" s="4"/>
      <c r="NSB108" s="4"/>
      <c r="NSC108" s="4"/>
      <c r="NSD108" s="4"/>
      <c r="NSE108" s="4"/>
      <c r="NSF108" s="4"/>
      <c r="NSG108" s="4"/>
      <c r="NSH108" s="4"/>
      <c r="NSI108" s="4"/>
      <c r="NSJ108" s="4"/>
      <c r="NSK108" s="4"/>
      <c r="NSL108" s="4"/>
      <c r="NSM108" s="4"/>
      <c r="NSN108" s="4"/>
      <c r="NSO108" s="4"/>
      <c r="NSP108" s="4"/>
      <c r="NSQ108" s="4"/>
      <c r="NSR108" s="4"/>
      <c r="NSS108" s="4"/>
      <c r="NST108" s="4"/>
      <c r="NSU108" s="4"/>
      <c r="NSV108" s="4"/>
      <c r="NSW108" s="4"/>
      <c r="NSX108" s="4"/>
      <c r="NSY108" s="4"/>
      <c r="NSZ108" s="4"/>
      <c r="NTA108" s="4"/>
      <c r="NTB108" s="4"/>
      <c r="NTC108" s="4"/>
      <c r="NTD108" s="4"/>
      <c r="NTE108" s="4"/>
      <c r="NTF108" s="4"/>
      <c r="NTG108" s="4"/>
      <c r="NTH108" s="4"/>
      <c r="NTI108" s="4"/>
      <c r="NTJ108" s="4"/>
      <c r="NTK108" s="4"/>
      <c r="NTL108" s="4"/>
      <c r="NTM108" s="4"/>
      <c r="NTN108" s="4"/>
      <c r="NTO108" s="4"/>
      <c r="NTP108" s="4"/>
      <c r="NTQ108" s="4"/>
      <c r="NTR108" s="4"/>
      <c r="NTS108" s="4"/>
      <c r="NTT108" s="4"/>
      <c r="NTU108" s="4"/>
      <c r="NTV108" s="4"/>
      <c r="NTW108" s="4"/>
      <c r="NTX108" s="4"/>
      <c r="NTY108" s="4"/>
      <c r="NTZ108" s="4"/>
      <c r="NUA108" s="4"/>
      <c r="NUB108" s="4"/>
      <c r="NUC108" s="4"/>
      <c r="NUD108" s="4"/>
      <c r="NUE108" s="4"/>
      <c r="NUF108" s="4"/>
      <c r="NUG108" s="4"/>
      <c r="NUH108" s="4"/>
      <c r="NUI108" s="4"/>
      <c r="NUJ108" s="4"/>
      <c r="NUK108" s="4"/>
      <c r="NUL108" s="4"/>
      <c r="NUM108" s="4"/>
      <c r="NUN108" s="4"/>
      <c r="NUO108" s="4"/>
      <c r="NUP108" s="4"/>
      <c r="NUQ108" s="4"/>
      <c r="NUR108" s="4"/>
      <c r="NUS108" s="4"/>
      <c r="NUT108" s="4"/>
      <c r="NUU108" s="4"/>
      <c r="NUV108" s="4"/>
      <c r="NUW108" s="4"/>
      <c r="NUX108" s="4"/>
      <c r="NUY108" s="4"/>
      <c r="NUZ108" s="4"/>
      <c r="NVA108" s="4"/>
      <c r="NVB108" s="4"/>
      <c r="NVC108" s="4"/>
      <c r="NVD108" s="4"/>
      <c r="NVE108" s="4"/>
      <c r="NVF108" s="4"/>
      <c r="NVG108" s="4"/>
      <c r="NVH108" s="4"/>
      <c r="NVI108" s="4"/>
      <c r="NVJ108" s="4"/>
      <c r="NVK108" s="4"/>
      <c r="NVL108" s="4"/>
      <c r="NVM108" s="4"/>
      <c r="NVN108" s="4"/>
      <c r="NVO108" s="4"/>
      <c r="NVP108" s="4"/>
      <c r="NVQ108" s="4"/>
      <c r="NVR108" s="4"/>
      <c r="NVS108" s="4"/>
      <c r="NVT108" s="4"/>
      <c r="NVU108" s="4"/>
      <c r="NVV108" s="4"/>
      <c r="NVW108" s="4"/>
      <c r="NVX108" s="4"/>
      <c r="NVY108" s="4"/>
      <c r="NVZ108" s="4"/>
      <c r="NWA108" s="4"/>
      <c r="NWB108" s="4"/>
      <c r="NWC108" s="4"/>
      <c r="NWD108" s="4"/>
      <c r="NWE108" s="4"/>
      <c r="NWF108" s="4"/>
      <c r="NWG108" s="4"/>
      <c r="NWH108" s="4"/>
      <c r="NWI108" s="4"/>
      <c r="NWJ108" s="4"/>
      <c r="NWK108" s="4"/>
      <c r="NWL108" s="4"/>
      <c r="NWM108" s="4"/>
      <c r="NWN108" s="4"/>
      <c r="NWO108" s="4"/>
      <c r="NWP108" s="4"/>
      <c r="NWQ108" s="4"/>
      <c r="NWR108" s="4"/>
      <c r="NWS108" s="4"/>
      <c r="NWT108" s="4"/>
      <c r="NWU108" s="4"/>
      <c r="NWV108" s="4"/>
      <c r="NWW108" s="4"/>
      <c r="NWX108" s="4"/>
      <c r="NWY108" s="4"/>
      <c r="NWZ108" s="4"/>
      <c r="NXA108" s="4"/>
      <c r="NXB108" s="4"/>
      <c r="NXC108" s="4"/>
      <c r="NXD108" s="4"/>
      <c r="NXE108" s="4"/>
      <c r="NXF108" s="4"/>
      <c r="NXG108" s="4"/>
      <c r="NXH108" s="4"/>
      <c r="NXI108" s="4"/>
      <c r="NXJ108" s="4"/>
      <c r="NXK108" s="4"/>
      <c r="NXL108" s="4"/>
      <c r="NXM108" s="4"/>
      <c r="NXN108" s="4"/>
      <c r="NXO108" s="4"/>
      <c r="NXP108" s="4"/>
      <c r="NXQ108" s="4"/>
      <c r="NXR108" s="4"/>
      <c r="NXS108" s="4"/>
      <c r="NXT108" s="4"/>
      <c r="NXU108" s="4"/>
      <c r="NXV108" s="4"/>
      <c r="NXW108" s="4"/>
      <c r="NXX108" s="4"/>
      <c r="NXY108" s="4"/>
      <c r="NXZ108" s="4"/>
      <c r="NYA108" s="4"/>
      <c r="NYB108" s="4"/>
      <c r="NYC108" s="4"/>
      <c r="NYD108" s="4"/>
      <c r="NYE108" s="4"/>
      <c r="NYF108" s="4"/>
      <c r="NYG108" s="4"/>
      <c r="NYH108" s="4"/>
      <c r="NYI108" s="4"/>
      <c r="NYJ108" s="4"/>
      <c r="NYK108" s="4"/>
      <c r="NYL108" s="4"/>
      <c r="NYM108" s="4"/>
      <c r="NYN108" s="4"/>
      <c r="NYO108" s="4"/>
      <c r="NYP108" s="4"/>
      <c r="NYQ108" s="4"/>
      <c r="NYR108" s="4"/>
      <c r="NYS108" s="4"/>
      <c r="NYT108" s="4"/>
      <c r="NYU108" s="4"/>
      <c r="NYV108" s="4"/>
      <c r="NYW108" s="4"/>
      <c r="NYX108" s="4"/>
      <c r="NYY108" s="4"/>
      <c r="NYZ108" s="4"/>
      <c r="NZA108" s="4"/>
      <c r="NZB108" s="4"/>
      <c r="NZC108" s="4"/>
      <c r="NZD108" s="4"/>
      <c r="NZE108" s="4"/>
      <c r="NZF108" s="4"/>
      <c r="NZG108" s="4"/>
      <c r="NZH108" s="4"/>
      <c r="NZI108" s="4"/>
      <c r="NZJ108" s="4"/>
      <c r="NZK108" s="4"/>
      <c r="NZL108" s="4"/>
      <c r="NZM108" s="4"/>
      <c r="NZN108" s="4"/>
      <c r="NZO108" s="4"/>
      <c r="NZP108" s="4"/>
      <c r="NZQ108" s="4"/>
      <c r="NZR108" s="4"/>
      <c r="NZS108" s="4"/>
      <c r="NZT108" s="4"/>
      <c r="NZU108" s="4"/>
      <c r="NZV108" s="4"/>
      <c r="NZW108" s="4"/>
      <c r="NZX108" s="4"/>
      <c r="NZY108" s="4"/>
      <c r="NZZ108" s="4"/>
      <c r="OAA108" s="4"/>
      <c r="OAB108" s="4"/>
      <c r="OAC108" s="4"/>
      <c r="OAD108" s="4"/>
      <c r="OAE108" s="4"/>
      <c r="OAF108" s="4"/>
      <c r="OAG108" s="4"/>
      <c r="OAH108" s="4"/>
      <c r="OAI108" s="4"/>
      <c r="OAJ108" s="4"/>
      <c r="OAK108" s="4"/>
      <c r="OAL108" s="4"/>
      <c r="OAM108" s="4"/>
      <c r="OAN108" s="4"/>
      <c r="OAO108" s="4"/>
      <c r="OAP108" s="4"/>
      <c r="OAQ108" s="4"/>
      <c r="OAR108" s="4"/>
      <c r="OAS108" s="4"/>
      <c r="OAT108" s="4"/>
      <c r="OAU108" s="4"/>
      <c r="OAV108" s="4"/>
      <c r="OAW108" s="4"/>
      <c r="OAX108" s="4"/>
      <c r="OAY108" s="4"/>
      <c r="OAZ108" s="4"/>
      <c r="OBA108" s="4"/>
      <c r="OBB108" s="4"/>
      <c r="OBC108" s="4"/>
      <c r="OBD108" s="4"/>
      <c r="OBE108" s="4"/>
      <c r="OBF108" s="4"/>
      <c r="OBG108" s="4"/>
      <c r="OBH108" s="4"/>
      <c r="OBI108" s="4"/>
      <c r="OBJ108" s="4"/>
      <c r="OBK108" s="4"/>
      <c r="OBL108" s="4"/>
      <c r="OBM108" s="4"/>
      <c r="OBN108" s="4"/>
      <c r="OBO108" s="4"/>
      <c r="OBP108" s="4"/>
      <c r="OBQ108" s="4"/>
      <c r="OBR108" s="4"/>
      <c r="OBS108" s="4"/>
      <c r="OBT108" s="4"/>
      <c r="OBU108" s="4"/>
      <c r="OBV108" s="4"/>
      <c r="OBW108" s="4"/>
      <c r="OBX108" s="4"/>
      <c r="OBY108" s="4"/>
      <c r="OBZ108" s="4"/>
      <c r="OCA108" s="4"/>
      <c r="OCB108" s="4"/>
      <c r="OCC108" s="4"/>
      <c r="OCD108" s="4"/>
      <c r="OCE108" s="4"/>
      <c r="OCF108" s="4"/>
      <c r="OCG108" s="4"/>
      <c r="OCH108" s="4"/>
      <c r="OCI108" s="4"/>
      <c r="OCJ108" s="4"/>
      <c r="OCK108" s="4"/>
      <c r="OCL108" s="4"/>
      <c r="OCM108" s="4"/>
      <c r="OCN108" s="4"/>
      <c r="OCO108" s="4"/>
      <c r="OCP108" s="4"/>
      <c r="OCQ108" s="4"/>
      <c r="OCR108" s="4"/>
      <c r="OCS108" s="4"/>
      <c r="OCT108" s="4"/>
      <c r="OCU108" s="4"/>
      <c r="OCV108" s="4"/>
      <c r="OCW108" s="4"/>
      <c r="OCX108" s="4"/>
      <c r="OCY108" s="4"/>
      <c r="OCZ108" s="4"/>
      <c r="ODA108" s="4"/>
      <c r="ODB108" s="4"/>
      <c r="ODC108" s="4"/>
      <c r="ODD108" s="4"/>
      <c r="ODE108" s="4"/>
      <c r="ODF108" s="4"/>
      <c r="ODG108" s="4"/>
      <c r="ODH108" s="4"/>
      <c r="ODI108" s="4"/>
      <c r="ODJ108" s="4"/>
      <c r="ODK108" s="4"/>
      <c r="ODL108" s="4"/>
      <c r="ODM108" s="4"/>
      <c r="ODN108" s="4"/>
      <c r="ODO108" s="4"/>
      <c r="ODP108" s="4"/>
      <c r="ODQ108" s="4"/>
      <c r="ODR108" s="4"/>
      <c r="ODS108" s="4"/>
      <c r="ODT108" s="4"/>
      <c r="ODU108" s="4"/>
      <c r="ODV108" s="4"/>
      <c r="ODW108" s="4"/>
      <c r="ODX108" s="4"/>
      <c r="ODY108" s="4"/>
      <c r="ODZ108" s="4"/>
      <c r="OEA108" s="4"/>
      <c r="OEB108" s="4"/>
      <c r="OEC108" s="4"/>
      <c r="OED108" s="4"/>
      <c r="OEE108" s="4"/>
      <c r="OEF108" s="4"/>
      <c r="OEG108" s="4"/>
      <c r="OEH108" s="4"/>
      <c r="OEI108" s="4"/>
      <c r="OEJ108" s="4"/>
      <c r="OEK108" s="4"/>
      <c r="OEL108" s="4"/>
      <c r="OEM108" s="4"/>
      <c r="OEN108" s="4"/>
      <c r="OEO108" s="4"/>
      <c r="OEP108" s="4"/>
      <c r="OEQ108" s="4"/>
      <c r="OER108" s="4"/>
      <c r="OES108" s="4"/>
      <c r="OET108" s="4"/>
      <c r="OEU108" s="4"/>
      <c r="OEV108" s="4"/>
      <c r="OEW108" s="4"/>
      <c r="OEX108" s="4"/>
      <c r="OEY108" s="4"/>
      <c r="OEZ108" s="4"/>
      <c r="OFA108" s="4"/>
      <c r="OFB108" s="4"/>
      <c r="OFC108" s="4"/>
      <c r="OFD108" s="4"/>
      <c r="OFE108" s="4"/>
      <c r="OFF108" s="4"/>
      <c r="OFG108" s="4"/>
      <c r="OFH108" s="4"/>
      <c r="OFI108" s="4"/>
      <c r="OFJ108" s="4"/>
      <c r="OFK108" s="4"/>
      <c r="OFL108" s="4"/>
      <c r="OFM108" s="4"/>
      <c r="OFN108" s="4"/>
      <c r="OFO108" s="4"/>
      <c r="OFP108" s="4"/>
      <c r="OFQ108" s="4"/>
      <c r="OFR108" s="4"/>
      <c r="OFS108" s="4"/>
      <c r="OFT108" s="4"/>
      <c r="OFU108" s="4"/>
      <c r="OFV108" s="4"/>
      <c r="OFW108" s="4"/>
      <c r="OFX108" s="4"/>
      <c r="OFY108" s="4"/>
      <c r="OFZ108" s="4"/>
      <c r="OGA108" s="4"/>
      <c r="OGB108" s="4"/>
      <c r="OGC108" s="4"/>
      <c r="OGD108" s="4"/>
      <c r="OGE108" s="4"/>
      <c r="OGF108" s="4"/>
      <c r="OGG108" s="4"/>
      <c r="OGH108" s="4"/>
      <c r="OGI108" s="4"/>
      <c r="OGJ108" s="4"/>
      <c r="OGK108" s="4"/>
      <c r="OGL108" s="4"/>
      <c r="OGM108" s="4"/>
      <c r="OGN108" s="4"/>
      <c r="OGO108" s="4"/>
      <c r="OGP108" s="4"/>
      <c r="OGQ108" s="4"/>
      <c r="OGR108" s="4"/>
      <c r="OGS108" s="4"/>
      <c r="OGT108" s="4"/>
      <c r="OGU108" s="4"/>
      <c r="OGV108" s="4"/>
      <c r="OGW108" s="4"/>
      <c r="OGX108" s="4"/>
      <c r="OGY108" s="4"/>
      <c r="OGZ108" s="4"/>
      <c r="OHA108" s="4"/>
      <c r="OHB108" s="4"/>
      <c r="OHC108" s="4"/>
      <c r="OHD108" s="4"/>
      <c r="OHE108" s="4"/>
      <c r="OHF108" s="4"/>
      <c r="OHG108" s="4"/>
      <c r="OHH108" s="4"/>
      <c r="OHI108" s="4"/>
      <c r="OHJ108" s="4"/>
      <c r="OHK108" s="4"/>
      <c r="OHL108" s="4"/>
      <c r="OHM108" s="4"/>
      <c r="OHN108" s="4"/>
      <c r="OHO108" s="4"/>
      <c r="OHP108" s="4"/>
      <c r="OHQ108" s="4"/>
      <c r="OHR108" s="4"/>
      <c r="OHS108" s="4"/>
      <c r="OHT108" s="4"/>
      <c r="OHU108" s="4"/>
      <c r="OHV108" s="4"/>
      <c r="OHW108" s="4"/>
      <c r="OHX108" s="4"/>
      <c r="OHY108" s="4"/>
      <c r="OHZ108" s="4"/>
      <c r="OIA108" s="4"/>
      <c r="OIB108" s="4"/>
      <c r="OIC108" s="4"/>
      <c r="OID108" s="4"/>
      <c r="OIE108" s="4"/>
      <c r="OIF108" s="4"/>
      <c r="OIG108" s="4"/>
      <c r="OIH108" s="4"/>
      <c r="OII108" s="4"/>
      <c r="OIJ108" s="4"/>
      <c r="OIK108" s="4"/>
      <c r="OIL108" s="4"/>
      <c r="OIM108" s="4"/>
      <c r="OIN108" s="4"/>
      <c r="OIO108" s="4"/>
      <c r="OIP108" s="4"/>
      <c r="OIQ108" s="4"/>
      <c r="OIR108" s="4"/>
      <c r="OIS108" s="4"/>
      <c r="OIT108" s="4"/>
      <c r="OIU108" s="4"/>
      <c r="OIV108" s="4"/>
      <c r="OIW108" s="4"/>
      <c r="OIX108" s="4"/>
      <c r="OIY108" s="4"/>
      <c r="OIZ108" s="4"/>
      <c r="OJA108" s="4"/>
      <c r="OJB108" s="4"/>
      <c r="OJC108" s="4"/>
      <c r="OJD108" s="4"/>
      <c r="OJE108" s="4"/>
      <c r="OJF108" s="4"/>
      <c r="OJG108" s="4"/>
      <c r="OJH108" s="4"/>
      <c r="OJI108" s="4"/>
      <c r="OJJ108" s="4"/>
      <c r="OJK108" s="4"/>
      <c r="OJL108" s="4"/>
      <c r="OJM108" s="4"/>
      <c r="OJN108" s="4"/>
      <c r="OJO108" s="4"/>
      <c r="OJP108" s="4"/>
      <c r="OJQ108" s="4"/>
      <c r="OJR108" s="4"/>
      <c r="OJS108" s="4"/>
      <c r="OJT108" s="4"/>
      <c r="OJU108" s="4"/>
      <c r="OJV108" s="4"/>
      <c r="OJW108" s="4"/>
      <c r="OJX108" s="4"/>
      <c r="OJY108" s="4"/>
      <c r="OJZ108" s="4"/>
      <c r="OKA108" s="4"/>
      <c r="OKB108" s="4"/>
      <c r="OKC108" s="4"/>
      <c r="OKD108" s="4"/>
      <c r="OKE108" s="4"/>
      <c r="OKF108" s="4"/>
      <c r="OKG108" s="4"/>
      <c r="OKH108" s="4"/>
      <c r="OKI108" s="4"/>
      <c r="OKJ108" s="4"/>
      <c r="OKK108" s="4"/>
      <c r="OKL108" s="4"/>
      <c r="OKM108" s="4"/>
      <c r="OKN108" s="4"/>
      <c r="OKO108" s="4"/>
      <c r="OKP108" s="4"/>
      <c r="OKQ108" s="4"/>
      <c r="OKR108" s="4"/>
      <c r="OKS108" s="4"/>
      <c r="OKT108" s="4"/>
      <c r="OKU108" s="4"/>
      <c r="OKV108" s="4"/>
      <c r="OKW108" s="4"/>
      <c r="OKX108" s="4"/>
      <c r="OKY108" s="4"/>
      <c r="OKZ108" s="4"/>
      <c r="OLA108" s="4"/>
      <c r="OLB108" s="4"/>
      <c r="OLC108" s="4"/>
      <c r="OLD108" s="4"/>
      <c r="OLE108" s="4"/>
      <c r="OLF108" s="4"/>
      <c r="OLG108" s="4"/>
      <c r="OLH108" s="4"/>
      <c r="OLI108" s="4"/>
      <c r="OLJ108" s="4"/>
      <c r="OLK108" s="4"/>
      <c r="OLL108" s="4"/>
      <c r="OLM108" s="4"/>
      <c r="OLN108" s="4"/>
      <c r="OLO108" s="4"/>
      <c r="OLP108" s="4"/>
      <c r="OLQ108" s="4"/>
      <c r="OLR108" s="4"/>
      <c r="OLS108" s="4"/>
      <c r="OLT108" s="4"/>
      <c r="OLU108" s="4"/>
      <c r="OLV108" s="4"/>
      <c r="OLW108" s="4"/>
      <c r="OLX108" s="4"/>
      <c r="OLY108" s="4"/>
      <c r="OLZ108" s="4"/>
      <c r="OMA108" s="4"/>
      <c r="OMB108" s="4"/>
      <c r="OMC108" s="4"/>
      <c r="OMD108" s="4"/>
      <c r="OME108" s="4"/>
      <c r="OMF108" s="4"/>
      <c r="OMG108" s="4"/>
      <c r="OMH108" s="4"/>
      <c r="OMI108" s="4"/>
      <c r="OMJ108" s="4"/>
      <c r="OMK108" s="4"/>
      <c r="OML108" s="4"/>
      <c r="OMM108" s="4"/>
      <c r="OMN108" s="4"/>
      <c r="OMO108" s="4"/>
      <c r="OMP108" s="4"/>
      <c r="OMQ108" s="4"/>
      <c r="OMR108" s="4"/>
      <c r="OMS108" s="4"/>
      <c r="OMT108" s="4"/>
      <c r="OMU108" s="4"/>
      <c r="OMV108" s="4"/>
      <c r="OMW108" s="4"/>
      <c r="OMX108" s="4"/>
      <c r="OMY108" s="4"/>
      <c r="OMZ108" s="4"/>
      <c r="ONA108" s="4"/>
      <c r="ONB108" s="4"/>
      <c r="ONC108" s="4"/>
      <c r="OND108" s="4"/>
      <c r="ONE108" s="4"/>
      <c r="ONF108" s="4"/>
      <c r="ONG108" s="4"/>
      <c r="ONH108" s="4"/>
      <c r="ONI108" s="4"/>
      <c r="ONJ108" s="4"/>
      <c r="ONK108" s="4"/>
      <c r="ONL108" s="4"/>
      <c r="ONM108" s="4"/>
      <c r="ONN108" s="4"/>
      <c r="ONO108" s="4"/>
      <c r="ONP108" s="4"/>
      <c r="ONQ108" s="4"/>
      <c r="ONR108" s="4"/>
      <c r="ONS108" s="4"/>
      <c r="ONT108" s="4"/>
      <c r="ONU108" s="4"/>
      <c r="ONV108" s="4"/>
      <c r="ONW108" s="4"/>
      <c r="ONX108" s="4"/>
      <c r="ONY108" s="4"/>
      <c r="ONZ108" s="4"/>
      <c r="OOA108" s="4"/>
      <c r="OOB108" s="4"/>
      <c r="OOC108" s="4"/>
      <c r="OOD108" s="4"/>
      <c r="OOE108" s="4"/>
      <c r="OOF108" s="4"/>
      <c r="OOG108" s="4"/>
      <c r="OOH108" s="4"/>
      <c r="OOI108" s="4"/>
      <c r="OOJ108" s="4"/>
      <c r="OOK108" s="4"/>
      <c r="OOL108" s="4"/>
      <c r="OOM108" s="4"/>
      <c r="OON108" s="4"/>
      <c r="OOO108" s="4"/>
      <c r="OOP108" s="4"/>
      <c r="OOQ108" s="4"/>
      <c r="OOR108" s="4"/>
      <c r="OOS108" s="4"/>
      <c r="OOT108" s="4"/>
      <c r="OOU108" s="4"/>
      <c r="OOV108" s="4"/>
      <c r="OOW108" s="4"/>
      <c r="OOX108" s="4"/>
      <c r="OOY108" s="4"/>
      <c r="OOZ108" s="4"/>
      <c r="OPA108" s="4"/>
      <c r="OPB108" s="4"/>
      <c r="OPC108" s="4"/>
      <c r="OPD108" s="4"/>
      <c r="OPE108" s="4"/>
      <c r="OPF108" s="4"/>
      <c r="OPG108" s="4"/>
      <c r="OPH108" s="4"/>
      <c r="OPI108" s="4"/>
      <c r="OPJ108" s="4"/>
      <c r="OPK108" s="4"/>
      <c r="OPL108" s="4"/>
      <c r="OPM108" s="4"/>
      <c r="OPN108" s="4"/>
      <c r="OPO108" s="4"/>
      <c r="OPP108" s="4"/>
      <c r="OPQ108" s="4"/>
      <c r="OPR108" s="4"/>
      <c r="OPS108" s="4"/>
      <c r="OPT108" s="4"/>
      <c r="OPU108" s="4"/>
      <c r="OPV108" s="4"/>
      <c r="OPW108" s="4"/>
      <c r="OPX108" s="4"/>
      <c r="OPY108" s="4"/>
      <c r="OPZ108" s="4"/>
      <c r="OQA108" s="4"/>
      <c r="OQB108" s="4"/>
      <c r="OQC108" s="4"/>
      <c r="OQD108" s="4"/>
      <c r="OQE108" s="4"/>
      <c r="OQF108" s="4"/>
      <c r="OQG108" s="4"/>
      <c r="OQH108" s="4"/>
      <c r="OQI108" s="4"/>
      <c r="OQJ108" s="4"/>
      <c r="OQK108" s="4"/>
      <c r="OQL108" s="4"/>
      <c r="OQM108" s="4"/>
      <c r="OQN108" s="4"/>
      <c r="OQO108" s="4"/>
      <c r="OQP108" s="4"/>
      <c r="OQQ108" s="4"/>
      <c r="OQR108" s="4"/>
      <c r="OQS108" s="4"/>
      <c r="OQT108" s="4"/>
      <c r="OQU108" s="4"/>
      <c r="OQV108" s="4"/>
      <c r="OQW108" s="4"/>
      <c r="OQX108" s="4"/>
      <c r="OQY108" s="4"/>
      <c r="OQZ108" s="4"/>
      <c r="ORA108" s="4"/>
      <c r="ORB108" s="4"/>
      <c r="ORC108" s="4"/>
      <c r="ORD108" s="4"/>
      <c r="ORE108" s="4"/>
      <c r="ORF108" s="4"/>
      <c r="ORG108" s="4"/>
      <c r="ORH108" s="4"/>
      <c r="ORI108" s="4"/>
      <c r="ORJ108" s="4"/>
      <c r="ORK108" s="4"/>
      <c r="ORL108" s="4"/>
      <c r="ORM108" s="4"/>
      <c r="ORN108" s="4"/>
      <c r="ORO108" s="4"/>
      <c r="ORP108" s="4"/>
      <c r="ORQ108" s="4"/>
      <c r="ORR108" s="4"/>
      <c r="ORS108" s="4"/>
      <c r="ORT108" s="4"/>
      <c r="ORU108" s="4"/>
      <c r="ORV108" s="4"/>
      <c r="ORW108" s="4"/>
      <c r="ORX108" s="4"/>
      <c r="ORY108" s="4"/>
      <c r="ORZ108" s="4"/>
      <c r="OSA108" s="4"/>
      <c r="OSB108" s="4"/>
      <c r="OSC108" s="4"/>
      <c r="OSD108" s="4"/>
      <c r="OSE108" s="4"/>
      <c r="OSF108" s="4"/>
      <c r="OSG108" s="4"/>
      <c r="OSH108" s="4"/>
      <c r="OSI108" s="4"/>
      <c r="OSJ108" s="4"/>
      <c r="OSK108" s="4"/>
      <c r="OSL108" s="4"/>
      <c r="OSM108" s="4"/>
      <c r="OSN108" s="4"/>
      <c r="OSO108" s="4"/>
      <c r="OSP108" s="4"/>
      <c r="OSQ108" s="4"/>
      <c r="OSR108" s="4"/>
      <c r="OSS108" s="4"/>
      <c r="OST108" s="4"/>
      <c r="OSU108" s="4"/>
      <c r="OSV108" s="4"/>
      <c r="OSW108" s="4"/>
      <c r="OSX108" s="4"/>
      <c r="OSY108" s="4"/>
      <c r="OSZ108" s="4"/>
      <c r="OTA108" s="4"/>
      <c r="OTB108" s="4"/>
      <c r="OTC108" s="4"/>
      <c r="OTD108" s="4"/>
      <c r="OTE108" s="4"/>
      <c r="OTF108" s="4"/>
      <c r="OTG108" s="4"/>
      <c r="OTH108" s="4"/>
      <c r="OTI108" s="4"/>
      <c r="OTJ108" s="4"/>
      <c r="OTK108" s="4"/>
      <c r="OTL108" s="4"/>
      <c r="OTM108" s="4"/>
      <c r="OTN108" s="4"/>
      <c r="OTO108" s="4"/>
      <c r="OTP108" s="4"/>
      <c r="OTQ108" s="4"/>
      <c r="OTR108" s="4"/>
      <c r="OTS108" s="4"/>
      <c r="OTT108" s="4"/>
      <c r="OTU108" s="4"/>
      <c r="OTV108" s="4"/>
      <c r="OTW108" s="4"/>
      <c r="OTX108" s="4"/>
      <c r="OTY108" s="4"/>
      <c r="OTZ108" s="4"/>
      <c r="OUA108" s="4"/>
      <c r="OUB108" s="4"/>
      <c r="OUC108" s="4"/>
      <c r="OUD108" s="4"/>
      <c r="OUE108" s="4"/>
      <c r="OUF108" s="4"/>
      <c r="OUG108" s="4"/>
      <c r="OUH108" s="4"/>
      <c r="OUI108" s="4"/>
      <c r="OUJ108" s="4"/>
      <c r="OUK108" s="4"/>
      <c r="OUL108" s="4"/>
      <c r="OUM108" s="4"/>
      <c r="OUN108" s="4"/>
      <c r="OUO108" s="4"/>
      <c r="OUP108" s="4"/>
      <c r="OUQ108" s="4"/>
      <c r="OUR108" s="4"/>
      <c r="OUS108" s="4"/>
      <c r="OUT108" s="4"/>
      <c r="OUU108" s="4"/>
      <c r="OUV108" s="4"/>
      <c r="OUW108" s="4"/>
      <c r="OUX108" s="4"/>
      <c r="OUY108" s="4"/>
      <c r="OUZ108" s="4"/>
      <c r="OVA108" s="4"/>
      <c r="OVB108" s="4"/>
      <c r="OVC108" s="4"/>
      <c r="OVD108" s="4"/>
      <c r="OVE108" s="4"/>
      <c r="OVF108" s="4"/>
      <c r="OVG108" s="4"/>
      <c r="OVH108" s="4"/>
      <c r="OVI108" s="4"/>
      <c r="OVJ108" s="4"/>
      <c r="OVK108" s="4"/>
      <c r="OVL108" s="4"/>
      <c r="OVM108" s="4"/>
      <c r="OVN108" s="4"/>
      <c r="OVO108" s="4"/>
      <c r="OVP108" s="4"/>
      <c r="OVQ108" s="4"/>
      <c r="OVR108" s="4"/>
      <c r="OVS108" s="4"/>
      <c r="OVT108" s="4"/>
      <c r="OVU108" s="4"/>
      <c r="OVV108" s="4"/>
      <c r="OVW108" s="4"/>
      <c r="OVX108" s="4"/>
      <c r="OVY108" s="4"/>
      <c r="OVZ108" s="4"/>
      <c r="OWA108" s="4"/>
      <c r="OWB108" s="4"/>
      <c r="OWC108" s="4"/>
      <c r="OWD108" s="4"/>
      <c r="OWE108" s="4"/>
      <c r="OWF108" s="4"/>
      <c r="OWG108" s="4"/>
      <c r="OWH108" s="4"/>
      <c r="OWI108" s="4"/>
      <c r="OWJ108" s="4"/>
      <c r="OWK108" s="4"/>
      <c r="OWL108" s="4"/>
      <c r="OWM108" s="4"/>
      <c r="OWN108" s="4"/>
      <c r="OWO108" s="4"/>
      <c r="OWP108" s="4"/>
      <c r="OWQ108" s="4"/>
      <c r="OWR108" s="4"/>
      <c r="OWS108" s="4"/>
      <c r="OWT108" s="4"/>
      <c r="OWU108" s="4"/>
      <c r="OWV108" s="4"/>
      <c r="OWW108" s="4"/>
      <c r="OWX108" s="4"/>
      <c r="OWY108" s="4"/>
      <c r="OWZ108" s="4"/>
      <c r="OXA108" s="4"/>
      <c r="OXB108" s="4"/>
      <c r="OXC108" s="4"/>
      <c r="OXD108" s="4"/>
      <c r="OXE108" s="4"/>
      <c r="OXF108" s="4"/>
      <c r="OXG108" s="4"/>
      <c r="OXH108" s="4"/>
      <c r="OXI108" s="4"/>
      <c r="OXJ108" s="4"/>
      <c r="OXK108" s="4"/>
      <c r="OXL108" s="4"/>
      <c r="OXM108" s="4"/>
      <c r="OXN108" s="4"/>
      <c r="OXO108" s="4"/>
      <c r="OXP108" s="4"/>
      <c r="OXQ108" s="4"/>
      <c r="OXR108" s="4"/>
      <c r="OXS108" s="4"/>
      <c r="OXT108" s="4"/>
      <c r="OXU108" s="4"/>
      <c r="OXV108" s="4"/>
      <c r="OXW108" s="4"/>
      <c r="OXX108" s="4"/>
      <c r="OXY108" s="4"/>
      <c r="OXZ108" s="4"/>
      <c r="OYA108" s="4"/>
      <c r="OYB108" s="4"/>
      <c r="OYC108" s="4"/>
      <c r="OYD108" s="4"/>
      <c r="OYE108" s="4"/>
      <c r="OYF108" s="4"/>
      <c r="OYG108" s="4"/>
      <c r="OYH108" s="4"/>
      <c r="OYI108" s="4"/>
      <c r="OYJ108" s="4"/>
      <c r="OYK108" s="4"/>
      <c r="OYL108" s="4"/>
      <c r="OYM108" s="4"/>
      <c r="OYN108" s="4"/>
      <c r="OYO108" s="4"/>
      <c r="OYP108" s="4"/>
      <c r="OYQ108" s="4"/>
      <c r="OYR108" s="4"/>
      <c r="OYS108" s="4"/>
      <c r="OYT108" s="4"/>
      <c r="OYU108" s="4"/>
      <c r="OYV108" s="4"/>
      <c r="OYW108" s="4"/>
      <c r="OYX108" s="4"/>
      <c r="OYY108" s="4"/>
      <c r="OYZ108" s="4"/>
      <c r="OZA108" s="4"/>
      <c r="OZB108" s="4"/>
      <c r="OZC108" s="4"/>
      <c r="OZD108" s="4"/>
      <c r="OZE108" s="4"/>
      <c r="OZF108" s="4"/>
      <c r="OZG108" s="4"/>
      <c r="OZH108" s="4"/>
      <c r="OZI108" s="4"/>
      <c r="OZJ108" s="4"/>
      <c r="OZK108" s="4"/>
      <c r="OZL108" s="4"/>
      <c r="OZM108" s="4"/>
      <c r="OZN108" s="4"/>
      <c r="OZO108" s="4"/>
      <c r="OZP108" s="4"/>
      <c r="OZQ108" s="4"/>
      <c r="OZR108" s="4"/>
      <c r="OZS108" s="4"/>
      <c r="OZT108" s="4"/>
      <c r="OZU108" s="4"/>
      <c r="OZV108" s="4"/>
      <c r="OZW108" s="4"/>
      <c r="OZX108" s="4"/>
      <c r="OZY108" s="4"/>
      <c r="OZZ108" s="4"/>
      <c r="PAA108" s="4"/>
      <c r="PAB108" s="4"/>
      <c r="PAC108" s="4"/>
      <c r="PAD108" s="4"/>
      <c r="PAE108" s="4"/>
      <c r="PAF108" s="4"/>
      <c r="PAG108" s="4"/>
      <c r="PAH108" s="4"/>
      <c r="PAI108" s="4"/>
      <c r="PAJ108" s="4"/>
      <c r="PAK108" s="4"/>
      <c r="PAL108" s="4"/>
      <c r="PAM108" s="4"/>
      <c r="PAN108" s="4"/>
      <c r="PAO108" s="4"/>
      <c r="PAP108" s="4"/>
      <c r="PAQ108" s="4"/>
      <c r="PAR108" s="4"/>
      <c r="PAS108" s="4"/>
      <c r="PAT108" s="4"/>
      <c r="PAU108" s="4"/>
      <c r="PAV108" s="4"/>
      <c r="PAW108" s="4"/>
      <c r="PAX108" s="4"/>
      <c r="PAY108" s="4"/>
      <c r="PAZ108" s="4"/>
      <c r="PBA108" s="4"/>
      <c r="PBB108" s="4"/>
      <c r="PBC108" s="4"/>
      <c r="PBD108" s="4"/>
      <c r="PBE108" s="4"/>
      <c r="PBF108" s="4"/>
      <c r="PBG108" s="4"/>
      <c r="PBH108" s="4"/>
      <c r="PBI108" s="4"/>
      <c r="PBJ108" s="4"/>
      <c r="PBK108" s="4"/>
      <c r="PBL108" s="4"/>
      <c r="PBM108" s="4"/>
      <c r="PBN108" s="4"/>
      <c r="PBO108" s="4"/>
      <c r="PBP108" s="4"/>
      <c r="PBQ108" s="4"/>
      <c r="PBR108" s="4"/>
      <c r="PBS108" s="4"/>
      <c r="PBT108" s="4"/>
      <c r="PBU108" s="4"/>
      <c r="PBV108" s="4"/>
      <c r="PBW108" s="4"/>
      <c r="PBX108" s="4"/>
      <c r="PBY108" s="4"/>
      <c r="PBZ108" s="4"/>
      <c r="PCA108" s="4"/>
      <c r="PCB108" s="4"/>
      <c r="PCC108" s="4"/>
      <c r="PCD108" s="4"/>
      <c r="PCE108" s="4"/>
      <c r="PCF108" s="4"/>
      <c r="PCG108" s="4"/>
      <c r="PCH108" s="4"/>
      <c r="PCI108" s="4"/>
      <c r="PCJ108" s="4"/>
      <c r="PCK108" s="4"/>
      <c r="PCL108" s="4"/>
      <c r="PCM108" s="4"/>
      <c r="PCN108" s="4"/>
      <c r="PCO108" s="4"/>
      <c r="PCP108" s="4"/>
      <c r="PCQ108" s="4"/>
      <c r="PCR108" s="4"/>
      <c r="PCS108" s="4"/>
      <c r="PCT108" s="4"/>
      <c r="PCU108" s="4"/>
      <c r="PCV108" s="4"/>
      <c r="PCW108" s="4"/>
      <c r="PCX108" s="4"/>
      <c r="PCY108" s="4"/>
      <c r="PCZ108" s="4"/>
      <c r="PDA108" s="4"/>
      <c r="PDB108" s="4"/>
      <c r="PDC108" s="4"/>
      <c r="PDD108" s="4"/>
      <c r="PDE108" s="4"/>
      <c r="PDF108" s="4"/>
      <c r="PDG108" s="4"/>
      <c r="PDH108" s="4"/>
      <c r="PDI108" s="4"/>
      <c r="PDJ108" s="4"/>
      <c r="PDK108" s="4"/>
      <c r="PDL108" s="4"/>
      <c r="PDM108" s="4"/>
      <c r="PDN108" s="4"/>
      <c r="PDO108" s="4"/>
      <c r="PDP108" s="4"/>
      <c r="PDQ108" s="4"/>
      <c r="PDR108" s="4"/>
      <c r="PDS108" s="4"/>
      <c r="PDT108" s="4"/>
      <c r="PDU108" s="4"/>
      <c r="PDV108" s="4"/>
      <c r="PDW108" s="4"/>
      <c r="PDX108" s="4"/>
      <c r="PDY108" s="4"/>
      <c r="PDZ108" s="4"/>
      <c r="PEA108" s="4"/>
      <c r="PEB108" s="4"/>
      <c r="PEC108" s="4"/>
      <c r="PED108" s="4"/>
      <c r="PEE108" s="4"/>
      <c r="PEF108" s="4"/>
      <c r="PEG108" s="4"/>
      <c r="PEH108" s="4"/>
      <c r="PEI108" s="4"/>
      <c r="PEJ108" s="4"/>
      <c r="PEK108" s="4"/>
      <c r="PEL108" s="4"/>
      <c r="PEM108" s="4"/>
      <c r="PEN108" s="4"/>
      <c r="PEO108" s="4"/>
      <c r="PEP108" s="4"/>
      <c r="PEQ108" s="4"/>
      <c r="PER108" s="4"/>
      <c r="PES108" s="4"/>
      <c r="PET108" s="4"/>
      <c r="PEU108" s="4"/>
      <c r="PEV108" s="4"/>
      <c r="PEW108" s="4"/>
      <c r="PEX108" s="4"/>
      <c r="PEY108" s="4"/>
      <c r="PEZ108" s="4"/>
      <c r="PFA108" s="4"/>
      <c r="PFB108" s="4"/>
      <c r="PFC108" s="4"/>
      <c r="PFD108" s="4"/>
      <c r="PFE108" s="4"/>
      <c r="PFF108" s="4"/>
      <c r="PFG108" s="4"/>
      <c r="PFH108" s="4"/>
      <c r="PFI108" s="4"/>
      <c r="PFJ108" s="4"/>
      <c r="PFK108" s="4"/>
      <c r="PFL108" s="4"/>
      <c r="PFM108" s="4"/>
      <c r="PFN108" s="4"/>
      <c r="PFO108" s="4"/>
      <c r="PFP108" s="4"/>
      <c r="PFQ108" s="4"/>
      <c r="PFR108" s="4"/>
      <c r="PFS108" s="4"/>
      <c r="PFT108" s="4"/>
      <c r="PFU108" s="4"/>
      <c r="PFV108" s="4"/>
      <c r="PFW108" s="4"/>
      <c r="PFX108" s="4"/>
      <c r="PFY108" s="4"/>
      <c r="PFZ108" s="4"/>
      <c r="PGA108" s="4"/>
      <c r="PGB108" s="4"/>
      <c r="PGC108" s="4"/>
      <c r="PGD108" s="4"/>
      <c r="PGE108" s="4"/>
      <c r="PGF108" s="4"/>
      <c r="PGG108" s="4"/>
      <c r="PGH108" s="4"/>
      <c r="PGI108" s="4"/>
      <c r="PGJ108" s="4"/>
      <c r="PGK108" s="4"/>
      <c r="PGL108" s="4"/>
      <c r="PGM108" s="4"/>
      <c r="PGN108" s="4"/>
      <c r="PGO108" s="4"/>
      <c r="PGP108" s="4"/>
      <c r="PGQ108" s="4"/>
      <c r="PGR108" s="4"/>
      <c r="PGS108" s="4"/>
      <c r="PGT108" s="4"/>
      <c r="PGU108" s="4"/>
      <c r="PGV108" s="4"/>
      <c r="PGW108" s="4"/>
      <c r="PGX108" s="4"/>
      <c r="PGY108" s="4"/>
      <c r="PGZ108" s="4"/>
      <c r="PHA108" s="4"/>
      <c r="PHB108" s="4"/>
      <c r="PHC108" s="4"/>
      <c r="PHD108" s="4"/>
      <c r="PHE108" s="4"/>
      <c r="PHF108" s="4"/>
      <c r="PHG108" s="4"/>
      <c r="PHH108" s="4"/>
      <c r="PHI108" s="4"/>
      <c r="PHJ108" s="4"/>
      <c r="PHK108" s="4"/>
      <c r="PHL108" s="4"/>
      <c r="PHM108" s="4"/>
      <c r="PHN108" s="4"/>
      <c r="PHO108" s="4"/>
      <c r="PHP108" s="4"/>
      <c r="PHQ108" s="4"/>
      <c r="PHR108" s="4"/>
      <c r="PHS108" s="4"/>
      <c r="PHT108" s="4"/>
      <c r="PHU108" s="4"/>
      <c r="PHV108" s="4"/>
      <c r="PHW108" s="4"/>
      <c r="PHX108" s="4"/>
      <c r="PHY108" s="4"/>
      <c r="PHZ108" s="4"/>
      <c r="PIA108" s="4"/>
      <c r="PIB108" s="4"/>
      <c r="PIC108" s="4"/>
      <c r="PID108" s="4"/>
      <c r="PIE108" s="4"/>
      <c r="PIF108" s="4"/>
      <c r="PIG108" s="4"/>
      <c r="PIH108" s="4"/>
      <c r="PII108" s="4"/>
      <c r="PIJ108" s="4"/>
      <c r="PIK108" s="4"/>
      <c r="PIL108" s="4"/>
      <c r="PIM108" s="4"/>
      <c r="PIN108" s="4"/>
      <c r="PIO108" s="4"/>
      <c r="PIP108" s="4"/>
      <c r="PIQ108" s="4"/>
      <c r="PIR108" s="4"/>
      <c r="PIS108" s="4"/>
      <c r="PIT108" s="4"/>
      <c r="PIU108" s="4"/>
      <c r="PIV108" s="4"/>
      <c r="PIW108" s="4"/>
      <c r="PIX108" s="4"/>
      <c r="PIY108" s="4"/>
      <c r="PIZ108" s="4"/>
      <c r="PJA108" s="4"/>
      <c r="PJB108" s="4"/>
      <c r="PJC108" s="4"/>
      <c r="PJD108" s="4"/>
      <c r="PJE108" s="4"/>
      <c r="PJF108" s="4"/>
      <c r="PJG108" s="4"/>
      <c r="PJH108" s="4"/>
      <c r="PJI108" s="4"/>
      <c r="PJJ108" s="4"/>
      <c r="PJK108" s="4"/>
      <c r="PJL108" s="4"/>
      <c r="PJM108" s="4"/>
      <c r="PJN108" s="4"/>
      <c r="PJO108" s="4"/>
      <c r="PJP108" s="4"/>
      <c r="PJQ108" s="4"/>
      <c r="PJR108" s="4"/>
      <c r="PJS108" s="4"/>
      <c r="PJT108" s="4"/>
      <c r="PJU108" s="4"/>
      <c r="PJV108" s="4"/>
      <c r="PJW108" s="4"/>
      <c r="PJX108" s="4"/>
      <c r="PJY108" s="4"/>
      <c r="PJZ108" s="4"/>
      <c r="PKA108" s="4"/>
      <c r="PKB108" s="4"/>
      <c r="PKC108" s="4"/>
      <c r="PKD108" s="4"/>
      <c r="PKE108" s="4"/>
      <c r="PKF108" s="4"/>
      <c r="PKG108" s="4"/>
      <c r="PKH108" s="4"/>
      <c r="PKI108" s="4"/>
      <c r="PKJ108" s="4"/>
      <c r="PKK108" s="4"/>
      <c r="PKL108" s="4"/>
      <c r="PKM108" s="4"/>
      <c r="PKN108" s="4"/>
      <c r="PKO108" s="4"/>
      <c r="PKP108" s="4"/>
      <c r="PKQ108" s="4"/>
      <c r="PKR108" s="4"/>
      <c r="PKS108" s="4"/>
      <c r="PKT108" s="4"/>
      <c r="PKU108" s="4"/>
      <c r="PKV108" s="4"/>
      <c r="PKW108" s="4"/>
      <c r="PKX108" s="4"/>
      <c r="PKY108" s="4"/>
      <c r="PKZ108" s="4"/>
      <c r="PLA108" s="4"/>
      <c r="PLB108" s="4"/>
      <c r="PLC108" s="4"/>
      <c r="PLD108" s="4"/>
      <c r="PLE108" s="4"/>
      <c r="PLF108" s="4"/>
      <c r="PLG108" s="4"/>
      <c r="PLH108" s="4"/>
      <c r="PLI108" s="4"/>
      <c r="PLJ108" s="4"/>
      <c r="PLK108" s="4"/>
      <c r="PLL108" s="4"/>
      <c r="PLM108" s="4"/>
      <c r="PLN108" s="4"/>
      <c r="PLO108" s="4"/>
      <c r="PLP108" s="4"/>
      <c r="PLQ108" s="4"/>
      <c r="PLR108" s="4"/>
      <c r="PLS108" s="4"/>
      <c r="PLT108" s="4"/>
      <c r="PLU108" s="4"/>
      <c r="PLV108" s="4"/>
      <c r="PLW108" s="4"/>
      <c r="PLX108" s="4"/>
      <c r="PLY108" s="4"/>
      <c r="PLZ108" s="4"/>
      <c r="PMA108" s="4"/>
      <c r="PMB108" s="4"/>
      <c r="PMC108" s="4"/>
      <c r="PMD108" s="4"/>
      <c r="PME108" s="4"/>
      <c r="PMF108" s="4"/>
      <c r="PMG108" s="4"/>
      <c r="PMH108" s="4"/>
      <c r="PMI108" s="4"/>
      <c r="PMJ108" s="4"/>
      <c r="PMK108" s="4"/>
      <c r="PML108" s="4"/>
      <c r="PMM108" s="4"/>
      <c r="PMN108" s="4"/>
      <c r="PMO108" s="4"/>
      <c r="PMP108" s="4"/>
      <c r="PMQ108" s="4"/>
      <c r="PMR108" s="4"/>
      <c r="PMS108" s="4"/>
      <c r="PMT108" s="4"/>
      <c r="PMU108" s="4"/>
      <c r="PMV108" s="4"/>
      <c r="PMW108" s="4"/>
      <c r="PMX108" s="4"/>
      <c r="PMY108" s="4"/>
      <c r="PMZ108" s="4"/>
      <c r="PNA108" s="4"/>
      <c r="PNB108" s="4"/>
      <c r="PNC108" s="4"/>
      <c r="PND108" s="4"/>
      <c r="PNE108" s="4"/>
      <c r="PNF108" s="4"/>
      <c r="PNG108" s="4"/>
      <c r="PNH108" s="4"/>
      <c r="PNI108" s="4"/>
      <c r="PNJ108" s="4"/>
      <c r="PNK108" s="4"/>
      <c r="PNL108" s="4"/>
      <c r="PNM108" s="4"/>
      <c r="PNN108" s="4"/>
      <c r="PNO108" s="4"/>
      <c r="PNP108" s="4"/>
      <c r="PNQ108" s="4"/>
      <c r="PNR108" s="4"/>
      <c r="PNS108" s="4"/>
      <c r="PNT108" s="4"/>
      <c r="PNU108" s="4"/>
      <c r="PNV108" s="4"/>
      <c r="PNW108" s="4"/>
      <c r="PNX108" s="4"/>
      <c r="PNY108" s="4"/>
      <c r="PNZ108" s="4"/>
      <c r="POA108" s="4"/>
      <c r="POB108" s="4"/>
      <c r="POC108" s="4"/>
      <c r="POD108" s="4"/>
      <c r="POE108" s="4"/>
      <c r="POF108" s="4"/>
      <c r="POG108" s="4"/>
      <c r="POH108" s="4"/>
      <c r="POI108" s="4"/>
      <c r="POJ108" s="4"/>
      <c r="POK108" s="4"/>
      <c r="POL108" s="4"/>
      <c r="POM108" s="4"/>
      <c r="PON108" s="4"/>
      <c r="POO108" s="4"/>
      <c r="POP108" s="4"/>
      <c r="POQ108" s="4"/>
      <c r="POR108" s="4"/>
      <c r="POS108" s="4"/>
      <c r="POT108" s="4"/>
      <c r="POU108" s="4"/>
      <c r="POV108" s="4"/>
      <c r="POW108" s="4"/>
      <c r="POX108" s="4"/>
      <c r="POY108" s="4"/>
      <c r="POZ108" s="4"/>
      <c r="PPA108" s="4"/>
      <c r="PPB108" s="4"/>
      <c r="PPC108" s="4"/>
      <c r="PPD108" s="4"/>
      <c r="PPE108" s="4"/>
      <c r="PPF108" s="4"/>
      <c r="PPG108" s="4"/>
      <c r="PPH108" s="4"/>
      <c r="PPI108" s="4"/>
      <c r="PPJ108" s="4"/>
      <c r="PPK108" s="4"/>
      <c r="PPL108" s="4"/>
      <c r="PPM108" s="4"/>
      <c r="PPN108" s="4"/>
      <c r="PPO108" s="4"/>
      <c r="PPP108" s="4"/>
      <c r="PPQ108" s="4"/>
      <c r="PPR108" s="4"/>
      <c r="PPS108" s="4"/>
      <c r="PPT108" s="4"/>
      <c r="PPU108" s="4"/>
      <c r="PPV108" s="4"/>
      <c r="PPW108" s="4"/>
      <c r="PPX108" s="4"/>
      <c r="PPY108" s="4"/>
      <c r="PPZ108" s="4"/>
      <c r="PQA108" s="4"/>
      <c r="PQB108" s="4"/>
      <c r="PQC108" s="4"/>
      <c r="PQD108" s="4"/>
      <c r="PQE108" s="4"/>
      <c r="PQF108" s="4"/>
      <c r="PQG108" s="4"/>
      <c r="PQH108" s="4"/>
      <c r="PQI108" s="4"/>
      <c r="PQJ108" s="4"/>
      <c r="PQK108" s="4"/>
      <c r="PQL108" s="4"/>
      <c r="PQM108" s="4"/>
      <c r="PQN108" s="4"/>
      <c r="PQO108" s="4"/>
      <c r="PQP108" s="4"/>
      <c r="PQQ108" s="4"/>
      <c r="PQR108" s="4"/>
      <c r="PQS108" s="4"/>
      <c r="PQT108" s="4"/>
      <c r="PQU108" s="4"/>
      <c r="PQV108" s="4"/>
      <c r="PQW108" s="4"/>
      <c r="PQX108" s="4"/>
      <c r="PQY108" s="4"/>
      <c r="PQZ108" s="4"/>
      <c r="PRA108" s="4"/>
      <c r="PRB108" s="4"/>
      <c r="PRC108" s="4"/>
      <c r="PRD108" s="4"/>
      <c r="PRE108" s="4"/>
      <c r="PRF108" s="4"/>
      <c r="PRG108" s="4"/>
      <c r="PRH108" s="4"/>
      <c r="PRI108" s="4"/>
      <c r="PRJ108" s="4"/>
      <c r="PRK108" s="4"/>
      <c r="PRL108" s="4"/>
      <c r="PRM108" s="4"/>
      <c r="PRN108" s="4"/>
      <c r="PRO108" s="4"/>
      <c r="PRP108" s="4"/>
      <c r="PRQ108" s="4"/>
      <c r="PRR108" s="4"/>
      <c r="PRS108" s="4"/>
      <c r="PRT108" s="4"/>
      <c r="PRU108" s="4"/>
      <c r="PRV108" s="4"/>
      <c r="PRW108" s="4"/>
      <c r="PRX108" s="4"/>
      <c r="PRY108" s="4"/>
      <c r="PRZ108" s="4"/>
      <c r="PSA108" s="4"/>
      <c r="PSB108" s="4"/>
      <c r="PSC108" s="4"/>
      <c r="PSD108" s="4"/>
      <c r="PSE108" s="4"/>
      <c r="PSF108" s="4"/>
      <c r="PSG108" s="4"/>
      <c r="PSH108" s="4"/>
      <c r="PSI108" s="4"/>
      <c r="PSJ108" s="4"/>
      <c r="PSK108" s="4"/>
      <c r="PSL108" s="4"/>
      <c r="PSM108" s="4"/>
      <c r="PSN108" s="4"/>
      <c r="PSO108" s="4"/>
      <c r="PSP108" s="4"/>
      <c r="PSQ108" s="4"/>
      <c r="PSR108" s="4"/>
      <c r="PSS108" s="4"/>
      <c r="PST108" s="4"/>
      <c r="PSU108" s="4"/>
      <c r="PSV108" s="4"/>
      <c r="PSW108" s="4"/>
      <c r="PSX108" s="4"/>
      <c r="PSY108" s="4"/>
      <c r="PSZ108" s="4"/>
      <c r="PTA108" s="4"/>
      <c r="PTB108" s="4"/>
      <c r="PTC108" s="4"/>
      <c r="PTD108" s="4"/>
      <c r="PTE108" s="4"/>
      <c r="PTF108" s="4"/>
      <c r="PTG108" s="4"/>
      <c r="PTH108" s="4"/>
      <c r="PTI108" s="4"/>
      <c r="PTJ108" s="4"/>
      <c r="PTK108" s="4"/>
      <c r="PTL108" s="4"/>
      <c r="PTM108" s="4"/>
      <c r="PTN108" s="4"/>
      <c r="PTO108" s="4"/>
      <c r="PTP108" s="4"/>
      <c r="PTQ108" s="4"/>
      <c r="PTR108" s="4"/>
      <c r="PTS108" s="4"/>
      <c r="PTT108" s="4"/>
      <c r="PTU108" s="4"/>
      <c r="PTV108" s="4"/>
      <c r="PTW108" s="4"/>
      <c r="PTX108" s="4"/>
      <c r="PTY108" s="4"/>
      <c r="PTZ108" s="4"/>
      <c r="PUA108" s="4"/>
      <c r="PUB108" s="4"/>
      <c r="PUC108" s="4"/>
      <c r="PUD108" s="4"/>
      <c r="PUE108" s="4"/>
      <c r="PUF108" s="4"/>
      <c r="PUG108" s="4"/>
      <c r="PUH108" s="4"/>
      <c r="PUI108" s="4"/>
      <c r="PUJ108" s="4"/>
      <c r="PUK108" s="4"/>
      <c r="PUL108" s="4"/>
      <c r="PUM108" s="4"/>
      <c r="PUN108" s="4"/>
      <c r="PUO108" s="4"/>
      <c r="PUP108" s="4"/>
      <c r="PUQ108" s="4"/>
      <c r="PUR108" s="4"/>
      <c r="PUS108" s="4"/>
      <c r="PUT108" s="4"/>
      <c r="PUU108" s="4"/>
      <c r="PUV108" s="4"/>
      <c r="PUW108" s="4"/>
      <c r="PUX108" s="4"/>
      <c r="PUY108" s="4"/>
      <c r="PUZ108" s="4"/>
      <c r="PVA108" s="4"/>
      <c r="PVB108" s="4"/>
      <c r="PVC108" s="4"/>
      <c r="PVD108" s="4"/>
      <c r="PVE108" s="4"/>
      <c r="PVF108" s="4"/>
      <c r="PVG108" s="4"/>
      <c r="PVH108" s="4"/>
      <c r="PVI108" s="4"/>
      <c r="PVJ108" s="4"/>
      <c r="PVK108" s="4"/>
      <c r="PVL108" s="4"/>
      <c r="PVM108" s="4"/>
      <c r="PVN108" s="4"/>
      <c r="PVO108" s="4"/>
      <c r="PVP108" s="4"/>
      <c r="PVQ108" s="4"/>
      <c r="PVR108" s="4"/>
      <c r="PVS108" s="4"/>
      <c r="PVT108" s="4"/>
      <c r="PVU108" s="4"/>
      <c r="PVV108" s="4"/>
      <c r="PVW108" s="4"/>
      <c r="PVX108" s="4"/>
      <c r="PVY108" s="4"/>
      <c r="PVZ108" s="4"/>
      <c r="PWA108" s="4"/>
      <c r="PWB108" s="4"/>
      <c r="PWC108" s="4"/>
      <c r="PWD108" s="4"/>
      <c r="PWE108" s="4"/>
      <c r="PWF108" s="4"/>
      <c r="PWG108" s="4"/>
      <c r="PWH108" s="4"/>
      <c r="PWI108" s="4"/>
      <c r="PWJ108" s="4"/>
      <c r="PWK108" s="4"/>
      <c r="PWL108" s="4"/>
      <c r="PWM108" s="4"/>
      <c r="PWN108" s="4"/>
      <c r="PWO108" s="4"/>
      <c r="PWP108" s="4"/>
      <c r="PWQ108" s="4"/>
      <c r="PWR108" s="4"/>
      <c r="PWS108" s="4"/>
      <c r="PWT108" s="4"/>
      <c r="PWU108" s="4"/>
      <c r="PWV108" s="4"/>
      <c r="PWW108" s="4"/>
      <c r="PWX108" s="4"/>
      <c r="PWY108" s="4"/>
      <c r="PWZ108" s="4"/>
      <c r="PXA108" s="4"/>
      <c r="PXB108" s="4"/>
      <c r="PXC108" s="4"/>
      <c r="PXD108" s="4"/>
      <c r="PXE108" s="4"/>
      <c r="PXF108" s="4"/>
      <c r="PXG108" s="4"/>
      <c r="PXH108" s="4"/>
      <c r="PXI108" s="4"/>
      <c r="PXJ108" s="4"/>
      <c r="PXK108" s="4"/>
      <c r="PXL108" s="4"/>
      <c r="PXM108" s="4"/>
      <c r="PXN108" s="4"/>
      <c r="PXO108" s="4"/>
      <c r="PXP108" s="4"/>
      <c r="PXQ108" s="4"/>
      <c r="PXR108" s="4"/>
      <c r="PXS108" s="4"/>
      <c r="PXT108" s="4"/>
      <c r="PXU108" s="4"/>
      <c r="PXV108" s="4"/>
      <c r="PXW108" s="4"/>
      <c r="PXX108" s="4"/>
      <c r="PXY108" s="4"/>
      <c r="PXZ108" s="4"/>
      <c r="PYA108" s="4"/>
      <c r="PYB108" s="4"/>
      <c r="PYC108" s="4"/>
      <c r="PYD108" s="4"/>
      <c r="PYE108" s="4"/>
      <c r="PYF108" s="4"/>
      <c r="PYG108" s="4"/>
      <c r="PYH108" s="4"/>
      <c r="PYI108" s="4"/>
      <c r="PYJ108" s="4"/>
      <c r="PYK108" s="4"/>
      <c r="PYL108" s="4"/>
      <c r="PYM108" s="4"/>
      <c r="PYN108" s="4"/>
      <c r="PYO108" s="4"/>
      <c r="PYP108" s="4"/>
      <c r="PYQ108" s="4"/>
      <c r="PYR108" s="4"/>
      <c r="PYS108" s="4"/>
      <c r="PYT108" s="4"/>
      <c r="PYU108" s="4"/>
      <c r="PYV108" s="4"/>
      <c r="PYW108" s="4"/>
      <c r="PYX108" s="4"/>
      <c r="PYY108" s="4"/>
      <c r="PYZ108" s="4"/>
      <c r="PZA108" s="4"/>
      <c r="PZB108" s="4"/>
      <c r="PZC108" s="4"/>
      <c r="PZD108" s="4"/>
      <c r="PZE108" s="4"/>
      <c r="PZF108" s="4"/>
      <c r="PZG108" s="4"/>
      <c r="PZH108" s="4"/>
      <c r="PZI108" s="4"/>
      <c r="PZJ108" s="4"/>
      <c r="PZK108" s="4"/>
      <c r="PZL108" s="4"/>
      <c r="PZM108" s="4"/>
      <c r="PZN108" s="4"/>
      <c r="PZO108" s="4"/>
      <c r="PZP108" s="4"/>
      <c r="PZQ108" s="4"/>
      <c r="PZR108" s="4"/>
      <c r="PZS108" s="4"/>
      <c r="PZT108" s="4"/>
      <c r="PZU108" s="4"/>
      <c r="PZV108" s="4"/>
      <c r="PZW108" s="4"/>
      <c r="PZX108" s="4"/>
      <c r="PZY108" s="4"/>
      <c r="PZZ108" s="4"/>
      <c r="QAA108" s="4"/>
      <c r="QAB108" s="4"/>
      <c r="QAC108" s="4"/>
      <c r="QAD108" s="4"/>
      <c r="QAE108" s="4"/>
      <c r="QAF108" s="4"/>
      <c r="QAG108" s="4"/>
      <c r="QAH108" s="4"/>
      <c r="QAI108" s="4"/>
      <c r="QAJ108" s="4"/>
      <c r="QAK108" s="4"/>
      <c r="QAL108" s="4"/>
      <c r="QAM108" s="4"/>
      <c r="QAN108" s="4"/>
      <c r="QAO108" s="4"/>
      <c r="QAP108" s="4"/>
      <c r="QAQ108" s="4"/>
      <c r="QAR108" s="4"/>
      <c r="QAS108" s="4"/>
      <c r="QAT108" s="4"/>
      <c r="QAU108" s="4"/>
      <c r="QAV108" s="4"/>
      <c r="QAW108" s="4"/>
      <c r="QAX108" s="4"/>
      <c r="QAY108" s="4"/>
      <c r="QAZ108" s="4"/>
      <c r="QBA108" s="4"/>
      <c r="QBB108" s="4"/>
      <c r="QBC108" s="4"/>
      <c r="QBD108" s="4"/>
      <c r="QBE108" s="4"/>
      <c r="QBF108" s="4"/>
      <c r="QBG108" s="4"/>
      <c r="QBH108" s="4"/>
      <c r="QBI108" s="4"/>
      <c r="QBJ108" s="4"/>
      <c r="QBK108" s="4"/>
      <c r="QBL108" s="4"/>
      <c r="QBM108" s="4"/>
      <c r="QBN108" s="4"/>
      <c r="QBO108" s="4"/>
      <c r="QBP108" s="4"/>
      <c r="QBQ108" s="4"/>
      <c r="QBR108" s="4"/>
      <c r="QBS108" s="4"/>
      <c r="QBT108" s="4"/>
      <c r="QBU108" s="4"/>
      <c r="QBV108" s="4"/>
      <c r="QBW108" s="4"/>
      <c r="QBX108" s="4"/>
      <c r="QBY108" s="4"/>
      <c r="QBZ108" s="4"/>
      <c r="QCA108" s="4"/>
      <c r="QCB108" s="4"/>
      <c r="QCC108" s="4"/>
      <c r="QCD108" s="4"/>
      <c r="QCE108" s="4"/>
      <c r="QCF108" s="4"/>
      <c r="QCG108" s="4"/>
      <c r="QCH108" s="4"/>
      <c r="QCI108" s="4"/>
      <c r="QCJ108" s="4"/>
      <c r="QCK108" s="4"/>
      <c r="QCL108" s="4"/>
      <c r="QCM108" s="4"/>
      <c r="QCN108" s="4"/>
      <c r="QCO108" s="4"/>
      <c r="QCP108" s="4"/>
      <c r="QCQ108" s="4"/>
      <c r="QCR108" s="4"/>
      <c r="QCS108" s="4"/>
      <c r="QCT108" s="4"/>
      <c r="QCU108" s="4"/>
      <c r="QCV108" s="4"/>
      <c r="QCW108" s="4"/>
      <c r="QCX108" s="4"/>
      <c r="QCY108" s="4"/>
      <c r="QCZ108" s="4"/>
      <c r="QDA108" s="4"/>
      <c r="QDB108" s="4"/>
      <c r="QDC108" s="4"/>
      <c r="QDD108" s="4"/>
      <c r="QDE108" s="4"/>
      <c r="QDF108" s="4"/>
      <c r="QDG108" s="4"/>
      <c r="QDH108" s="4"/>
      <c r="QDI108" s="4"/>
      <c r="QDJ108" s="4"/>
      <c r="QDK108" s="4"/>
      <c r="QDL108" s="4"/>
      <c r="QDM108" s="4"/>
      <c r="QDN108" s="4"/>
      <c r="QDO108" s="4"/>
      <c r="QDP108" s="4"/>
      <c r="QDQ108" s="4"/>
      <c r="QDR108" s="4"/>
      <c r="QDS108" s="4"/>
      <c r="QDT108" s="4"/>
      <c r="QDU108" s="4"/>
      <c r="QDV108" s="4"/>
      <c r="QDW108" s="4"/>
      <c r="QDX108" s="4"/>
      <c r="QDY108" s="4"/>
      <c r="QDZ108" s="4"/>
      <c r="QEA108" s="4"/>
      <c r="QEB108" s="4"/>
      <c r="QEC108" s="4"/>
      <c r="QED108" s="4"/>
      <c r="QEE108" s="4"/>
      <c r="QEF108" s="4"/>
      <c r="QEG108" s="4"/>
      <c r="QEH108" s="4"/>
      <c r="QEI108" s="4"/>
      <c r="QEJ108" s="4"/>
      <c r="QEK108" s="4"/>
      <c r="QEL108" s="4"/>
      <c r="QEM108" s="4"/>
      <c r="QEN108" s="4"/>
      <c r="QEO108" s="4"/>
      <c r="QEP108" s="4"/>
      <c r="QEQ108" s="4"/>
      <c r="QER108" s="4"/>
      <c r="QES108" s="4"/>
      <c r="QET108" s="4"/>
      <c r="QEU108" s="4"/>
      <c r="QEV108" s="4"/>
      <c r="QEW108" s="4"/>
      <c r="QEX108" s="4"/>
      <c r="QEY108" s="4"/>
      <c r="QEZ108" s="4"/>
      <c r="QFA108" s="4"/>
      <c r="QFB108" s="4"/>
      <c r="QFC108" s="4"/>
      <c r="QFD108" s="4"/>
      <c r="QFE108" s="4"/>
      <c r="QFF108" s="4"/>
      <c r="QFG108" s="4"/>
      <c r="QFH108" s="4"/>
      <c r="QFI108" s="4"/>
      <c r="QFJ108" s="4"/>
      <c r="QFK108" s="4"/>
      <c r="QFL108" s="4"/>
      <c r="QFM108" s="4"/>
      <c r="QFN108" s="4"/>
      <c r="QFO108" s="4"/>
      <c r="QFP108" s="4"/>
      <c r="QFQ108" s="4"/>
      <c r="QFR108" s="4"/>
      <c r="QFS108" s="4"/>
      <c r="QFT108" s="4"/>
      <c r="QFU108" s="4"/>
      <c r="QFV108" s="4"/>
      <c r="QFW108" s="4"/>
      <c r="QFX108" s="4"/>
      <c r="QFY108" s="4"/>
      <c r="QFZ108" s="4"/>
      <c r="QGA108" s="4"/>
      <c r="QGB108" s="4"/>
      <c r="QGC108" s="4"/>
      <c r="QGD108" s="4"/>
      <c r="QGE108" s="4"/>
      <c r="QGF108" s="4"/>
      <c r="QGG108" s="4"/>
      <c r="QGH108" s="4"/>
      <c r="QGI108" s="4"/>
      <c r="QGJ108" s="4"/>
      <c r="QGK108" s="4"/>
      <c r="QGL108" s="4"/>
      <c r="QGM108" s="4"/>
      <c r="QGN108" s="4"/>
      <c r="QGO108" s="4"/>
      <c r="QGP108" s="4"/>
      <c r="QGQ108" s="4"/>
      <c r="QGR108" s="4"/>
      <c r="QGS108" s="4"/>
      <c r="QGT108" s="4"/>
      <c r="QGU108" s="4"/>
      <c r="QGV108" s="4"/>
      <c r="QGW108" s="4"/>
      <c r="QGX108" s="4"/>
      <c r="QGY108" s="4"/>
      <c r="QGZ108" s="4"/>
      <c r="QHA108" s="4"/>
      <c r="QHB108" s="4"/>
      <c r="QHC108" s="4"/>
      <c r="QHD108" s="4"/>
      <c r="QHE108" s="4"/>
      <c r="QHF108" s="4"/>
      <c r="QHG108" s="4"/>
      <c r="QHH108" s="4"/>
      <c r="QHI108" s="4"/>
      <c r="QHJ108" s="4"/>
      <c r="QHK108" s="4"/>
      <c r="QHL108" s="4"/>
      <c r="QHM108" s="4"/>
      <c r="QHN108" s="4"/>
      <c r="QHO108" s="4"/>
      <c r="QHP108" s="4"/>
      <c r="QHQ108" s="4"/>
      <c r="QHR108" s="4"/>
      <c r="QHS108" s="4"/>
      <c r="QHT108" s="4"/>
      <c r="QHU108" s="4"/>
      <c r="QHV108" s="4"/>
      <c r="QHW108" s="4"/>
      <c r="QHX108" s="4"/>
      <c r="QHY108" s="4"/>
      <c r="QHZ108" s="4"/>
      <c r="QIA108" s="4"/>
      <c r="QIB108" s="4"/>
      <c r="QIC108" s="4"/>
      <c r="QID108" s="4"/>
      <c r="QIE108" s="4"/>
      <c r="QIF108" s="4"/>
      <c r="QIG108" s="4"/>
      <c r="QIH108" s="4"/>
      <c r="QII108" s="4"/>
      <c r="QIJ108" s="4"/>
      <c r="QIK108" s="4"/>
      <c r="QIL108" s="4"/>
      <c r="QIM108" s="4"/>
      <c r="QIN108" s="4"/>
      <c r="QIO108" s="4"/>
      <c r="QIP108" s="4"/>
      <c r="QIQ108" s="4"/>
      <c r="QIR108" s="4"/>
      <c r="QIS108" s="4"/>
      <c r="QIT108" s="4"/>
      <c r="QIU108" s="4"/>
      <c r="QIV108" s="4"/>
      <c r="QIW108" s="4"/>
      <c r="QIX108" s="4"/>
      <c r="QIY108" s="4"/>
      <c r="QIZ108" s="4"/>
      <c r="QJA108" s="4"/>
      <c r="QJB108" s="4"/>
      <c r="QJC108" s="4"/>
      <c r="QJD108" s="4"/>
      <c r="QJE108" s="4"/>
      <c r="QJF108" s="4"/>
      <c r="QJG108" s="4"/>
      <c r="QJH108" s="4"/>
      <c r="QJI108" s="4"/>
      <c r="QJJ108" s="4"/>
      <c r="QJK108" s="4"/>
      <c r="QJL108" s="4"/>
      <c r="QJM108" s="4"/>
      <c r="QJN108" s="4"/>
      <c r="QJO108" s="4"/>
      <c r="QJP108" s="4"/>
      <c r="QJQ108" s="4"/>
      <c r="QJR108" s="4"/>
      <c r="QJS108" s="4"/>
      <c r="QJT108" s="4"/>
      <c r="QJU108" s="4"/>
      <c r="QJV108" s="4"/>
      <c r="QJW108" s="4"/>
      <c r="QJX108" s="4"/>
      <c r="QJY108" s="4"/>
      <c r="QJZ108" s="4"/>
      <c r="QKA108" s="4"/>
      <c r="QKB108" s="4"/>
      <c r="QKC108" s="4"/>
      <c r="QKD108" s="4"/>
      <c r="QKE108" s="4"/>
      <c r="QKF108" s="4"/>
      <c r="QKG108" s="4"/>
      <c r="QKH108" s="4"/>
      <c r="QKI108" s="4"/>
      <c r="QKJ108" s="4"/>
      <c r="QKK108" s="4"/>
      <c r="QKL108" s="4"/>
      <c r="QKM108" s="4"/>
      <c r="QKN108" s="4"/>
      <c r="QKO108" s="4"/>
      <c r="QKP108" s="4"/>
      <c r="QKQ108" s="4"/>
      <c r="QKR108" s="4"/>
      <c r="QKS108" s="4"/>
      <c r="QKT108" s="4"/>
      <c r="QKU108" s="4"/>
      <c r="QKV108" s="4"/>
      <c r="QKW108" s="4"/>
      <c r="QKX108" s="4"/>
      <c r="QKY108" s="4"/>
      <c r="QKZ108" s="4"/>
      <c r="QLA108" s="4"/>
      <c r="QLB108" s="4"/>
      <c r="QLC108" s="4"/>
      <c r="QLD108" s="4"/>
      <c r="QLE108" s="4"/>
      <c r="QLF108" s="4"/>
      <c r="QLG108" s="4"/>
      <c r="QLH108" s="4"/>
      <c r="QLI108" s="4"/>
      <c r="QLJ108" s="4"/>
      <c r="QLK108" s="4"/>
      <c r="QLL108" s="4"/>
      <c r="QLM108" s="4"/>
      <c r="QLN108" s="4"/>
      <c r="QLO108" s="4"/>
      <c r="QLP108" s="4"/>
      <c r="QLQ108" s="4"/>
      <c r="QLR108" s="4"/>
      <c r="QLS108" s="4"/>
      <c r="QLT108" s="4"/>
      <c r="QLU108" s="4"/>
      <c r="QLV108" s="4"/>
      <c r="QLW108" s="4"/>
      <c r="QLX108" s="4"/>
      <c r="QLY108" s="4"/>
      <c r="QLZ108" s="4"/>
      <c r="QMA108" s="4"/>
      <c r="QMB108" s="4"/>
      <c r="QMC108" s="4"/>
      <c r="QMD108" s="4"/>
      <c r="QME108" s="4"/>
      <c r="QMF108" s="4"/>
      <c r="QMG108" s="4"/>
      <c r="QMH108" s="4"/>
      <c r="QMI108" s="4"/>
      <c r="QMJ108" s="4"/>
      <c r="QMK108" s="4"/>
      <c r="QML108" s="4"/>
      <c r="QMM108" s="4"/>
      <c r="QMN108" s="4"/>
      <c r="QMO108" s="4"/>
      <c r="QMP108" s="4"/>
      <c r="QMQ108" s="4"/>
      <c r="QMR108" s="4"/>
      <c r="QMS108" s="4"/>
      <c r="QMT108" s="4"/>
      <c r="QMU108" s="4"/>
      <c r="QMV108" s="4"/>
      <c r="QMW108" s="4"/>
      <c r="QMX108" s="4"/>
      <c r="QMY108" s="4"/>
      <c r="QMZ108" s="4"/>
      <c r="QNA108" s="4"/>
      <c r="QNB108" s="4"/>
      <c r="QNC108" s="4"/>
      <c r="QND108" s="4"/>
      <c r="QNE108" s="4"/>
      <c r="QNF108" s="4"/>
      <c r="QNG108" s="4"/>
      <c r="QNH108" s="4"/>
      <c r="QNI108" s="4"/>
      <c r="QNJ108" s="4"/>
      <c r="QNK108" s="4"/>
      <c r="QNL108" s="4"/>
      <c r="QNM108" s="4"/>
      <c r="QNN108" s="4"/>
      <c r="QNO108" s="4"/>
      <c r="QNP108" s="4"/>
      <c r="QNQ108" s="4"/>
      <c r="QNR108" s="4"/>
      <c r="QNS108" s="4"/>
      <c r="QNT108" s="4"/>
      <c r="QNU108" s="4"/>
      <c r="QNV108" s="4"/>
      <c r="QNW108" s="4"/>
      <c r="QNX108" s="4"/>
      <c r="QNY108" s="4"/>
      <c r="QNZ108" s="4"/>
      <c r="QOA108" s="4"/>
      <c r="QOB108" s="4"/>
      <c r="QOC108" s="4"/>
      <c r="QOD108" s="4"/>
      <c r="QOE108" s="4"/>
      <c r="QOF108" s="4"/>
      <c r="QOG108" s="4"/>
      <c r="QOH108" s="4"/>
      <c r="QOI108" s="4"/>
      <c r="QOJ108" s="4"/>
      <c r="QOK108" s="4"/>
      <c r="QOL108" s="4"/>
      <c r="QOM108" s="4"/>
      <c r="QON108" s="4"/>
      <c r="QOO108" s="4"/>
      <c r="QOP108" s="4"/>
      <c r="QOQ108" s="4"/>
      <c r="QOR108" s="4"/>
      <c r="QOS108" s="4"/>
      <c r="QOT108" s="4"/>
      <c r="QOU108" s="4"/>
      <c r="QOV108" s="4"/>
      <c r="QOW108" s="4"/>
      <c r="QOX108" s="4"/>
      <c r="QOY108" s="4"/>
      <c r="QOZ108" s="4"/>
      <c r="QPA108" s="4"/>
      <c r="QPB108" s="4"/>
      <c r="QPC108" s="4"/>
      <c r="QPD108" s="4"/>
      <c r="QPE108" s="4"/>
      <c r="QPF108" s="4"/>
      <c r="QPG108" s="4"/>
      <c r="QPH108" s="4"/>
      <c r="QPI108" s="4"/>
      <c r="QPJ108" s="4"/>
      <c r="QPK108" s="4"/>
      <c r="QPL108" s="4"/>
      <c r="QPM108" s="4"/>
      <c r="QPN108" s="4"/>
      <c r="QPO108" s="4"/>
      <c r="QPP108" s="4"/>
      <c r="QPQ108" s="4"/>
      <c r="QPR108" s="4"/>
      <c r="QPS108" s="4"/>
      <c r="QPT108" s="4"/>
      <c r="QPU108" s="4"/>
      <c r="QPV108" s="4"/>
      <c r="QPW108" s="4"/>
      <c r="QPX108" s="4"/>
      <c r="QPY108" s="4"/>
      <c r="QPZ108" s="4"/>
      <c r="QQA108" s="4"/>
      <c r="QQB108" s="4"/>
      <c r="QQC108" s="4"/>
      <c r="QQD108" s="4"/>
      <c r="QQE108" s="4"/>
      <c r="QQF108" s="4"/>
      <c r="QQG108" s="4"/>
      <c r="QQH108" s="4"/>
      <c r="QQI108" s="4"/>
      <c r="QQJ108" s="4"/>
      <c r="QQK108" s="4"/>
      <c r="QQL108" s="4"/>
      <c r="QQM108" s="4"/>
      <c r="QQN108" s="4"/>
      <c r="QQO108" s="4"/>
      <c r="QQP108" s="4"/>
      <c r="QQQ108" s="4"/>
      <c r="QQR108" s="4"/>
      <c r="QQS108" s="4"/>
      <c r="QQT108" s="4"/>
      <c r="QQU108" s="4"/>
      <c r="QQV108" s="4"/>
      <c r="QQW108" s="4"/>
      <c r="QQX108" s="4"/>
      <c r="QQY108" s="4"/>
      <c r="QQZ108" s="4"/>
      <c r="QRA108" s="4"/>
      <c r="QRB108" s="4"/>
      <c r="QRC108" s="4"/>
      <c r="QRD108" s="4"/>
      <c r="QRE108" s="4"/>
      <c r="QRF108" s="4"/>
      <c r="QRG108" s="4"/>
      <c r="QRH108" s="4"/>
      <c r="QRI108" s="4"/>
      <c r="QRJ108" s="4"/>
      <c r="QRK108" s="4"/>
      <c r="QRL108" s="4"/>
      <c r="QRM108" s="4"/>
      <c r="QRN108" s="4"/>
      <c r="QRO108" s="4"/>
      <c r="QRP108" s="4"/>
      <c r="QRQ108" s="4"/>
      <c r="QRR108" s="4"/>
      <c r="QRS108" s="4"/>
      <c r="QRT108" s="4"/>
      <c r="QRU108" s="4"/>
      <c r="QRV108" s="4"/>
      <c r="QRW108" s="4"/>
      <c r="QRX108" s="4"/>
      <c r="QRY108" s="4"/>
      <c r="QRZ108" s="4"/>
      <c r="QSA108" s="4"/>
      <c r="QSB108" s="4"/>
      <c r="QSC108" s="4"/>
      <c r="QSD108" s="4"/>
      <c r="QSE108" s="4"/>
      <c r="QSF108" s="4"/>
      <c r="QSG108" s="4"/>
      <c r="QSH108" s="4"/>
      <c r="QSI108" s="4"/>
      <c r="QSJ108" s="4"/>
      <c r="QSK108" s="4"/>
      <c r="QSL108" s="4"/>
      <c r="QSM108" s="4"/>
      <c r="QSN108" s="4"/>
      <c r="QSO108" s="4"/>
      <c r="QSP108" s="4"/>
      <c r="QSQ108" s="4"/>
      <c r="QSR108" s="4"/>
      <c r="QSS108" s="4"/>
      <c r="QST108" s="4"/>
      <c r="QSU108" s="4"/>
      <c r="QSV108" s="4"/>
      <c r="QSW108" s="4"/>
      <c r="QSX108" s="4"/>
      <c r="QSY108" s="4"/>
      <c r="QSZ108" s="4"/>
      <c r="QTA108" s="4"/>
      <c r="QTB108" s="4"/>
      <c r="QTC108" s="4"/>
      <c r="QTD108" s="4"/>
      <c r="QTE108" s="4"/>
      <c r="QTF108" s="4"/>
      <c r="QTG108" s="4"/>
      <c r="QTH108" s="4"/>
      <c r="QTI108" s="4"/>
      <c r="QTJ108" s="4"/>
      <c r="QTK108" s="4"/>
      <c r="QTL108" s="4"/>
      <c r="QTM108" s="4"/>
      <c r="QTN108" s="4"/>
      <c r="QTO108" s="4"/>
      <c r="QTP108" s="4"/>
      <c r="QTQ108" s="4"/>
      <c r="QTR108" s="4"/>
      <c r="QTS108" s="4"/>
      <c r="QTT108" s="4"/>
      <c r="QTU108" s="4"/>
      <c r="QTV108" s="4"/>
      <c r="QTW108" s="4"/>
      <c r="QTX108" s="4"/>
      <c r="QTY108" s="4"/>
      <c r="QTZ108" s="4"/>
      <c r="QUA108" s="4"/>
      <c r="QUB108" s="4"/>
      <c r="QUC108" s="4"/>
      <c r="QUD108" s="4"/>
      <c r="QUE108" s="4"/>
      <c r="QUF108" s="4"/>
      <c r="QUG108" s="4"/>
      <c r="QUH108" s="4"/>
      <c r="QUI108" s="4"/>
      <c r="QUJ108" s="4"/>
      <c r="QUK108" s="4"/>
      <c r="QUL108" s="4"/>
      <c r="QUM108" s="4"/>
      <c r="QUN108" s="4"/>
      <c r="QUO108" s="4"/>
      <c r="QUP108" s="4"/>
      <c r="QUQ108" s="4"/>
      <c r="QUR108" s="4"/>
      <c r="QUS108" s="4"/>
      <c r="QUT108" s="4"/>
      <c r="QUU108" s="4"/>
      <c r="QUV108" s="4"/>
      <c r="QUW108" s="4"/>
      <c r="QUX108" s="4"/>
      <c r="QUY108" s="4"/>
      <c r="QUZ108" s="4"/>
      <c r="QVA108" s="4"/>
      <c r="QVB108" s="4"/>
      <c r="QVC108" s="4"/>
      <c r="QVD108" s="4"/>
      <c r="QVE108" s="4"/>
      <c r="QVF108" s="4"/>
      <c r="QVG108" s="4"/>
      <c r="QVH108" s="4"/>
      <c r="QVI108" s="4"/>
      <c r="QVJ108" s="4"/>
      <c r="QVK108" s="4"/>
      <c r="QVL108" s="4"/>
      <c r="QVM108" s="4"/>
      <c r="QVN108" s="4"/>
      <c r="QVO108" s="4"/>
      <c r="QVP108" s="4"/>
      <c r="QVQ108" s="4"/>
      <c r="QVR108" s="4"/>
      <c r="QVS108" s="4"/>
      <c r="QVT108" s="4"/>
      <c r="QVU108" s="4"/>
      <c r="QVV108" s="4"/>
      <c r="QVW108" s="4"/>
      <c r="QVX108" s="4"/>
      <c r="QVY108" s="4"/>
      <c r="QVZ108" s="4"/>
      <c r="QWA108" s="4"/>
      <c r="QWB108" s="4"/>
      <c r="QWC108" s="4"/>
      <c r="QWD108" s="4"/>
      <c r="QWE108" s="4"/>
      <c r="QWF108" s="4"/>
      <c r="QWG108" s="4"/>
      <c r="QWH108" s="4"/>
      <c r="QWI108" s="4"/>
      <c r="QWJ108" s="4"/>
      <c r="QWK108" s="4"/>
      <c r="QWL108" s="4"/>
      <c r="QWM108" s="4"/>
      <c r="QWN108" s="4"/>
      <c r="QWO108" s="4"/>
      <c r="QWP108" s="4"/>
      <c r="QWQ108" s="4"/>
      <c r="QWR108" s="4"/>
      <c r="QWS108" s="4"/>
      <c r="QWT108" s="4"/>
      <c r="QWU108" s="4"/>
      <c r="QWV108" s="4"/>
      <c r="QWW108" s="4"/>
      <c r="QWX108" s="4"/>
      <c r="QWY108" s="4"/>
      <c r="QWZ108" s="4"/>
      <c r="QXA108" s="4"/>
      <c r="QXB108" s="4"/>
      <c r="QXC108" s="4"/>
      <c r="QXD108" s="4"/>
      <c r="QXE108" s="4"/>
      <c r="QXF108" s="4"/>
      <c r="QXG108" s="4"/>
      <c r="QXH108" s="4"/>
      <c r="QXI108" s="4"/>
      <c r="QXJ108" s="4"/>
      <c r="QXK108" s="4"/>
      <c r="QXL108" s="4"/>
      <c r="QXM108" s="4"/>
      <c r="QXN108" s="4"/>
      <c r="QXO108" s="4"/>
      <c r="QXP108" s="4"/>
      <c r="QXQ108" s="4"/>
      <c r="QXR108" s="4"/>
      <c r="QXS108" s="4"/>
      <c r="QXT108" s="4"/>
      <c r="QXU108" s="4"/>
      <c r="QXV108" s="4"/>
      <c r="QXW108" s="4"/>
      <c r="QXX108" s="4"/>
      <c r="QXY108" s="4"/>
      <c r="QXZ108" s="4"/>
      <c r="QYA108" s="4"/>
      <c r="QYB108" s="4"/>
      <c r="QYC108" s="4"/>
      <c r="QYD108" s="4"/>
      <c r="QYE108" s="4"/>
      <c r="QYF108" s="4"/>
      <c r="QYG108" s="4"/>
      <c r="QYH108" s="4"/>
      <c r="QYI108" s="4"/>
      <c r="QYJ108" s="4"/>
      <c r="QYK108" s="4"/>
      <c r="QYL108" s="4"/>
      <c r="QYM108" s="4"/>
      <c r="QYN108" s="4"/>
      <c r="QYO108" s="4"/>
      <c r="QYP108" s="4"/>
      <c r="QYQ108" s="4"/>
      <c r="QYR108" s="4"/>
      <c r="QYS108" s="4"/>
      <c r="QYT108" s="4"/>
      <c r="QYU108" s="4"/>
      <c r="QYV108" s="4"/>
      <c r="QYW108" s="4"/>
      <c r="QYX108" s="4"/>
      <c r="QYY108" s="4"/>
      <c r="QYZ108" s="4"/>
      <c r="QZA108" s="4"/>
      <c r="QZB108" s="4"/>
      <c r="QZC108" s="4"/>
      <c r="QZD108" s="4"/>
      <c r="QZE108" s="4"/>
      <c r="QZF108" s="4"/>
      <c r="QZG108" s="4"/>
      <c r="QZH108" s="4"/>
      <c r="QZI108" s="4"/>
      <c r="QZJ108" s="4"/>
      <c r="QZK108" s="4"/>
      <c r="QZL108" s="4"/>
      <c r="QZM108" s="4"/>
      <c r="QZN108" s="4"/>
      <c r="QZO108" s="4"/>
      <c r="QZP108" s="4"/>
      <c r="QZQ108" s="4"/>
      <c r="QZR108" s="4"/>
      <c r="QZS108" s="4"/>
      <c r="QZT108" s="4"/>
      <c r="QZU108" s="4"/>
      <c r="QZV108" s="4"/>
      <c r="QZW108" s="4"/>
      <c r="QZX108" s="4"/>
      <c r="QZY108" s="4"/>
      <c r="QZZ108" s="4"/>
      <c r="RAA108" s="4"/>
      <c r="RAB108" s="4"/>
      <c r="RAC108" s="4"/>
      <c r="RAD108" s="4"/>
      <c r="RAE108" s="4"/>
      <c r="RAF108" s="4"/>
      <c r="RAG108" s="4"/>
      <c r="RAH108" s="4"/>
      <c r="RAI108" s="4"/>
      <c r="RAJ108" s="4"/>
      <c r="RAK108" s="4"/>
      <c r="RAL108" s="4"/>
      <c r="RAM108" s="4"/>
      <c r="RAN108" s="4"/>
      <c r="RAO108" s="4"/>
      <c r="RAP108" s="4"/>
      <c r="RAQ108" s="4"/>
      <c r="RAR108" s="4"/>
      <c r="RAS108" s="4"/>
      <c r="RAT108" s="4"/>
      <c r="RAU108" s="4"/>
      <c r="RAV108" s="4"/>
      <c r="RAW108" s="4"/>
      <c r="RAX108" s="4"/>
      <c r="RAY108" s="4"/>
      <c r="RAZ108" s="4"/>
      <c r="RBA108" s="4"/>
      <c r="RBB108" s="4"/>
      <c r="RBC108" s="4"/>
      <c r="RBD108" s="4"/>
      <c r="RBE108" s="4"/>
      <c r="RBF108" s="4"/>
      <c r="RBG108" s="4"/>
      <c r="RBH108" s="4"/>
      <c r="RBI108" s="4"/>
      <c r="RBJ108" s="4"/>
      <c r="RBK108" s="4"/>
      <c r="RBL108" s="4"/>
      <c r="RBM108" s="4"/>
      <c r="RBN108" s="4"/>
      <c r="RBO108" s="4"/>
      <c r="RBP108" s="4"/>
      <c r="RBQ108" s="4"/>
      <c r="RBR108" s="4"/>
      <c r="RBS108" s="4"/>
      <c r="RBT108" s="4"/>
      <c r="RBU108" s="4"/>
      <c r="RBV108" s="4"/>
      <c r="RBW108" s="4"/>
      <c r="RBX108" s="4"/>
      <c r="RBY108" s="4"/>
      <c r="RBZ108" s="4"/>
      <c r="RCA108" s="4"/>
      <c r="RCB108" s="4"/>
      <c r="RCC108" s="4"/>
      <c r="RCD108" s="4"/>
      <c r="RCE108" s="4"/>
      <c r="RCF108" s="4"/>
      <c r="RCG108" s="4"/>
      <c r="RCH108" s="4"/>
      <c r="RCI108" s="4"/>
      <c r="RCJ108" s="4"/>
      <c r="RCK108" s="4"/>
      <c r="RCL108" s="4"/>
      <c r="RCM108" s="4"/>
      <c r="RCN108" s="4"/>
      <c r="RCO108" s="4"/>
      <c r="RCP108" s="4"/>
      <c r="RCQ108" s="4"/>
      <c r="RCR108" s="4"/>
      <c r="RCS108" s="4"/>
      <c r="RCT108" s="4"/>
      <c r="RCU108" s="4"/>
      <c r="RCV108" s="4"/>
      <c r="RCW108" s="4"/>
      <c r="RCX108" s="4"/>
      <c r="RCY108" s="4"/>
      <c r="RCZ108" s="4"/>
      <c r="RDA108" s="4"/>
      <c r="RDB108" s="4"/>
      <c r="RDC108" s="4"/>
      <c r="RDD108" s="4"/>
      <c r="RDE108" s="4"/>
      <c r="RDF108" s="4"/>
      <c r="RDG108" s="4"/>
      <c r="RDH108" s="4"/>
      <c r="RDI108" s="4"/>
      <c r="RDJ108" s="4"/>
      <c r="RDK108" s="4"/>
      <c r="RDL108" s="4"/>
      <c r="RDM108" s="4"/>
      <c r="RDN108" s="4"/>
      <c r="RDO108" s="4"/>
      <c r="RDP108" s="4"/>
      <c r="RDQ108" s="4"/>
      <c r="RDR108" s="4"/>
      <c r="RDS108" s="4"/>
      <c r="RDT108" s="4"/>
      <c r="RDU108" s="4"/>
      <c r="RDV108" s="4"/>
      <c r="RDW108" s="4"/>
      <c r="RDX108" s="4"/>
      <c r="RDY108" s="4"/>
      <c r="RDZ108" s="4"/>
      <c r="REA108" s="4"/>
      <c r="REB108" s="4"/>
      <c r="REC108" s="4"/>
      <c r="RED108" s="4"/>
      <c r="REE108" s="4"/>
      <c r="REF108" s="4"/>
      <c r="REG108" s="4"/>
      <c r="REH108" s="4"/>
      <c r="REI108" s="4"/>
      <c r="REJ108" s="4"/>
      <c r="REK108" s="4"/>
      <c r="REL108" s="4"/>
      <c r="REM108" s="4"/>
      <c r="REN108" s="4"/>
      <c r="REO108" s="4"/>
      <c r="REP108" s="4"/>
      <c r="REQ108" s="4"/>
      <c r="RER108" s="4"/>
      <c r="RES108" s="4"/>
      <c r="RET108" s="4"/>
      <c r="REU108" s="4"/>
      <c r="REV108" s="4"/>
      <c r="REW108" s="4"/>
      <c r="REX108" s="4"/>
      <c r="REY108" s="4"/>
      <c r="REZ108" s="4"/>
      <c r="RFA108" s="4"/>
      <c r="RFB108" s="4"/>
      <c r="RFC108" s="4"/>
      <c r="RFD108" s="4"/>
      <c r="RFE108" s="4"/>
      <c r="RFF108" s="4"/>
      <c r="RFG108" s="4"/>
      <c r="RFH108" s="4"/>
      <c r="RFI108" s="4"/>
      <c r="RFJ108" s="4"/>
      <c r="RFK108" s="4"/>
      <c r="RFL108" s="4"/>
      <c r="RFM108" s="4"/>
      <c r="RFN108" s="4"/>
      <c r="RFO108" s="4"/>
      <c r="RFP108" s="4"/>
      <c r="RFQ108" s="4"/>
      <c r="RFR108" s="4"/>
      <c r="RFS108" s="4"/>
      <c r="RFT108" s="4"/>
      <c r="RFU108" s="4"/>
      <c r="RFV108" s="4"/>
      <c r="RFW108" s="4"/>
      <c r="RFX108" s="4"/>
      <c r="RFY108" s="4"/>
      <c r="RFZ108" s="4"/>
      <c r="RGA108" s="4"/>
      <c r="RGB108" s="4"/>
      <c r="RGC108" s="4"/>
      <c r="RGD108" s="4"/>
      <c r="RGE108" s="4"/>
      <c r="RGF108" s="4"/>
      <c r="RGG108" s="4"/>
      <c r="RGH108" s="4"/>
      <c r="RGI108" s="4"/>
      <c r="RGJ108" s="4"/>
      <c r="RGK108" s="4"/>
      <c r="RGL108" s="4"/>
      <c r="RGM108" s="4"/>
      <c r="RGN108" s="4"/>
      <c r="RGO108" s="4"/>
      <c r="RGP108" s="4"/>
      <c r="RGQ108" s="4"/>
      <c r="RGR108" s="4"/>
      <c r="RGS108" s="4"/>
      <c r="RGT108" s="4"/>
      <c r="RGU108" s="4"/>
      <c r="RGV108" s="4"/>
      <c r="RGW108" s="4"/>
      <c r="RGX108" s="4"/>
      <c r="RGY108" s="4"/>
      <c r="RGZ108" s="4"/>
      <c r="RHA108" s="4"/>
      <c r="RHB108" s="4"/>
      <c r="RHC108" s="4"/>
      <c r="RHD108" s="4"/>
      <c r="RHE108" s="4"/>
      <c r="RHF108" s="4"/>
      <c r="RHG108" s="4"/>
      <c r="RHH108" s="4"/>
      <c r="RHI108" s="4"/>
      <c r="RHJ108" s="4"/>
      <c r="RHK108" s="4"/>
      <c r="RHL108" s="4"/>
      <c r="RHM108" s="4"/>
      <c r="RHN108" s="4"/>
      <c r="RHO108" s="4"/>
      <c r="RHP108" s="4"/>
      <c r="RHQ108" s="4"/>
      <c r="RHR108" s="4"/>
      <c r="RHS108" s="4"/>
      <c r="RHT108" s="4"/>
      <c r="RHU108" s="4"/>
      <c r="RHV108" s="4"/>
      <c r="RHW108" s="4"/>
      <c r="RHX108" s="4"/>
      <c r="RHY108" s="4"/>
      <c r="RHZ108" s="4"/>
      <c r="RIA108" s="4"/>
      <c r="RIB108" s="4"/>
      <c r="RIC108" s="4"/>
      <c r="RID108" s="4"/>
      <c r="RIE108" s="4"/>
      <c r="RIF108" s="4"/>
      <c r="RIG108" s="4"/>
      <c r="RIH108" s="4"/>
      <c r="RII108" s="4"/>
      <c r="RIJ108" s="4"/>
      <c r="RIK108" s="4"/>
      <c r="RIL108" s="4"/>
      <c r="RIM108" s="4"/>
      <c r="RIN108" s="4"/>
      <c r="RIO108" s="4"/>
      <c r="RIP108" s="4"/>
      <c r="RIQ108" s="4"/>
      <c r="RIR108" s="4"/>
      <c r="RIS108" s="4"/>
      <c r="RIT108" s="4"/>
      <c r="RIU108" s="4"/>
      <c r="RIV108" s="4"/>
      <c r="RIW108" s="4"/>
      <c r="RIX108" s="4"/>
      <c r="RIY108" s="4"/>
      <c r="RIZ108" s="4"/>
      <c r="RJA108" s="4"/>
      <c r="RJB108" s="4"/>
      <c r="RJC108" s="4"/>
      <c r="RJD108" s="4"/>
      <c r="RJE108" s="4"/>
      <c r="RJF108" s="4"/>
      <c r="RJG108" s="4"/>
      <c r="RJH108" s="4"/>
      <c r="RJI108" s="4"/>
      <c r="RJJ108" s="4"/>
      <c r="RJK108" s="4"/>
      <c r="RJL108" s="4"/>
      <c r="RJM108" s="4"/>
      <c r="RJN108" s="4"/>
      <c r="RJO108" s="4"/>
      <c r="RJP108" s="4"/>
      <c r="RJQ108" s="4"/>
      <c r="RJR108" s="4"/>
      <c r="RJS108" s="4"/>
      <c r="RJT108" s="4"/>
      <c r="RJU108" s="4"/>
      <c r="RJV108" s="4"/>
      <c r="RJW108" s="4"/>
      <c r="RJX108" s="4"/>
      <c r="RJY108" s="4"/>
      <c r="RJZ108" s="4"/>
      <c r="RKA108" s="4"/>
      <c r="RKB108" s="4"/>
      <c r="RKC108" s="4"/>
      <c r="RKD108" s="4"/>
      <c r="RKE108" s="4"/>
      <c r="RKF108" s="4"/>
      <c r="RKG108" s="4"/>
      <c r="RKH108" s="4"/>
      <c r="RKI108" s="4"/>
      <c r="RKJ108" s="4"/>
      <c r="RKK108" s="4"/>
      <c r="RKL108" s="4"/>
      <c r="RKM108" s="4"/>
      <c r="RKN108" s="4"/>
      <c r="RKO108" s="4"/>
      <c r="RKP108" s="4"/>
      <c r="RKQ108" s="4"/>
      <c r="RKR108" s="4"/>
      <c r="RKS108" s="4"/>
      <c r="RKT108" s="4"/>
      <c r="RKU108" s="4"/>
      <c r="RKV108" s="4"/>
      <c r="RKW108" s="4"/>
      <c r="RKX108" s="4"/>
      <c r="RKY108" s="4"/>
      <c r="RKZ108" s="4"/>
      <c r="RLA108" s="4"/>
      <c r="RLB108" s="4"/>
      <c r="RLC108" s="4"/>
      <c r="RLD108" s="4"/>
      <c r="RLE108" s="4"/>
      <c r="RLF108" s="4"/>
      <c r="RLG108" s="4"/>
      <c r="RLH108" s="4"/>
      <c r="RLI108" s="4"/>
      <c r="RLJ108" s="4"/>
      <c r="RLK108" s="4"/>
      <c r="RLL108" s="4"/>
      <c r="RLM108" s="4"/>
      <c r="RLN108" s="4"/>
      <c r="RLO108" s="4"/>
      <c r="RLP108" s="4"/>
      <c r="RLQ108" s="4"/>
      <c r="RLR108" s="4"/>
      <c r="RLS108" s="4"/>
      <c r="RLT108" s="4"/>
      <c r="RLU108" s="4"/>
      <c r="RLV108" s="4"/>
      <c r="RLW108" s="4"/>
      <c r="RLX108" s="4"/>
      <c r="RLY108" s="4"/>
      <c r="RLZ108" s="4"/>
      <c r="RMA108" s="4"/>
      <c r="RMB108" s="4"/>
      <c r="RMC108" s="4"/>
      <c r="RMD108" s="4"/>
      <c r="RME108" s="4"/>
      <c r="RMF108" s="4"/>
      <c r="RMG108" s="4"/>
      <c r="RMH108" s="4"/>
      <c r="RMI108" s="4"/>
      <c r="RMJ108" s="4"/>
      <c r="RMK108" s="4"/>
      <c r="RML108" s="4"/>
      <c r="RMM108" s="4"/>
      <c r="RMN108" s="4"/>
      <c r="RMO108" s="4"/>
      <c r="RMP108" s="4"/>
      <c r="RMQ108" s="4"/>
      <c r="RMR108" s="4"/>
      <c r="RMS108" s="4"/>
      <c r="RMT108" s="4"/>
      <c r="RMU108" s="4"/>
      <c r="RMV108" s="4"/>
      <c r="RMW108" s="4"/>
      <c r="RMX108" s="4"/>
      <c r="RMY108" s="4"/>
      <c r="RMZ108" s="4"/>
      <c r="RNA108" s="4"/>
      <c r="RNB108" s="4"/>
      <c r="RNC108" s="4"/>
      <c r="RND108" s="4"/>
      <c r="RNE108" s="4"/>
      <c r="RNF108" s="4"/>
      <c r="RNG108" s="4"/>
      <c r="RNH108" s="4"/>
      <c r="RNI108" s="4"/>
      <c r="RNJ108" s="4"/>
      <c r="RNK108" s="4"/>
      <c r="RNL108" s="4"/>
      <c r="RNM108" s="4"/>
      <c r="RNN108" s="4"/>
      <c r="RNO108" s="4"/>
      <c r="RNP108" s="4"/>
      <c r="RNQ108" s="4"/>
      <c r="RNR108" s="4"/>
      <c r="RNS108" s="4"/>
      <c r="RNT108" s="4"/>
      <c r="RNU108" s="4"/>
      <c r="RNV108" s="4"/>
      <c r="RNW108" s="4"/>
      <c r="RNX108" s="4"/>
      <c r="RNY108" s="4"/>
      <c r="RNZ108" s="4"/>
      <c r="ROA108" s="4"/>
      <c r="ROB108" s="4"/>
      <c r="ROC108" s="4"/>
      <c r="ROD108" s="4"/>
      <c r="ROE108" s="4"/>
      <c r="ROF108" s="4"/>
      <c r="ROG108" s="4"/>
      <c r="ROH108" s="4"/>
      <c r="ROI108" s="4"/>
      <c r="ROJ108" s="4"/>
      <c r="ROK108" s="4"/>
      <c r="ROL108" s="4"/>
      <c r="ROM108" s="4"/>
      <c r="RON108" s="4"/>
      <c r="ROO108" s="4"/>
      <c r="ROP108" s="4"/>
      <c r="ROQ108" s="4"/>
      <c r="ROR108" s="4"/>
      <c r="ROS108" s="4"/>
      <c r="ROT108" s="4"/>
      <c r="ROU108" s="4"/>
      <c r="ROV108" s="4"/>
      <c r="ROW108" s="4"/>
      <c r="ROX108" s="4"/>
      <c r="ROY108" s="4"/>
      <c r="ROZ108" s="4"/>
      <c r="RPA108" s="4"/>
      <c r="RPB108" s="4"/>
      <c r="RPC108" s="4"/>
      <c r="RPD108" s="4"/>
      <c r="RPE108" s="4"/>
      <c r="RPF108" s="4"/>
      <c r="RPG108" s="4"/>
      <c r="RPH108" s="4"/>
      <c r="RPI108" s="4"/>
      <c r="RPJ108" s="4"/>
      <c r="RPK108" s="4"/>
      <c r="RPL108" s="4"/>
      <c r="RPM108" s="4"/>
      <c r="RPN108" s="4"/>
      <c r="RPO108" s="4"/>
      <c r="RPP108" s="4"/>
      <c r="RPQ108" s="4"/>
      <c r="RPR108" s="4"/>
      <c r="RPS108" s="4"/>
      <c r="RPT108" s="4"/>
      <c r="RPU108" s="4"/>
      <c r="RPV108" s="4"/>
      <c r="RPW108" s="4"/>
      <c r="RPX108" s="4"/>
      <c r="RPY108" s="4"/>
      <c r="RPZ108" s="4"/>
      <c r="RQA108" s="4"/>
      <c r="RQB108" s="4"/>
      <c r="RQC108" s="4"/>
      <c r="RQD108" s="4"/>
      <c r="RQE108" s="4"/>
      <c r="RQF108" s="4"/>
      <c r="RQG108" s="4"/>
      <c r="RQH108" s="4"/>
      <c r="RQI108" s="4"/>
      <c r="RQJ108" s="4"/>
      <c r="RQK108" s="4"/>
      <c r="RQL108" s="4"/>
      <c r="RQM108" s="4"/>
      <c r="RQN108" s="4"/>
      <c r="RQO108" s="4"/>
      <c r="RQP108" s="4"/>
      <c r="RQQ108" s="4"/>
      <c r="RQR108" s="4"/>
      <c r="RQS108" s="4"/>
      <c r="RQT108" s="4"/>
      <c r="RQU108" s="4"/>
      <c r="RQV108" s="4"/>
      <c r="RQW108" s="4"/>
      <c r="RQX108" s="4"/>
      <c r="RQY108" s="4"/>
      <c r="RQZ108" s="4"/>
      <c r="RRA108" s="4"/>
      <c r="RRB108" s="4"/>
      <c r="RRC108" s="4"/>
      <c r="RRD108" s="4"/>
      <c r="RRE108" s="4"/>
      <c r="RRF108" s="4"/>
      <c r="RRG108" s="4"/>
      <c r="RRH108" s="4"/>
      <c r="RRI108" s="4"/>
      <c r="RRJ108" s="4"/>
      <c r="RRK108" s="4"/>
      <c r="RRL108" s="4"/>
      <c r="RRM108" s="4"/>
      <c r="RRN108" s="4"/>
      <c r="RRO108" s="4"/>
      <c r="RRP108" s="4"/>
      <c r="RRQ108" s="4"/>
      <c r="RRR108" s="4"/>
      <c r="RRS108" s="4"/>
      <c r="RRT108" s="4"/>
      <c r="RRU108" s="4"/>
      <c r="RRV108" s="4"/>
      <c r="RRW108" s="4"/>
      <c r="RRX108" s="4"/>
      <c r="RRY108" s="4"/>
      <c r="RRZ108" s="4"/>
      <c r="RSA108" s="4"/>
      <c r="RSB108" s="4"/>
      <c r="RSC108" s="4"/>
      <c r="RSD108" s="4"/>
      <c r="RSE108" s="4"/>
      <c r="RSF108" s="4"/>
      <c r="RSG108" s="4"/>
      <c r="RSH108" s="4"/>
      <c r="RSI108" s="4"/>
      <c r="RSJ108" s="4"/>
      <c r="RSK108" s="4"/>
      <c r="RSL108" s="4"/>
      <c r="RSM108" s="4"/>
      <c r="RSN108" s="4"/>
      <c r="RSO108" s="4"/>
      <c r="RSP108" s="4"/>
      <c r="RSQ108" s="4"/>
      <c r="RSR108" s="4"/>
      <c r="RSS108" s="4"/>
      <c r="RST108" s="4"/>
      <c r="RSU108" s="4"/>
      <c r="RSV108" s="4"/>
      <c r="RSW108" s="4"/>
      <c r="RSX108" s="4"/>
      <c r="RSY108" s="4"/>
      <c r="RSZ108" s="4"/>
      <c r="RTA108" s="4"/>
      <c r="RTB108" s="4"/>
      <c r="RTC108" s="4"/>
      <c r="RTD108" s="4"/>
      <c r="RTE108" s="4"/>
      <c r="RTF108" s="4"/>
      <c r="RTG108" s="4"/>
      <c r="RTH108" s="4"/>
      <c r="RTI108" s="4"/>
      <c r="RTJ108" s="4"/>
      <c r="RTK108" s="4"/>
      <c r="RTL108" s="4"/>
      <c r="RTM108" s="4"/>
      <c r="RTN108" s="4"/>
      <c r="RTO108" s="4"/>
      <c r="RTP108" s="4"/>
      <c r="RTQ108" s="4"/>
      <c r="RTR108" s="4"/>
      <c r="RTS108" s="4"/>
      <c r="RTT108" s="4"/>
      <c r="RTU108" s="4"/>
      <c r="RTV108" s="4"/>
      <c r="RTW108" s="4"/>
      <c r="RTX108" s="4"/>
      <c r="RTY108" s="4"/>
      <c r="RTZ108" s="4"/>
      <c r="RUA108" s="4"/>
      <c r="RUB108" s="4"/>
      <c r="RUC108" s="4"/>
      <c r="RUD108" s="4"/>
      <c r="RUE108" s="4"/>
      <c r="RUF108" s="4"/>
      <c r="RUG108" s="4"/>
      <c r="RUH108" s="4"/>
      <c r="RUI108" s="4"/>
      <c r="RUJ108" s="4"/>
      <c r="RUK108" s="4"/>
      <c r="RUL108" s="4"/>
      <c r="RUM108" s="4"/>
      <c r="RUN108" s="4"/>
      <c r="RUO108" s="4"/>
      <c r="RUP108" s="4"/>
      <c r="RUQ108" s="4"/>
      <c r="RUR108" s="4"/>
      <c r="RUS108" s="4"/>
      <c r="RUT108" s="4"/>
      <c r="RUU108" s="4"/>
      <c r="RUV108" s="4"/>
      <c r="RUW108" s="4"/>
      <c r="RUX108" s="4"/>
      <c r="RUY108" s="4"/>
      <c r="RUZ108" s="4"/>
      <c r="RVA108" s="4"/>
      <c r="RVB108" s="4"/>
      <c r="RVC108" s="4"/>
      <c r="RVD108" s="4"/>
      <c r="RVE108" s="4"/>
      <c r="RVF108" s="4"/>
      <c r="RVG108" s="4"/>
      <c r="RVH108" s="4"/>
      <c r="RVI108" s="4"/>
      <c r="RVJ108" s="4"/>
      <c r="RVK108" s="4"/>
      <c r="RVL108" s="4"/>
      <c r="RVM108" s="4"/>
      <c r="RVN108" s="4"/>
      <c r="RVO108" s="4"/>
      <c r="RVP108" s="4"/>
      <c r="RVQ108" s="4"/>
      <c r="RVR108" s="4"/>
      <c r="RVS108" s="4"/>
      <c r="RVT108" s="4"/>
      <c r="RVU108" s="4"/>
      <c r="RVV108" s="4"/>
      <c r="RVW108" s="4"/>
      <c r="RVX108" s="4"/>
      <c r="RVY108" s="4"/>
      <c r="RVZ108" s="4"/>
      <c r="RWA108" s="4"/>
      <c r="RWB108" s="4"/>
      <c r="RWC108" s="4"/>
      <c r="RWD108" s="4"/>
      <c r="RWE108" s="4"/>
      <c r="RWF108" s="4"/>
      <c r="RWG108" s="4"/>
      <c r="RWH108" s="4"/>
      <c r="RWI108" s="4"/>
      <c r="RWJ108" s="4"/>
      <c r="RWK108" s="4"/>
      <c r="RWL108" s="4"/>
      <c r="RWM108" s="4"/>
      <c r="RWN108" s="4"/>
      <c r="RWO108" s="4"/>
      <c r="RWP108" s="4"/>
      <c r="RWQ108" s="4"/>
      <c r="RWR108" s="4"/>
      <c r="RWS108" s="4"/>
      <c r="RWT108" s="4"/>
      <c r="RWU108" s="4"/>
      <c r="RWV108" s="4"/>
      <c r="RWW108" s="4"/>
      <c r="RWX108" s="4"/>
      <c r="RWY108" s="4"/>
      <c r="RWZ108" s="4"/>
      <c r="RXA108" s="4"/>
      <c r="RXB108" s="4"/>
      <c r="RXC108" s="4"/>
      <c r="RXD108" s="4"/>
      <c r="RXE108" s="4"/>
      <c r="RXF108" s="4"/>
      <c r="RXG108" s="4"/>
      <c r="RXH108" s="4"/>
      <c r="RXI108" s="4"/>
      <c r="RXJ108" s="4"/>
      <c r="RXK108" s="4"/>
      <c r="RXL108" s="4"/>
      <c r="RXM108" s="4"/>
      <c r="RXN108" s="4"/>
      <c r="RXO108" s="4"/>
      <c r="RXP108" s="4"/>
      <c r="RXQ108" s="4"/>
      <c r="RXR108" s="4"/>
      <c r="RXS108" s="4"/>
      <c r="RXT108" s="4"/>
      <c r="RXU108" s="4"/>
      <c r="RXV108" s="4"/>
      <c r="RXW108" s="4"/>
      <c r="RXX108" s="4"/>
      <c r="RXY108" s="4"/>
      <c r="RXZ108" s="4"/>
      <c r="RYA108" s="4"/>
      <c r="RYB108" s="4"/>
      <c r="RYC108" s="4"/>
      <c r="RYD108" s="4"/>
      <c r="RYE108" s="4"/>
      <c r="RYF108" s="4"/>
      <c r="RYG108" s="4"/>
      <c r="RYH108" s="4"/>
      <c r="RYI108" s="4"/>
      <c r="RYJ108" s="4"/>
      <c r="RYK108" s="4"/>
      <c r="RYL108" s="4"/>
      <c r="RYM108" s="4"/>
      <c r="RYN108" s="4"/>
      <c r="RYO108" s="4"/>
      <c r="RYP108" s="4"/>
      <c r="RYQ108" s="4"/>
      <c r="RYR108" s="4"/>
      <c r="RYS108" s="4"/>
      <c r="RYT108" s="4"/>
      <c r="RYU108" s="4"/>
      <c r="RYV108" s="4"/>
      <c r="RYW108" s="4"/>
      <c r="RYX108" s="4"/>
      <c r="RYY108" s="4"/>
      <c r="RYZ108" s="4"/>
      <c r="RZA108" s="4"/>
      <c r="RZB108" s="4"/>
      <c r="RZC108" s="4"/>
      <c r="RZD108" s="4"/>
      <c r="RZE108" s="4"/>
      <c r="RZF108" s="4"/>
      <c r="RZG108" s="4"/>
      <c r="RZH108" s="4"/>
      <c r="RZI108" s="4"/>
      <c r="RZJ108" s="4"/>
      <c r="RZK108" s="4"/>
      <c r="RZL108" s="4"/>
      <c r="RZM108" s="4"/>
      <c r="RZN108" s="4"/>
      <c r="RZO108" s="4"/>
      <c r="RZP108" s="4"/>
      <c r="RZQ108" s="4"/>
      <c r="RZR108" s="4"/>
      <c r="RZS108" s="4"/>
      <c r="RZT108" s="4"/>
      <c r="RZU108" s="4"/>
      <c r="RZV108" s="4"/>
      <c r="RZW108" s="4"/>
      <c r="RZX108" s="4"/>
      <c r="RZY108" s="4"/>
      <c r="RZZ108" s="4"/>
      <c r="SAA108" s="4"/>
      <c r="SAB108" s="4"/>
      <c r="SAC108" s="4"/>
      <c r="SAD108" s="4"/>
      <c r="SAE108" s="4"/>
      <c r="SAF108" s="4"/>
      <c r="SAG108" s="4"/>
      <c r="SAH108" s="4"/>
      <c r="SAI108" s="4"/>
      <c r="SAJ108" s="4"/>
      <c r="SAK108" s="4"/>
      <c r="SAL108" s="4"/>
      <c r="SAM108" s="4"/>
      <c r="SAN108" s="4"/>
      <c r="SAO108" s="4"/>
      <c r="SAP108" s="4"/>
      <c r="SAQ108" s="4"/>
      <c r="SAR108" s="4"/>
      <c r="SAS108" s="4"/>
      <c r="SAT108" s="4"/>
      <c r="SAU108" s="4"/>
      <c r="SAV108" s="4"/>
      <c r="SAW108" s="4"/>
      <c r="SAX108" s="4"/>
      <c r="SAY108" s="4"/>
      <c r="SAZ108" s="4"/>
      <c r="SBA108" s="4"/>
      <c r="SBB108" s="4"/>
      <c r="SBC108" s="4"/>
      <c r="SBD108" s="4"/>
      <c r="SBE108" s="4"/>
      <c r="SBF108" s="4"/>
      <c r="SBG108" s="4"/>
      <c r="SBH108" s="4"/>
      <c r="SBI108" s="4"/>
      <c r="SBJ108" s="4"/>
      <c r="SBK108" s="4"/>
      <c r="SBL108" s="4"/>
      <c r="SBM108" s="4"/>
      <c r="SBN108" s="4"/>
      <c r="SBO108" s="4"/>
      <c r="SBP108" s="4"/>
      <c r="SBQ108" s="4"/>
      <c r="SBR108" s="4"/>
      <c r="SBS108" s="4"/>
      <c r="SBT108" s="4"/>
      <c r="SBU108" s="4"/>
      <c r="SBV108" s="4"/>
      <c r="SBW108" s="4"/>
      <c r="SBX108" s="4"/>
      <c r="SBY108" s="4"/>
      <c r="SBZ108" s="4"/>
      <c r="SCA108" s="4"/>
      <c r="SCB108" s="4"/>
      <c r="SCC108" s="4"/>
      <c r="SCD108" s="4"/>
      <c r="SCE108" s="4"/>
      <c r="SCF108" s="4"/>
      <c r="SCG108" s="4"/>
      <c r="SCH108" s="4"/>
      <c r="SCI108" s="4"/>
      <c r="SCJ108" s="4"/>
      <c r="SCK108" s="4"/>
      <c r="SCL108" s="4"/>
      <c r="SCM108" s="4"/>
      <c r="SCN108" s="4"/>
      <c r="SCO108" s="4"/>
      <c r="SCP108" s="4"/>
      <c r="SCQ108" s="4"/>
      <c r="SCR108" s="4"/>
      <c r="SCS108" s="4"/>
      <c r="SCT108" s="4"/>
      <c r="SCU108" s="4"/>
      <c r="SCV108" s="4"/>
      <c r="SCW108" s="4"/>
      <c r="SCX108" s="4"/>
      <c r="SCY108" s="4"/>
      <c r="SCZ108" s="4"/>
      <c r="SDA108" s="4"/>
      <c r="SDB108" s="4"/>
      <c r="SDC108" s="4"/>
      <c r="SDD108" s="4"/>
      <c r="SDE108" s="4"/>
      <c r="SDF108" s="4"/>
      <c r="SDG108" s="4"/>
      <c r="SDH108" s="4"/>
      <c r="SDI108" s="4"/>
      <c r="SDJ108" s="4"/>
      <c r="SDK108" s="4"/>
      <c r="SDL108" s="4"/>
      <c r="SDM108" s="4"/>
      <c r="SDN108" s="4"/>
      <c r="SDO108" s="4"/>
      <c r="SDP108" s="4"/>
      <c r="SDQ108" s="4"/>
      <c r="SDR108" s="4"/>
      <c r="SDS108" s="4"/>
      <c r="SDT108" s="4"/>
      <c r="SDU108" s="4"/>
      <c r="SDV108" s="4"/>
      <c r="SDW108" s="4"/>
      <c r="SDX108" s="4"/>
      <c r="SDY108" s="4"/>
      <c r="SDZ108" s="4"/>
      <c r="SEA108" s="4"/>
      <c r="SEB108" s="4"/>
      <c r="SEC108" s="4"/>
      <c r="SED108" s="4"/>
      <c r="SEE108" s="4"/>
      <c r="SEF108" s="4"/>
      <c r="SEG108" s="4"/>
      <c r="SEH108" s="4"/>
      <c r="SEI108" s="4"/>
      <c r="SEJ108" s="4"/>
      <c r="SEK108" s="4"/>
      <c r="SEL108" s="4"/>
      <c r="SEM108" s="4"/>
      <c r="SEN108" s="4"/>
      <c r="SEO108" s="4"/>
      <c r="SEP108" s="4"/>
      <c r="SEQ108" s="4"/>
      <c r="SER108" s="4"/>
      <c r="SES108" s="4"/>
      <c r="SET108" s="4"/>
      <c r="SEU108" s="4"/>
      <c r="SEV108" s="4"/>
      <c r="SEW108" s="4"/>
      <c r="SEX108" s="4"/>
      <c r="SEY108" s="4"/>
      <c r="SEZ108" s="4"/>
      <c r="SFA108" s="4"/>
      <c r="SFB108" s="4"/>
      <c r="SFC108" s="4"/>
      <c r="SFD108" s="4"/>
      <c r="SFE108" s="4"/>
      <c r="SFF108" s="4"/>
      <c r="SFG108" s="4"/>
      <c r="SFH108" s="4"/>
      <c r="SFI108" s="4"/>
      <c r="SFJ108" s="4"/>
      <c r="SFK108" s="4"/>
      <c r="SFL108" s="4"/>
      <c r="SFM108" s="4"/>
      <c r="SFN108" s="4"/>
      <c r="SFO108" s="4"/>
      <c r="SFP108" s="4"/>
      <c r="SFQ108" s="4"/>
      <c r="SFR108" s="4"/>
      <c r="SFS108" s="4"/>
      <c r="SFT108" s="4"/>
      <c r="SFU108" s="4"/>
      <c r="SFV108" s="4"/>
      <c r="SFW108" s="4"/>
      <c r="SFX108" s="4"/>
      <c r="SFY108" s="4"/>
      <c r="SFZ108" s="4"/>
      <c r="SGA108" s="4"/>
      <c r="SGB108" s="4"/>
      <c r="SGC108" s="4"/>
      <c r="SGD108" s="4"/>
      <c r="SGE108" s="4"/>
      <c r="SGF108" s="4"/>
      <c r="SGG108" s="4"/>
      <c r="SGH108" s="4"/>
      <c r="SGI108" s="4"/>
      <c r="SGJ108" s="4"/>
      <c r="SGK108" s="4"/>
      <c r="SGL108" s="4"/>
      <c r="SGM108" s="4"/>
      <c r="SGN108" s="4"/>
      <c r="SGO108" s="4"/>
      <c r="SGP108" s="4"/>
      <c r="SGQ108" s="4"/>
      <c r="SGR108" s="4"/>
      <c r="SGS108" s="4"/>
      <c r="SGT108" s="4"/>
      <c r="SGU108" s="4"/>
      <c r="SGV108" s="4"/>
      <c r="SGW108" s="4"/>
      <c r="SGX108" s="4"/>
      <c r="SGY108" s="4"/>
      <c r="SGZ108" s="4"/>
      <c r="SHA108" s="4"/>
      <c r="SHB108" s="4"/>
      <c r="SHC108" s="4"/>
      <c r="SHD108" s="4"/>
      <c r="SHE108" s="4"/>
      <c r="SHF108" s="4"/>
      <c r="SHG108" s="4"/>
      <c r="SHH108" s="4"/>
      <c r="SHI108" s="4"/>
      <c r="SHJ108" s="4"/>
      <c r="SHK108" s="4"/>
      <c r="SHL108" s="4"/>
      <c r="SHM108" s="4"/>
      <c r="SHN108" s="4"/>
      <c r="SHO108" s="4"/>
      <c r="SHP108" s="4"/>
      <c r="SHQ108" s="4"/>
      <c r="SHR108" s="4"/>
      <c r="SHS108" s="4"/>
      <c r="SHT108" s="4"/>
      <c r="SHU108" s="4"/>
      <c r="SHV108" s="4"/>
      <c r="SHW108" s="4"/>
      <c r="SHX108" s="4"/>
      <c r="SHY108" s="4"/>
      <c r="SHZ108" s="4"/>
      <c r="SIA108" s="4"/>
      <c r="SIB108" s="4"/>
      <c r="SIC108" s="4"/>
      <c r="SID108" s="4"/>
      <c r="SIE108" s="4"/>
      <c r="SIF108" s="4"/>
      <c r="SIG108" s="4"/>
      <c r="SIH108" s="4"/>
      <c r="SII108" s="4"/>
      <c r="SIJ108" s="4"/>
      <c r="SIK108" s="4"/>
      <c r="SIL108" s="4"/>
      <c r="SIM108" s="4"/>
      <c r="SIN108" s="4"/>
      <c r="SIO108" s="4"/>
      <c r="SIP108" s="4"/>
      <c r="SIQ108" s="4"/>
      <c r="SIR108" s="4"/>
      <c r="SIS108" s="4"/>
      <c r="SIT108" s="4"/>
      <c r="SIU108" s="4"/>
      <c r="SIV108" s="4"/>
      <c r="SIW108" s="4"/>
      <c r="SIX108" s="4"/>
      <c r="SIY108" s="4"/>
      <c r="SIZ108" s="4"/>
      <c r="SJA108" s="4"/>
      <c r="SJB108" s="4"/>
      <c r="SJC108" s="4"/>
      <c r="SJD108" s="4"/>
      <c r="SJE108" s="4"/>
      <c r="SJF108" s="4"/>
      <c r="SJG108" s="4"/>
      <c r="SJH108" s="4"/>
      <c r="SJI108" s="4"/>
      <c r="SJJ108" s="4"/>
      <c r="SJK108" s="4"/>
      <c r="SJL108" s="4"/>
      <c r="SJM108" s="4"/>
      <c r="SJN108" s="4"/>
      <c r="SJO108" s="4"/>
      <c r="SJP108" s="4"/>
      <c r="SJQ108" s="4"/>
      <c r="SJR108" s="4"/>
      <c r="SJS108" s="4"/>
      <c r="SJT108" s="4"/>
      <c r="SJU108" s="4"/>
      <c r="SJV108" s="4"/>
      <c r="SJW108" s="4"/>
      <c r="SJX108" s="4"/>
      <c r="SJY108" s="4"/>
      <c r="SJZ108" s="4"/>
      <c r="SKA108" s="4"/>
      <c r="SKB108" s="4"/>
      <c r="SKC108" s="4"/>
      <c r="SKD108" s="4"/>
      <c r="SKE108" s="4"/>
      <c r="SKF108" s="4"/>
      <c r="SKG108" s="4"/>
      <c r="SKH108" s="4"/>
      <c r="SKI108" s="4"/>
      <c r="SKJ108" s="4"/>
      <c r="SKK108" s="4"/>
      <c r="SKL108" s="4"/>
      <c r="SKM108" s="4"/>
      <c r="SKN108" s="4"/>
      <c r="SKO108" s="4"/>
      <c r="SKP108" s="4"/>
      <c r="SKQ108" s="4"/>
      <c r="SKR108" s="4"/>
      <c r="SKS108" s="4"/>
      <c r="SKT108" s="4"/>
      <c r="SKU108" s="4"/>
      <c r="SKV108" s="4"/>
      <c r="SKW108" s="4"/>
      <c r="SKX108" s="4"/>
      <c r="SKY108" s="4"/>
      <c r="SKZ108" s="4"/>
      <c r="SLA108" s="4"/>
      <c r="SLB108" s="4"/>
      <c r="SLC108" s="4"/>
      <c r="SLD108" s="4"/>
      <c r="SLE108" s="4"/>
      <c r="SLF108" s="4"/>
      <c r="SLG108" s="4"/>
      <c r="SLH108" s="4"/>
      <c r="SLI108" s="4"/>
      <c r="SLJ108" s="4"/>
      <c r="SLK108" s="4"/>
      <c r="SLL108" s="4"/>
      <c r="SLM108" s="4"/>
      <c r="SLN108" s="4"/>
      <c r="SLO108" s="4"/>
      <c r="SLP108" s="4"/>
      <c r="SLQ108" s="4"/>
      <c r="SLR108" s="4"/>
      <c r="SLS108" s="4"/>
      <c r="SLT108" s="4"/>
      <c r="SLU108" s="4"/>
      <c r="SLV108" s="4"/>
      <c r="SLW108" s="4"/>
      <c r="SLX108" s="4"/>
      <c r="SLY108" s="4"/>
      <c r="SLZ108" s="4"/>
      <c r="SMA108" s="4"/>
      <c r="SMB108" s="4"/>
      <c r="SMC108" s="4"/>
      <c r="SMD108" s="4"/>
      <c r="SME108" s="4"/>
      <c r="SMF108" s="4"/>
      <c r="SMG108" s="4"/>
      <c r="SMH108" s="4"/>
      <c r="SMI108" s="4"/>
      <c r="SMJ108" s="4"/>
      <c r="SMK108" s="4"/>
      <c r="SML108" s="4"/>
      <c r="SMM108" s="4"/>
      <c r="SMN108" s="4"/>
      <c r="SMO108" s="4"/>
      <c r="SMP108" s="4"/>
      <c r="SMQ108" s="4"/>
      <c r="SMR108" s="4"/>
      <c r="SMS108" s="4"/>
      <c r="SMT108" s="4"/>
      <c r="SMU108" s="4"/>
      <c r="SMV108" s="4"/>
      <c r="SMW108" s="4"/>
      <c r="SMX108" s="4"/>
      <c r="SMY108" s="4"/>
      <c r="SMZ108" s="4"/>
      <c r="SNA108" s="4"/>
      <c r="SNB108" s="4"/>
      <c r="SNC108" s="4"/>
      <c r="SND108" s="4"/>
      <c r="SNE108" s="4"/>
      <c r="SNF108" s="4"/>
      <c r="SNG108" s="4"/>
      <c r="SNH108" s="4"/>
      <c r="SNI108" s="4"/>
      <c r="SNJ108" s="4"/>
      <c r="SNK108" s="4"/>
      <c r="SNL108" s="4"/>
      <c r="SNM108" s="4"/>
      <c r="SNN108" s="4"/>
      <c r="SNO108" s="4"/>
      <c r="SNP108" s="4"/>
      <c r="SNQ108" s="4"/>
      <c r="SNR108" s="4"/>
      <c r="SNS108" s="4"/>
      <c r="SNT108" s="4"/>
      <c r="SNU108" s="4"/>
      <c r="SNV108" s="4"/>
      <c r="SNW108" s="4"/>
      <c r="SNX108" s="4"/>
      <c r="SNY108" s="4"/>
      <c r="SNZ108" s="4"/>
      <c r="SOA108" s="4"/>
      <c r="SOB108" s="4"/>
      <c r="SOC108" s="4"/>
      <c r="SOD108" s="4"/>
      <c r="SOE108" s="4"/>
      <c r="SOF108" s="4"/>
      <c r="SOG108" s="4"/>
      <c r="SOH108" s="4"/>
      <c r="SOI108" s="4"/>
      <c r="SOJ108" s="4"/>
      <c r="SOK108" s="4"/>
      <c r="SOL108" s="4"/>
      <c r="SOM108" s="4"/>
      <c r="SON108" s="4"/>
      <c r="SOO108" s="4"/>
      <c r="SOP108" s="4"/>
      <c r="SOQ108" s="4"/>
      <c r="SOR108" s="4"/>
      <c r="SOS108" s="4"/>
      <c r="SOT108" s="4"/>
      <c r="SOU108" s="4"/>
      <c r="SOV108" s="4"/>
      <c r="SOW108" s="4"/>
      <c r="SOX108" s="4"/>
      <c r="SOY108" s="4"/>
      <c r="SOZ108" s="4"/>
      <c r="SPA108" s="4"/>
      <c r="SPB108" s="4"/>
      <c r="SPC108" s="4"/>
      <c r="SPD108" s="4"/>
      <c r="SPE108" s="4"/>
      <c r="SPF108" s="4"/>
      <c r="SPG108" s="4"/>
      <c r="SPH108" s="4"/>
      <c r="SPI108" s="4"/>
      <c r="SPJ108" s="4"/>
      <c r="SPK108" s="4"/>
      <c r="SPL108" s="4"/>
      <c r="SPM108" s="4"/>
      <c r="SPN108" s="4"/>
      <c r="SPO108" s="4"/>
      <c r="SPP108" s="4"/>
      <c r="SPQ108" s="4"/>
      <c r="SPR108" s="4"/>
      <c r="SPS108" s="4"/>
      <c r="SPT108" s="4"/>
      <c r="SPU108" s="4"/>
      <c r="SPV108" s="4"/>
      <c r="SPW108" s="4"/>
      <c r="SPX108" s="4"/>
      <c r="SPY108" s="4"/>
      <c r="SPZ108" s="4"/>
      <c r="SQA108" s="4"/>
      <c r="SQB108" s="4"/>
      <c r="SQC108" s="4"/>
      <c r="SQD108" s="4"/>
      <c r="SQE108" s="4"/>
      <c r="SQF108" s="4"/>
      <c r="SQG108" s="4"/>
      <c r="SQH108" s="4"/>
      <c r="SQI108" s="4"/>
      <c r="SQJ108" s="4"/>
      <c r="SQK108" s="4"/>
      <c r="SQL108" s="4"/>
      <c r="SQM108" s="4"/>
      <c r="SQN108" s="4"/>
      <c r="SQO108" s="4"/>
      <c r="SQP108" s="4"/>
      <c r="SQQ108" s="4"/>
      <c r="SQR108" s="4"/>
      <c r="SQS108" s="4"/>
      <c r="SQT108" s="4"/>
      <c r="SQU108" s="4"/>
      <c r="SQV108" s="4"/>
      <c r="SQW108" s="4"/>
      <c r="SQX108" s="4"/>
      <c r="SQY108" s="4"/>
      <c r="SQZ108" s="4"/>
      <c r="SRA108" s="4"/>
      <c r="SRB108" s="4"/>
      <c r="SRC108" s="4"/>
      <c r="SRD108" s="4"/>
      <c r="SRE108" s="4"/>
      <c r="SRF108" s="4"/>
      <c r="SRG108" s="4"/>
      <c r="SRH108" s="4"/>
      <c r="SRI108" s="4"/>
      <c r="SRJ108" s="4"/>
      <c r="SRK108" s="4"/>
      <c r="SRL108" s="4"/>
      <c r="SRM108" s="4"/>
      <c r="SRN108" s="4"/>
      <c r="SRO108" s="4"/>
      <c r="SRP108" s="4"/>
      <c r="SRQ108" s="4"/>
      <c r="SRR108" s="4"/>
      <c r="SRS108" s="4"/>
      <c r="SRT108" s="4"/>
      <c r="SRU108" s="4"/>
      <c r="SRV108" s="4"/>
      <c r="SRW108" s="4"/>
      <c r="SRX108" s="4"/>
      <c r="SRY108" s="4"/>
      <c r="SRZ108" s="4"/>
      <c r="SSA108" s="4"/>
      <c r="SSB108" s="4"/>
      <c r="SSC108" s="4"/>
      <c r="SSD108" s="4"/>
      <c r="SSE108" s="4"/>
      <c r="SSF108" s="4"/>
      <c r="SSG108" s="4"/>
      <c r="SSH108" s="4"/>
      <c r="SSI108" s="4"/>
      <c r="SSJ108" s="4"/>
      <c r="SSK108" s="4"/>
      <c r="SSL108" s="4"/>
      <c r="SSM108" s="4"/>
      <c r="SSN108" s="4"/>
      <c r="SSO108" s="4"/>
      <c r="SSP108" s="4"/>
      <c r="SSQ108" s="4"/>
      <c r="SSR108" s="4"/>
      <c r="SSS108" s="4"/>
      <c r="SST108" s="4"/>
      <c r="SSU108" s="4"/>
      <c r="SSV108" s="4"/>
      <c r="SSW108" s="4"/>
      <c r="SSX108" s="4"/>
      <c r="SSY108" s="4"/>
      <c r="SSZ108" s="4"/>
      <c r="STA108" s="4"/>
      <c r="STB108" s="4"/>
      <c r="STC108" s="4"/>
      <c r="STD108" s="4"/>
      <c r="STE108" s="4"/>
      <c r="STF108" s="4"/>
      <c r="STG108" s="4"/>
      <c r="STH108" s="4"/>
      <c r="STI108" s="4"/>
      <c r="STJ108" s="4"/>
      <c r="STK108" s="4"/>
      <c r="STL108" s="4"/>
      <c r="STM108" s="4"/>
      <c r="STN108" s="4"/>
      <c r="STO108" s="4"/>
      <c r="STP108" s="4"/>
      <c r="STQ108" s="4"/>
      <c r="STR108" s="4"/>
      <c r="STS108" s="4"/>
      <c r="STT108" s="4"/>
      <c r="STU108" s="4"/>
      <c r="STV108" s="4"/>
      <c r="STW108" s="4"/>
      <c r="STX108" s="4"/>
      <c r="STY108" s="4"/>
      <c r="STZ108" s="4"/>
      <c r="SUA108" s="4"/>
      <c r="SUB108" s="4"/>
      <c r="SUC108" s="4"/>
      <c r="SUD108" s="4"/>
      <c r="SUE108" s="4"/>
      <c r="SUF108" s="4"/>
      <c r="SUG108" s="4"/>
      <c r="SUH108" s="4"/>
      <c r="SUI108" s="4"/>
      <c r="SUJ108" s="4"/>
      <c r="SUK108" s="4"/>
      <c r="SUL108" s="4"/>
      <c r="SUM108" s="4"/>
      <c r="SUN108" s="4"/>
      <c r="SUO108" s="4"/>
      <c r="SUP108" s="4"/>
      <c r="SUQ108" s="4"/>
      <c r="SUR108" s="4"/>
      <c r="SUS108" s="4"/>
      <c r="SUT108" s="4"/>
      <c r="SUU108" s="4"/>
      <c r="SUV108" s="4"/>
      <c r="SUW108" s="4"/>
      <c r="SUX108" s="4"/>
      <c r="SUY108" s="4"/>
      <c r="SUZ108" s="4"/>
      <c r="SVA108" s="4"/>
      <c r="SVB108" s="4"/>
      <c r="SVC108" s="4"/>
      <c r="SVD108" s="4"/>
      <c r="SVE108" s="4"/>
      <c r="SVF108" s="4"/>
      <c r="SVG108" s="4"/>
      <c r="SVH108" s="4"/>
      <c r="SVI108" s="4"/>
      <c r="SVJ108" s="4"/>
      <c r="SVK108" s="4"/>
      <c r="SVL108" s="4"/>
      <c r="SVM108" s="4"/>
      <c r="SVN108" s="4"/>
      <c r="SVO108" s="4"/>
      <c r="SVP108" s="4"/>
      <c r="SVQ108" s="4"/>
      <c r="SVR108" s="4"/>
      <c r="SVS108" s="4"/>
      <c r="SVT108" s="4"/>
      <c r="SVU108" s="4"/>
      <c r="SVV108" s="4"/>
      <c r="SVW108" s="4"/>
      <c r="SVX108" s="4"/>
      <c r="SVY108" s="4"/>
      <c r="SVZ108" s="4"/>
      <c r="SWA108" s="4"/>
      <c r="SWB108" s="4"/>
      <c r="SWC108" s="4"/>
      <c r="SWD108" s="4"/>
      <c r="SWE108" s="4"/>
      <c r="SWF108" s="4"/>
      <c r="SWG108" s="4"/>
      <c r="SWH108" s="4"/>
      <c r="SWI108" s="4"/>
      <c r="SWJ108" s="4"/>
      <c r="SWK108" s="4"/>
      <c r="SWL108" s="4"/>
      <c r="SWM108" s="4"/>
      <c r="SWN108" s="4"/>
      <c r="SWO108" s="4"/>
      <c r="SWP108" s="4"/>
      <c r="SWQ108" s="4"/>
      <c r="SWR108" s="4"/>
      <c r="SWS108" s="4"/>
      <c r="SWT108" s="4"/>
      <c r="SWU108" s="4"/>
      <c r="SWV108" s="4"/>
      <c r="SWW108" s="4"/>
      <c r="SWX108" s="4"/>
      <c r="SWY108" s="4"/>
      <c r="SWZ108" s="4"/>
      <c r="SXA108" s="4"/>
      <c r="SXB108" s="4"/>
      <c r="SXC108" s="4"/>
      <c r="SXD108" s="4"/>
      <c r="SXE108" s="4"/>
      <c r="SXF108" s="4"/>
      <c r="SXG108" s="4"/>
      <c r="SXH108" s="4"/>
      <c r="SXI108" s="4"/>
      <c r="SXJ108" s="4"/>
      <c r="SXK108" s="4"/>
      <c r="SXL108" s="4"/>
      <c r="SXM108" s="4"/>
      <c r="SXN108" s="4"/>
      <c r="SXO108" s="4"/>
      <c r="SXP108" s="4"/>
      <c r="SXQ108" s="4"/>
      <c r="SXR108" s="4"/>
      <c r="SXS108" s="4"/>
      <c r="SXT108" s="4"/>
      <c r="SXU108" s="4"/>
      <c r="SXV108" s="4"/>
      <c r="SXW108" s="4"/>
      <c r="SXX108" s="4"/>
      <c r="SXY108" s="4"/>
      <c r="SXZ108" s="4"/>
      <c r="SYA108" s="4"/>
      <c r="SYB108" s="4"/>
      <c r="SYC108" s="4"/>
      <c r="SYD108" s="4"/>
      <c r="SYE108" s="4"/>
      <c r="SYF108" s="4"/>
      <c r="SYG108" s="4"/>
      <c r="SYH108" s="4"/>
      <c r="SYI108" s="4"/>
      <c r="SYJ108" s="4"/>
      <c r="SYK108" s="4"/>
      <c r="SYL108" s="4"/>
      <c r="SYM108" s="4"/>
      <c r="SYN108" s="4"/>
      <c r="SYO108" s="4"/>
      <c r="SYP108" s="4"/>
      <c r="SYQ108" s="4"/>
      <c r="SYR108" s="4"/>
      <c r="SYS108" s="4"/>
      <c r="SYT108" s="4"/>
      <c r="SYU108" s="4"/>
      <c r="SYV108" s="4"/>
      <c r="SYW108" s="4"/>
      <c r="SYX108" s="4"/>
      <c r="SYY108" s="4"/>
      <c r="SYZ108" s="4"/>
      <c r="SZA108" s="4"/>
      <c r="SZB108" s="4"/>
      <c r="SZC108" s="4"/>
      <c r="SZD108" s="4"/>
      <c r="SZE108" s="4"/>
      <c r="SZF108" s="4"/>
      <c r="SZG108" s="4"/>
      <c r="SZH108" s="4"/>
      <c r="SZI108" s="4"/>
      <c r="SZJ108" s="4"/>
      <c r="SZK108" s="4"/>
      <c r="SZL108" s="4"/>
      <c r="SZM108" s="4"/>
      <c r="SZN108" s="4"/>
      <c r="SZO108" s="4"/>
      <c r="SZP108" s="4"/>
      <c r="SZQ108" s="4"/>
      <c r="SZR108" s="4"/>
      <c r="SZS108" s="4"/>
      <c r="SZT108" s="4"/>
      <c r="SZU108" s="4"/>
      <c r="SZV108" s="4"/>
      <c r="SZW108" s="4"/>
      <c r="SZX108" s="4"/>
      <c r="SZY108" s="4"/>
      <c r="SZZ108" s="4"/>
      <c r="TAA108" s="4"/>
      <c r="TAB108" s="4"/>
      <c r="TAC108" s="4"/>
      <c r="TAD108" s="4"/>
      <c r="TAE108" s="4"/>
      <c r="TAF108" s="4"/>
      <c r="TAG108" s="4"/>
      <c r="TAH108" s="4"/>
      <c r="TAI108" s="4"/>
      <c r="TAJ108" s="4"/>
      <c r="TAK108" s="4"/>
      <c r="TAL108" s="4"/>
      <c r="TAM108" s="4"/>
      <c r="TAN108" s="4"/>
      <c r="TAO108" s="4"/>
      <c r="TAP108" s="4"/>
      <c r="TAQ108" s="4"/>
      <c r="TAR108" s="4"/>
      <c r="TAS108" s="4"/>
      <c r="TAT108" s="4"/>
      <c r="TAU108" s="4"/>
      <c r="TAV108" s="4"/>
      <c r="TAW108" s="4"/>
      <c r="TAX108" s="4"/>
      <c r="TAY108" s="4"/>
      <c r="TAZ108" s="4"/>
      <c r="TBA108" s="4"/>
      <c r="TBB108" s="4"/>
      <c r="TBC108" s="4"/>
      <c r="TBD108" s="4"/>
      <c r="TBE108" s="4"/>
      <c r="TBF108" s="4"/>
      <c r="TBG108" s="4"/>
      <c r="TBH108" s="4"/>
      <c r="TBI108" s="4"/>
      <c r="TBJ108" s="4"/>
      <c r="TBK108" s="4"/>
      <c r="TBL108" s="4"/>
      <c r="TBM108" s="4"/>
      <c r="TBN108" s="4"/>
      <c r="TBO108" s="4"/>
      <c r="TBP108" s="4"/>
      <c r="TBQ108" s="4"/>
      <c r="TBR108" s="4"/>
      <c r="TBS108" s="4"/>
      <c r="TBT108" s="4"/>
      <c r="TBU108" s="4"/>
      <c r="TBV108" s="4"/>
      <c r="TBW108" s="4"/>
      <c r="TBX108" s="4"/>
      <c r="TBY108" s="4"/>
      <c r="TBZ108" s="4"/>
      <c r="TCA108" s="4"/>
      <c r="TCB108" s="4"/>
      <c r="TCC108" s="4"/>
      <c r="TCD108" s="4"/>
      <c r="TCE108" s="4"/>
      <c r="TCF108" s="4"/>
      <c r="TCG108" s="4"/>
      <c r="TCH108" s="4"/>
      <c r="TCI108" s="4"/>
      <c r="TCJ108" s="4"/>
      <c r="TCK108" s="4"/>
      <c r="TCL108" s="4"/>
      <c r="TCM108" s="4"/>
      <c r="TCN108" s="4"/>
      <c r="TCO108" s="4"/>
      <c r="TCP108" s="4"/>
      <c r="TCQ108" s="4"/>
      <c r="TCR108" s="4"/>
      <c r="TCS108" s="4"/>
      <c r="TCT108" s="4"/>
      <c r="TCU108" s="4"/>
      <c r="TCV108" s="4"/>
      <c r="TCW108" s="4"/>
      <c r="TCX108" s="4"/>
      <c r="TCY108" s="4"/>
      <c r="TCZ108" s="4"/>
      <c r="TDA108" s="4"/>
      <c r="TDB108" s="4"/>
      <c r="TDC108" s="4"/>
      <c r="TDD108" s="4"/>
      <c r="TDE108" s="4"/>
      <c r="TDF108" s="4"/>
      <c r="TDG108" s="4"/>
      <c r="TDH108" s="4"/>
      <c r="TDI108" s="4"/>
      <c r="TDJ108" s="4"/>
      <c r="TDK108" s="4"/>
      <c r="TDL108" s="4"/>
      <c r="TDM108" s="4"/>
      <c r="TDN108" s="4"/>
      <c r="TDO108" s="4"/>
      <c r="TDP108" s="4"/>
      <c r="TDQ108" s="4"/>
      <c r="TDR108" s="4"/>
      <c r="TDS108" s="4"/>
      <c r="TDT108" s="4"/>
      <c r="TDU108" s="4"/>
      <c r="TDV108" s="4"/>
      <c r="TDW108" s="4"/>
      <c r="TDX108" s="4"/>
      <c r="TDY108" s="4"/>
      <c r="TDZ108" s="4"/>
      <c r="TEA108" s="4"/>
      <c r="TEB108" s="4"/>
      <c r="TEC108" s="4"/>
      <c r="TED108" s="4"/>
      <c r="TEE108" s="4"/>
      <c r="TEF108" s="4"/>
      <c r="TEG108" s="4"/>
      <c r="TEH108" s="4"/>
      <c r="TEI108" s="4"/>
      <c r="TEJ108" s="4"/>
      <c r="TEK108" s="4"/>
      <c r="TEL108" s="4"/>
      <c r="TEM108" s="4"/>
      <c r="TEN108" s="4"/>
      <c r="TEO108" s="4"/>
      <c r="TEP108" s="4"/>
      <c r="TEQ108" s="4"/>
      <c r="TER108" s="4"/>
      <c r="TES108" s="4"/>
      <c r="TET108" s="4"/>
      <c r="TEU108" s="4"/>
      <c r="TEV108" s="4"/>
      <c r="TEW108" s="4"/>
      <c r="TEX108" s="4"/>
      <c r="TEY108" s="4"/>
      <c r="TEZ108" s="4"/>
      <c r="TFA108" s="4"/>
      <c r="TFB108" s="4"/>
      <c r="TFC108" s="4"/>
      <c r="TFD108" s="4"/>
      <c r="TFE108" s="4"/>
      <c r="TFF108" s="4"/>
      <c r="TFG108" s="4"/>
      <c r="TFH108" s="4"/>
      <c r="TFI108" s="4"/>
      <c r="TFJ108" s="4"/>
      <c r="TFK108" s="4"/>
      <c r="TFL108" s="4"/>
      <c r="TFM108" s="4"/>
      <c r="TFN108" s="4"/>
      <c r="TFO108" s="4"/>
      <c r="TFP108" s="4"/>
      <c r="TFQ108" s="4"/>
      <c r="TFR108" s="4"/>
      <c r="TFS108" s="4"/>
      <c r="TFT108" s="4"/>
      <c r="TFU108" s="4"/>
      <c r="TFV108" s="4"/>
      <c r="TFW108" s="4"/>
      <c r="TFX108" s="4"/>
      <c r="TFY108" s="4"/>
      <c r="TFZ108" s="4"/>
      <c r="TGA108" s="4"/>
      <c r="TGB108" s="4"/>
      <c r="TGC108" s="4"/>
      <c r="TGD108" s="4"/>
      <c r="TGE108" s="4"/>
      <c r="TGF108" s="4"/>
      <c r="TGG108" s="4"/>
      <c r="TGH108" s="4"/>
      <c r="TGI108" s="4"/>
      <c r="TGJ108" s="4"/>
      <c r="TGK108" s="4"/>
      <c r="TGL108" s="4"/>
      <c r="TGM108" s="4"/>
      <c r="TGN108" s="4"/>
      <c r="TGO108" s="4"/>
      <c r="TGP108" s="4"/>
      <c r="TGQ108" s="4"/>
      <c r="TGR108" s="4"/>
      <c r="TGS108" s="4"/>
      <c r="TGT108" s="4"/>
      <c r="TGU108" s="4"/>
      <c r="TGV108" s="4"/>
      <c r="TGW108" s="4"/>
      <c r="TGX108" s="4"/>
      <c r="TGY108" s="4"/>
      <c r="TGZ108" s="4"/>
      <c r="THA108" s="4"/>
      <c r="THB108" s="4"/>
      <c r="THC108" s="4"/>
      <c r="THD108" s="4"/>
      <c r="THE108" s="4"/>
      <c r="THF108" s="4"/>
      <c r="THG108" s="4"/>
      <c r="THH108" s="4"/>
      <c r="THI108" s="4"/>
      <c r="THJ108" s="4"/>
      <c r="THK108" s="4"/>
      <c r="THL108" s="4"/>
      <c r="THM108" s="4"/>
      <c r="THN108" s="4"/>
      <c r="THO108" s="4"/>
      <c r="THP108" s="4"/>
      <c r="THQ108" s="4"/>
      <c r="THR108" s="4"/>
      <c r="THS108" s="4"/>
      <c r="THT108" s="4"/>
      <c r="THU108" s="4"/>
      <c r="THV108" s="4"/>
      <c r="THW108" s="4"/>
      <c r="THX108" s="4"/>
      <c r="THY108" s="4"/>
      <c r="THZ108" s="4"/>
      <c r="TIA108" s="4"/>
      <c r="TIB108" s="4"/>
      <c r="TIC108" s="4"/>
      <c r="TID108" s="4"/>
      <c r="TIE108" s="4"/>
      <c r="TIF108" s="4"/>
      <c r="TIG108" s="4"/>
      <c r="TIH108" s="4"/>
      <c r="TII108" s="4"/>
      <c r="TIJ108" s="4"/>
      <c r="TIK108" s="4"/>
      <c r="TIL108" s="4"/>
      <c r="TIM108" s="4"/>
      <c r="TIN108" s="4"/>
      <c r="TIO108" s="4"/>
      <c r="TIP108" s="4"/>
      <c r="TIQ108" s="4"/>
      <c r="TIR108" s="4"/>
      <c r="TIS108" s="4"/>
      <c r="TIT108" s="4"/>
      <c r="TIU108" s="4"/>
      <c r="TIV108" s="4"/>
      <c r="TIW108" s="4"/>
      <c r="TIX108" s="4"/>
      <c r="TIY108" s="4"/>
      <c r="TIZ108" s="4"/>
      <c r="TJA108" s="4"/>
      <c r="TJB108" s="4"/>
      <c r="TJC108" s="4"/>
      <c r="TJD108" s="4"/>
      <c r="TJE108" s="4"/>
      <c r="TJF108" s="4"/>
      <c r="TJG108" s="4"/>
      <c r="TJH108" s="4"/>
      <c r="TJI108" s="4"/>
      <c r="TJJ108" s="4"/>
      <c r="TJK108" s="4"/>
      <c r="TJL108" s="4"/>
      <c r="TJM108" s="4"/>
      <c r="TJN108" s="4"/>
      <c r="TJO108" s="4"/>
      <c r="TJP108" s="4"/>
      <c r="TJQ108" s="4"/>
      <c r="TJR108" s="4"/>
      <c r="TJS108" s="4"/>
      <c r="TJT108" s="4"/>
      <c r="TJU108" s="4"/>
      <c r="TJV108" s="4"/>
      <c r="TJW108" s="4"/>
      <c r="TJX108" s="4"/>
      <c r="TJY108" s="4"/>
      <c r="TJZ108" s="4"/>
      <c r="TKA108" s="4"/>
      <c r="TKB108" s="4"/>
      <c r="TKC108" s="4"/>
      <c r="TKD108" s="4"/>
      <c r="TKE108" s="4"/>
      <c r="TKF108" s="4"/>
      <c r="TKG108" s="4"/>
      <c r="TKH108" s="4"/>
      <c r="TKI108" s="4"/>
      <c r="TKJ108" s="4"/>
      <c r="TKK108" s="4"/>
      <c r="TKL108" s="4"/>
      <c r="TKM108" s="4"/>
      <c r="TKN108" s="4"/>
      <c r="TKO108" s="4"/>
      <c r="TKP108" s="4"/>
      <c r="TKQ108" s="4"/>
      <c r="TKR108" s="4"/>
      <c r="TKS108" s="4"/>
      <c r="TKT108" s="4"/>
      <c r="TKU108" s="4"/>
      <c r="TKV108" s="4"/>
      <c r="TKW108" s="4"/>
      <c r="TKX108" s="4"/>
      <c r="TKY108" s="4"/>
      <c r="TKZ108" s="4"/>
      <c r="TLA108" s="4"/>
      <c r="TLB108" s="4"/>
      <c r="TLC108" s="4"/>
      <c r="TLD108" s="4"/>
      <c r="TLE108" s="4"/>
      <c r="TLF108" s="4"/>
      <c r="TLG108" s="4"/>
      <c r="TLH108" s="4"/>
      <c r="TLI108" s="4"/>
      <c r="TLJ108" s="4"/>
      <c r="TLK108" s="4"/>
      <c r="TLL108" s="4"/>
      <c r="TLM108" s="4"/>
      <c r="TLN108" s="4"/>
      <c r="TLO108" s="4"/>
      <c r="TLP108" s="4"/>
      <c r="TLQ108" s="4"/>
      <c r="TLR108" s="4"/>
      <c r="TLS108" s="4"/>
      <c r="TLT108" s="4"/>
      <c r="TLU108" s="4"/>
      <c r="TLV108" s="4"/>
      <c r="TLW108" s="4"/>
      <c r="TLX108" s="4"/>
      <c r="TLY108" s="4"/>
      <c r="TLZ108" s="4"/>
      <c r="TMA108" s="4"/>
      <c r="TMB108" s="4"/>
      <c r="TMC108" s="4"/>
      <c r="TMD108" s="4"/>
      <c r="TME108" s="4"/>
      <c r="TMF108" s="4"/>
      <c r="TMG108" s="4"/>
      <c r="TMH108" s="4"/>
      <c r="TMI108" s="4"/>
      <c r="TMJ108" s="4"/>
      <c r="TMK108" s="4"/>
      <c r="TML108" s="4"/>
      <c r="TMM108" s="4"/>
      <c r="TMN108" s="4"/>
      <c r="TMO108" s="4"/>
      <c r="TMP108" s="4"/>
      <c r="TMQ108" s="4"/>
      <c r="TMR108" s="4"/>
      <c r="TMS108" s="4"/>
      <c r="TMT108" s="4"/>
      <c r="TMU108" s="4"/>
      <c r="TMV108" s="4"/>
      <c r="TMW108" s="4"/>
      <c r="TMX108" s="4"/>
      <c r="TMY108" s="4"/>
      <c r="TMZ108" s="4"/>
      <c r="TNA108" s="4"/>
      <c r="TNB108" s="4"/>
      <c r="TNC108" s="4"/>
      <c r="TND108" s="4"/>
      <c r="TNE108" s="4"/>
      <c r="TNF108" s="4"/>
      <c r="TNG108" s="4"/>
      <c r="TNH108" s="4"/>
      <c r="TNI108" s="4"/>
      <c r="TNJ108" s="4"/>
      <c r="TNK108" s="4"/>
      <c r="TNL108" s="4"/>
      <c r="TNM108" s="4"/>
      <c r="TNN108" s="4"/>
      <c r="TNO108" s="4"/>
      <c r="TNP108" s="4"/>
      <c r="TNQ108" s="4"/>
      <c r="TNR108" s="4"/>
      <c r="TNS108" s="4"/>
      <c r="TNT108" s="4"/>
      <c r="TNU108" s="4"/>
      <c r="TNV108" s="4"/>
      <c r="TNW108" s="4"/>
      <c r="TNX108" s="4"/>
      <c r="TNY108" s="4"/>
      <c r="TNZ108" s="4"/>
      <c r="TOA108" s="4"/>
      <c r="TOB108" s="4"/>
      <c r="TOC108" s="4"/>
      <c r="TOD108" s="4"/>
      <c r="TOE108" s="4"/>
      <c r="TOF108" s="4"/>
      <c r="TOG108" s="4"/>
      <c r="TOH108" s="4"/>
      <c r="TOI108" s="4"/>
      <c r="TOJ108" s="4"/>
      <c r="TOK108" s="4"/>
      <c r="TOL108" s="4"/>
      <c r="TOM108" s="4"/>
      <c r="TON108" s="4"/>
      <c r="TOO108" s="4"/>
      <c r="TOP108" s="4"/>
      <c r="TOQ108" s="4"/>
      <c r="TOR108" s="4"/>
      <c r="TOS108" s="4"/>
      <c r="TOT108" s="4"/>
      <c r="TOU108" s="4"/>
      <c r="TOV108" s="4"/>
      <c r="TOW108" s="4"/>
      <c r="TOX108" s="4"/>
      <c r="TOY108" s="4"/>
      <c r="TOZ108" s="4"/>
      <c r="TPA108" s="4"/>
      <c r="TPB108" s="4"/>
      <c r="TPC108" s="4"/>
      <c r="TPD108" s="4"/>
      <c r="TPE108" s="4"/>
      <c r="TPF108" s="4"/>
      <c r="TPG108" s="4"/>
      <c r="TPH108" s="4"/>
      <c r="TPI108" s="4"/>
      <c r="TPJ108" s="4"/>
      <c r="TPK108" s="4"/>
      <c r="TPL108" s="4"/>
      <c r="TPM108" s="4"/>
      <c r="TPN108" s="4"/>
      <c r="TPO108" s="4"/>
      <c r="TPP108" s="4"/>
      <c r="TPQ108" s="4"/>
      <c r="TPR108" s="4"/>
      <c r="TPS108" s="4"/>
      <c r="TPT108" s="4"/>
      <c r="TPU108" s="4"/>
      <c r="TPV108" s="4"/>
      <c r="TPW108" s="4"/>
      <c r="TPX108" s="4"/>
      <c r="TPY108" s="4"/>
      <c r="TPZ108" s="4"/>
      <c r="TQA108" s="4"/>
      <c r="TQB108" s="4"/>
      <c r="TQC108" s="4"/>
      <c r="TQD108" s="4"/>
      <c r="TQE108" s="4"/>
      <c r="TQF108" s="4"/>
      <c r="TQG108" s="4"/>
      <c r="TQH108" s="4"/>
      <c r="TQI108" s="4"/>
      <c r="TQJ108" s="4"/>
      <c r="TQK108" s="4"/>
      <c r="TQL108" s="4"/>
      <c r="TQM108" s="4"/>
      <c r="TQN108" s="4"/>
      <c r="TQO108" s="4"/>
      <c r="TQP108" s="4"/>
      <c r="TQQ108" s="4"/>
      <c r="TQR108" s="4"/>
      <c r="TQS108" s="4"/>
      <c r="TQT108" s="4"/>
      <c r="TQU108" s="4"/>
      <c r="TQV108" s="4"/>
      <c r="TQW108" s="4"/>
      <c r="TQX108" s="4"/>
      <c r="TQY108" s="4"/>
      <c r="TQZ108" s="4"/>
      <c r="TRA108" s="4"/>
      <c r="TRB108" s="4"/>
      <c r="TRC108" s="4"/>
      <c r="TRD108" s="4"/>
      <c r="TRE108" s="4"/>
      <c r="TRF108" s="4"/>
      <c r="TRG108" s="4"/>
      <c r="TRH108" s="4"/>
      <c r="TRI108" s="4"/>
      <c r="TRJ108" s="4"/>
      <c r="TRK108" s="4"/>
      <c r="TRL108" s="4"/>
      <c r="TRM108" s="4"/>
      <c r="TRN108" s="4"/>
      <c r="TRO108" s="4"/>
      <c r="TRP108" s="4"/>
      <c r="TRQ108" s="4"/>
      <c r="TRR108" s="4"/>
      <c r="TRS108" s="4"/>
      <c r="TRT108" s="4"/>
      <c r="TRU108" s="4"/>
      <c r="TRV108" s="4"/>
      <c r="TRW108" s="4"/>
      <c r="TRX108" s="4"/>
      <c r="TRY108" s="4"/>
      <c r="TRZ108" s="4"/>
      <c r="TSA108" s="4"/>
      <c r="TSB108" s="4"/>
      <c r="TSC108" s="4"/>
      <c r="TSD108" s="4"/>
      <c r="TSE108" s="4"/>
      <c r="TSF108" s="4"/>
      <c r="TSG108" s="4"/>
      <c r="TSH108" s="4"/>
      <c r="TSI108" s="4"/>
      <c r="TSJ108" s="4"/>
      <c r="TSK108" s="4"/>
      <c r="TSL108" s="4"/>
      <c r="TSM108" s="4"/>
      <c r="TSN108" s="4"/>
      <c r="TSO108" s="4"/>
      <c r="TSP108" s="4"/>
      <c r="TSQ108" s="4"/>
      <c r="TSR108" s="4"/>
      <c r="TSS108" s="4"/>
      <c r="TST108" s="4"/>
      <c r="TSU108" s="4"/>
      <c r="TSV108" s="4"/>
      <c r="TSW108" s="4"/>
      <c r="TSX108" s="4"/>
      <c r="TSY108" s="4"/>
      <c r="TSZ108" s="4"/>
      <c r="TTA108" s="4"/>
      <c r="TTB108" s="4"/>
      <c r="TTC108" s="4"/>
      <c r="TTD108" s="4"/>
      <c r="TTE108" s="4"/>
      <c r="TTF108" s="4"/>
      <c r="TTG108" s="4"/>
      <c r="TTH108" s="4"/>
      <c r="TTI108" s="4"/>
      <c r="TTJ108" s="4"/>
      <c r="TTK108" s="4"/>
      <c r="TTL108" s="4"/>
      <c r="TTM108" s="4"/>
      <c r="TTN108" s="4"/>
      <c r="TTO108" s="4"/>
      <c r="TTP108" s="4"/>
      <c r="TTQ108" s="4"/>
      <c r="TTR108" s="4"/>
      <c r="TTS108" s="4"/>
      <c r="TTT108" s="4"/>
      <c r="TTU108" s="4"/>
      <c r="TTV108" s="4"/>
      <c r="TTW108" s="4"/>
      <c r="TTX108" s="4"/>
      <c r="TTY108" s="4"/>
      <c r="TTZ108" s="4"/>
      <c r="TUA108" s="4"/>
      <c r="TUB108" s="4"/>
      <c r="TUC108" s="4"/>
      <c r="TUD108" s="4"/>
      <c r="TUE108" s="4"/>
      <c r="TUF108" s="4"/>
      <c r="TUG108" s="4"/>
      <c r="TUH108" s="4"/>
      <c r="TUI108" s="4"/>
      <c r="TUJ108" s="4"/>
      <c r="TUK108" s="4"/>
      <c r="TUL108" s="4"/>
      <c r="TUM108" s="4"/>
      <c r="TUN108" s="4"/>
      <c r="TUO108" s="4"/>
      <c r="TUP108" s="4"/>
      <c r="TUQ108" s="4"/>
      <c r="TUR108" s="4"/>
      <c r="TUS108" s="4"/>
      <c r="TUT108" s="4"/>
      <c r="TUU108" s="4"/>
      <c r="TUV108" s="4"/>
      <c r="TUW108" s="4"/>
      <c r="TUX108" s="4"/>
      <c r="TUY108" s="4"/>
      <c r="TUZ108" s="4"/>
      <c r="TVA108" s="4"/>
      <c r="TVB108" s="4"/>
      <c r="TVC108" s="4"/>
      <c r="TVD108" s="4"/>
      <c r="TVE108" s="4"/>
      <c r="TVF108" s="4"/>
      <c r="TVG108" s="4"/>
      <c r="TVH108" s="4"/>
      <c r="TVI108" s="4"/>
      <c r="TVJ108" s="4"/>
      <c r="TVK108" s="4"/>
      <c r="TVL108" s="4"/>
      <c r="TVM108" s="4"/>
      <c r="TVN108" s="4"/>
      <c r="TVO108" s="4"/>
      <c r="TVP108" s="4"/>
      <c r="TVQ108" s="4"/>
      <c r="TVR108" s="4"/>
      <c r="TVS108" s="4"/>
      <c r="TVT108" s="4"/>
      <c r="TVU108" s="4"/>
      <c r="TVV108" s="4"/>
      <c r="TVW108" s="4"/>
      <c r="TVX108" s="4"/>
      <c r="TVY108" s="4"/>
      <c r="TVZ108" s="4"/>
      <c r="TWA108" s="4"/>
      <c r="TWB108" s="4"/>
      <c r="TWC108" s="4"/>
      <c r="TWD108" s="4"/>
      <c r="TWE108" s="4"/>
      <c r="TWF108" s="4"/>
      <c r="TWG108" s="4"/>
      <c r="TWH108" s="4"/>
      <c r="TWI108" s="4"/>
      <c r="TWJ108" s="4"/>
      <c r="TWK108" s="4"/>
      <c r="TWL108" s="4"/>
      <c r="TWM108" s="4"/>
      <c r="TWN108" s="4"/>
      <c r="TWO108" s="4"/>
      <c r="TWP108" s="4"/>
      <c r="TWQ108" s="4"/>
      <c r="TWR108" s="4"/>
      <c r="TWS108" s="4"/>
      <c r="TWT108" s="4"/>
      <c r="TWU108" s="4"/>
      <c r="TWV108" s="4"/>
      <c r="TWW108" s="4"/>
      <c r="TWX108" s="4"/>
      <c r="TWY108" s="4"/>
      <c r="TWZ108" s="4"/>
      <c r="TXA108" s="4"/>
      <c r="TXB108" s="4"/>
      <c r="TXC108" s="4"/>
      <c r="TXD108" s="4"/>
      <c r="TXE108" s="4"/>
      <c r="TXF108" s="4"/>
      <c r="TXG108" s="4"/>
      <c r="TXH108" s="4"/>
      <c r="TXI108" s="4"/>
      <c r="TXJ108" s="4"/>
      <c r="TXK108" s="4"/>
      <c r="TXL108" s="4"/>
      <c r="TXM108" s="4"/>
      <c r="TXN108" s="4"/>
      <c r="TXO108" s="4"/>
      <c r="TXP108" s="4"/>
      <c r="TXQ108" s="4"/>
      <c r="TXR108" s="4"/>
      <c r="TXS108" s="4"/>
      <c r="TXT108" s="4"/>
      <c r="TXU108" s="4"/>
      <c r="TXV108" s="4"/>
      <c r="TXW108" s="4"/>
      <c r="TXX108" s="4"/>
      <c r="TXY108" s="4"/>
      <c r="TXZ108" s="4"/>
      <c r="TYA108" s="4"/>
      <c r="TYB108" s="4"/>
      <c r="TYC108" s="4"/>
      <c r="TYD108" s="4"/>
      <c r="TYE108" s="4"/>
      <c r="TYF108" s="4"/>
      <c r="TYG108" s="4"/>
      <c r="TYH108" s="4"/>
      <c r="TYI108" s="4"/>
      <c r="TYJ108" s="4"/>
      <c r="TYK108" s="4"/>
      <c r="TYL108" s="4"/>
      <c r="TYM108" s="4"/>
      <c r="TYN108" s="4"/>
      <c r="TYO108" s="4"/>
      <c r="TYP108" s="4"/>
      <c r="TYQ108" s="4"/>
      <c r="TYR108" s="4"/>
      <c r="TYS108" s="4"/>
      <c r="TYT108" s="4"/>
      <c r="TYU108" s="4"/>
      <c r="TYV108" s="4"/>
      <c r="TYW108" s="4"/>
      <c r="TYX108" s="4"/>
      <c r="TYY108" s="4"/>
      <c r="TYZ108" s="4"/>
      <c r="TZA108" s="4"/>
      <c r="TZB108" s="4"/>
      <c r="TZC108" s="4"/>
      <c r="TZD108" s="4"/>
      <c r="TZE108" s="4"/>
      <c r="TZF108" s="4"/>
      <c r="TZG108" s="4"/>
      <c r="TZH108" s="4"/>
      <c r="TZI108" s="4"/>
      <c r="TZJ108" s="4"/>
      <c r="TZK108" s="4"/>
      <c r="TZL108" s="4"/>
      <c r="TZM108" s="4"/>
      <c r="TZN108" s="4"/>
      <c r="TZO108" s="4"/>
      <c r="TZP108" s="4"/>
      <c r="TZQ108" s="4"/>
      <c r="TZR108" s="4"/>
      <c r="TZS108" s="4"/>
      <c r="TZT108" s="4"/>
      <c r="TZU108" s="4"/>
      <c r="TZV108" s="4"/>
      <c r="TZW108" s="4"/>
      <c r="TZX108" s="4"/>
      <c r="TZY108" s="4"/>
      <c r="TZZ108" s="4"/>
      <c r="UAA108" s="4"/>
      <c r="UAB108" s="4"/>
      <c r="UAC108" s="4"/>
      <c r="UAD108" s="4"/>
      <c r="UAE108" s="4"/>
      <c r="UAF108" s="4"/>
      <c r="UAG108" s="4"/>
      <c r="UAH108" s="4"/>
      <c r="UAI108" s="4"/>
      <c r="UAJ108" s="4"/>
      <c r="UAK108" s="4"/>
      <c r="UAL108" s="4"/>
      <c r="UAM108" s="4"/>
      <c r="UAN108" s="4"/>
      <c r="UAO108" s="4"/>
      <c r="UAP108" s="4"/>
      <c r="UAQ108" s="4"/>
      <c r="UAR108" s="4"/>
      <c r="UAS108" s="4"/>
      <c r="UAT108" s="4"/>
      <c r="UAU108" s="4"/>
      <c r="UAV108" s="4"/>
      <c r="UAW108" s="4"/>
      <c r="UAX108" s="4"/>
      <c r="UAY108" s="4"/>
      <c r="UAZ108" s="4"/>
      <c r="UBA108" s="4"/>
      <c r="UBB108" s="4"/>
      <c r="UBC108" s="4"/>
      <c r="UBD108" s="4"/>
      <c r="UBE108" s="4"/>
      <c r="UBF108" s="4"/>
      <c r="UBG108" s="4"/>
      <c r="UBH108" s="4"/>
      <c r="UBI108" s="4"/>
      <c r="UBJ108" s="4"/>
      <c r="UBK108" s="4"/>
      <c r="UBL108" s="4"/>
      <c r="UBM108" s="4"/>
      <c r="UBN108" s="4"/>
      <c r="UBO108" s="4"/>
      <c r="UBP108" s="4"/>
      <c r="UBQ108" s="4"/>
      <c r="UBR108" s="4"/>
      <c r="UBS108" s="4"/>
      <c r="UBT108" s="4"/>
      <c r="UBU108" s="4"/>
      <c r="UBV108" s="4"/>
      <c r="UBW108" s="4"/>
      <c r="UBX108" s="4"/>
      <c r="UBY108" s="4"/>
      <c r="UBZ108" s="4"/>
      <c r="UCA108" s="4"/>
      <c r="UCB108" s="4"/>
      <c r="UCC108" s="4"/>
      <c r="UCD108" s="4"/>
      <c r="UCE108" s="4"/>
      <c r="UCF108" s="4"/>
      <c r="UCG108" s="4"/>
      <c r="UCH108" s="4"/>
      <c r="UCI108" s="4"/>
      <c r="UCJ108" s="4"/>
      <c r="UCK108" s="4"/>
      <c r="UCL108" s="4"/>
      <c r="UCM108" s="4"/>
      <c r="UCN108" s="4"/>
      <c r="UCO108" s="4"/>
      <c r="UCP108" s="4"/>
      <c r="UCQ108" s="4"/>
      <c r="UCR108" s="4"/>
      <c r="UCS108" s="4"/>
      <c r="UCT108" s="4"/>
      <c r="UCU108" s="4"/>
      <c r="UCV108" s="4"/>
      <c r="UCW108" s="4"/>
      <c r="UCX108" s="4"/>
      <c r="UCY108" s="4"/>
      <c r="UCZ108" s="4"/>
      <c r="UDA108" s="4"/>
      <c r="UDB108" s="4"/>
      <c r="UDC108" s="4"/>
      <c r="UDD108" s="4"/>
      <c r="UDE108" s="4"/>
      <c r="UDF108" s="4"/>
      <c r="UDG108" s="4"/>
      <c r="UDH108" s="4"/>
      <c r="UDI108" s="4"/>
      <c r="UDJ108" s="4"/>
      <c r="UDK108" s="4"/>
      <c r="UDL108" s="4"/>
      <c r="UDM108" s="4"/>
      <c r="UDN108" s="4"/>
      <c r="UDO108" s="4"/>
      <c r="UDP108" s="4"/>
      <c r="UDQ108" s="4"/>
      <c r="UDR108" s="4"/>
      <c r="UDS108" s="4"/>
      <c r="UDT108" s="4"/>
      <c r="UDU108" s="4"/>
      <c r="UDV108" s="4"/>
      <c r="UDW108" s="4"/>
      <c r="UDX108" s="4"/>
      <c r="UDY108" s="4"/>
      <c r="UDZ108" s="4"/>
      <c r="UEA108" s="4"/>
      <c r="UEB108" s="4"/>
      <c r="UEC108" s="4"/>
      <c r="UED108" s="4"/>
      <c r="UEE108" s="4"/>
      <c r="UEF108" s="4"/>
      <c r="UEG108" s="4"/>
      <c r="UEH108" s="4"/>
      <c r="UEI108" s="4"/>
      <c r="UEJ108" s="4"/>
      <c r="UEK108" s="4"/>
      <c r="UEL108" s="4"/>
      <c r="UEM108" s="4"/>
      <c r="UEN108" s="4"/>
      <c r="UEO108" s="4"/>
      <c r="UEP108" s="4"/>
      <c r="UEQ108" s="4"/>
      <c r="UER108" s="4"/>
      <c r="UES108" s="4"/>
      <c r="UET108" s="4"/>
      <c r="UEU108" s="4"/>
      <c r="UEV108" s="4"/>
      <c r="UEW108" s="4"/>
      <c r="UEX108" s="4"/>
      <c r="UEY108" s="4"/>
      <c r="UEZ108" s="4"/>
      <c r="UFA108" s="4"/>
      <c r="UFB108" s="4"/>
      <c r="UFC108" s="4"/>
      <c r="UFD108" s="4"/>
      <c r="UFE108" s="4"/>
      <c r="UFF108" s="4"/>
      <c r="UFG108" s="4"/>
      <c r="UFH108" s="4"/>
      <c r="UFI108" s="4"/>
      <c r="UFJ108" s="4"/>
      <c r="UFK108" s="4"/>
      <c r="UFL108" s="4"/>
      <c r="UFM108" s="4"/>
      <c r="UFN108" s="4"/>
      <c r="UFO108" s="4"/>
      <c r="UFP108" s="4"/>
      <c r="UFQ108" s="4"/>
      <c r="UFR108" s="4"/>
      <c r="UFS108" s="4"/>
      <c r="UFT108" s="4"/>
      <c r="UFU108" s="4"/>
      <c r="UFV108" s="4"/>
      <c r="UFW108" s="4"/>
      <c r="UFX108" s="4"/>
      <c r="UFY108" s="4"/>
      <c r="UFZ108" s="4"/>
      <c r="UGA108" s="4"/>
      <c r="UGB108" s="4"/>
      <c r="UGC108" s="4"/>
      <c r="UGD108" s="4"/>
      <c r="UGE108" s="4"/>
      <c r="UGF108" s="4"/>
      <c r="UGG108" s="4"/>
      <c r="UGH108" s="4"/>
      <c r="UGI108" s="4"/>
      <c r="UGJ108" s="4"/>
      <c r="UGK108" s="4"/>
      <c r="UGL108" s="4"/>
      <c r="UGM108" s="4"/>
      <c r="UGN108" s="4"/>
      <c r="UGO108" s="4"/>
      <c r="UGP108" s="4"/>
      <c r="UGQ108" s="4"/>
      <c r="UGR108" s="4"/>
      <c r="UGS108" s="4"/>
      <c r="UGT108" s="4"/>
      <c r="UGU108" s="4"/>
      <c r="UGV108" s="4"/>
      <c r="UGW108" s="4"/>
      <c r="UGX108" s="4"/>
      <c r="UGY108" s="4"/>
      <c r="UGZ108" s="4"/>
      <c r="UHA108" s="4"/>
      <c r="UHB108" s="4"/>
      <c r="UHC108" s="4"/>
      <c r="UHD108" s="4"/>
      <c r="UHE108" s="4"/>
      <c r="UHF108" s="4"/>
      <c r="UHG108" s="4"/>
      <c r="UHH108" s="4"/>
      <c r="UHI108" s="4"/>
      <c r="UHJ108" s="4"/>
      <c r="UHK108" s="4"/>
      <c r="UHL108" s="4"/>
      <c r="UHM108" s="4"/>
      <c r="UHN108" s="4"/>
      <c r="UHO108" s="4"/>
      <c r="UHP108" s="4"/>
      <c r="UHQ108" s="4"/>
      <c r="UHR108" s="4"/>
      <c r="UHS108" s="4"/>
      <c r="UHT108" s="4"/>
      <c r="UHU108" s="4"/>
      <c r="UHV108" s="4"/>
      <c r="UHW108" s="4"/>
      <c r="UHX108" s="4"/>
      <c r="UHY108" s="4"/>
      <c r="UHZ108" s="4"/>
      <c r="UIA108" s="4"/>
      <c r="UIB108" s="4"/>
      <c r="UIC108" s="4"/>
      <c r="UID108" s="4"/>
      <c r="UIE108" s="4"/>
      <c r="UIF108" s="4"/>
      <c r="UIG108" s="4"/>
      <c r="UIH108" s="4"/>
      <c r="UII108" s="4"/>
      <c r="UIJ108" s="4"/>
      <c r="UIK108" s="4"/>
      <c r="UIL108" s="4"/>
      <c r="UIM108" s="4"/>
      <c r="UIN108" s="4"/>
      <c r="UIO108" s="4"/>
      <c r="UIP108" s="4"/>
      <c r="UIQ108" s="4"/>
      <c r="UIR108" s="4"/>
      <c r="UIS108" s="4"/>
      <c r="UIT108" s="4"/>
      <c r="UIU108" s="4"/>
      <c r="UIV108" s="4"/>
      <c r="UIW108" s="4"/>
      <c r="UIX108" s="4"/>
      <c r="UIY108" s="4"/>
      <c r="UIZ108" s="4"/>
      <c r="UJA108" s="4"/>
      <c r="UJB108" s="4"/>
      <c r="UJC108" s="4"/>
      <c r="UJD108" s="4"/>
      <c r="UJE108" s="4"/>
      <c r="UJF108" s="4"/>
      <c r="UJG108" s="4"/>
      <c r="UJH108" s="4"/>
      <c r="UJI108" s="4"/>
      <c r="UJJ108" s="4"/>
      <c r="UJK108" s="4"/>
      <c r="UJL108" s="4"/>
      <c r="UJM108" s="4"/>
      <c r="UJN108" s="4"/>
      <c r="UJO108" s="4"/>
      <c r="UJP108" s="4"/>
      <c r="UJQ108" s="4"/>
      <c r="UJR108" s="4"/>
      <c r="UJS108" s="4"/>
      <c r="UJT108" s="4"/>
      <c r="UJU108" s="4"/>
      <c r="UJV108" s="4"/>
      <c r="UJW108" s="4"/>
      <c r="UJX108" s="4"/>
      <c r="UJY108" s="4"/>
      <c r="UJZ108" s="4"/>
      <c r="UKA108" s="4"/>
      <c r="UKB108" s="4"/>
      <c r="UKC108" s="4"/>
      <c r="UKD108" s="4"/>
      <c r="UKE108" s="4"/>
      <c r="UKF108" s="4"/>
      <c r="UKG108" s="4"/>
      <c r="UKH108" s="4"/>
      <c r="UKI108" s="4"/>
      <c r="UKJ108" s="4"/>
      <c r="UKK108" s="4"/>
      <c r="UKL108" s="4"/>
      <c r="UKM108" s="4"/>
      <c r="UKN108" s="4"/>
      <c r="UKO108" s="4"/>
      <c r="UKP108" s="4"/>
      <c r="UKQ108" s="4"/>
      <c r="UKR108" s="4"/>
      <c r="UKS108" s="4"/>
      <c r="UKT108" s="4"/>
      <c r="UKU108" s="4"/>
      <c r="UKV108" s="4"/>
      <c r="UKW108" s="4"/>
      <c r="UKX108" s="4"/>
      <c r="UKY108" s="4"/>
      <c r="UKZ108" s="4"/>
      <c r="ULA108" s="4"/>
      <c r="ULB108" s="4"/>
      <c r="ULC108" s="4"/>
      <c r="ULD108" s="4"/>
      <c r="ULE108" s="4"/>
      <c r="ULF108" s="4"/>
      <c r="ULG108" s="4"/>
      <c r="ULH108" s="4"/>
      <c r="ULI108" s="4"/>
      <c r="ULJ108" s="4"/>
      <c r="ULK108" s="4"/>
      <c r="ULL108" s="4"/>
      <c r="ULM108" s="4"/>
      <c r="ULN108" s="4"/>
      <c r="ULO108" s="4"/>
      <c r="ULP108" s="4"/>
      <c r="ULQ108" s="4"/>
      <c r="ULR108" s="4"/>
      <c r="ULS108" s="4"/>
      <c r="ULT108" s="4"/>
      <c r="ULU108" s="4"/>
      <c r="ULV108" s="4"/>
      <c r="ULW108" s="4"/>
      <c r="ULX108" s="4"/>
      <c r="ULY108" s="4"/>
      <c r="ULZ108" s="4"/>
      <c r="UMA108" s="4"/>
      <c r="UMB108" s="4"/>
      <c r="UMC108" s="4"/>
      <c r="UMD108" s="4"/>
      <c r="UME108" s="4"/>
      <c r="UMF108" s="4"/>
      <c r="UMG108" s="4"/>
      <c r="UMH108" s="4"/>
      <c r="UMI108" s="4"/>
      <c r="UMJ108" s="4"/>
      <c r="UMK108" s="4"/>
      <c r="UML108" s="4"/>
      <c r="UMM108" s="4"/>
      <c r="UMN108" s="4"/>
      <c r="UMO108" s="4"/>
      <c r="UMP108" s="4"/>
      <c r="UMQ108" s="4"/>
      <c r="UMR108" s="4"/>
      <c r="UMS108" s="4"/>
      <c r="UMT108" s="4"/>
      <c r="UMU108" s="4"/>
      <c r="UMV108" s="4"/>
      <c r="UMW108" s="4"/>
      <c r="UMX108" s="4"/>
      <c r="UMY108" s="4"/>
      <c r="UMZ108" s="4"/>
      <c r="UNA108" s="4"/>
      <c r="UNB108" s="4"/>
      <c r="UNC108" s="4"/>
      <c r="UND108" s="4"/>
      <c r="UNE108" s="4"/>
      <c r="UNF108" s="4"/>
      <c r="UNG108" s="4"/>
      <c r="UNH108" s="4"/>
      <c r="UNI108" s="4"/>
      <c r="UNJ108" s="4"/>
      <c r="UNK108" s="4"/>
      <c r="UNL108" s="4"/>
      <c r="UNM108" s="4"/>
      <c r="UNN108" s="4"/>
      <c r="UNO108" s="4"/>
      <c r="UNP108" s="4"/>
      <c r="UNQ108" s="4"/>
      <c r="UNR108" s="4"/>
      <c r="UNS108" s="4"/>
      <c r="UNT108" s="4"/>
      <c r="UNU108" s="4"/>
      <c r="UNV108" s="4"/>
      <c r="UNW108" s="4"/>
      <c r="UNX108" s="4"/>
      <c r="UNY108" s="4"/>
      <c r="UNZ108" s="4"/>
      <c r="UOA108" s="4"/>
      <c r="UOB108" s="4"/>
      <c r="UOC108" s="4"/>
      <c r="UOD108" s="4"/>
      <c r="UOE108" s="4"/>
      <c r="UOF108" s="4"/>
      <c r="UOG108" s="4"/>
      <c r="UOH108" s="4"/>
      <c r="UOI108" s="4"/>
      <c r="UOJ108" s="4"/>
      <c r="UOK108" s="4"/>
      <c r="UOL108" s="4"/>
      <c r="UOM108" s="4"/>
      <c r="UON108" s="4"/>
      <c r="UOO108" s="4"/>
      <c r="UOP108" s="4"/>
      <c r="UOQ108" s="4"/>
      <c r="UOR108" s="4"/>
      <c r="UOS108" s="4"/>
      <c r="UOT108" s="4"/>
      <c r="UOU108" s="4"/>
      <c r="UOV108" s="4"/>
      <c r="UOW108" s="4"/>
      <c r="UOX108" s="4"/>
      <c r="UOY108" s="4"/>
      <c r="UOZ108" s="4"/>
      <c r="UPA108" s="4"/>
      <c r="UPB108" s="4"/>
      <c r="UPC108" s="4"/>
      <c r="UPD108" s="4"/>
      <c r="UPE108" s="4"/>
      <c r="UPF108" s="4"/>
      <c r="UPG108" s="4"/>
      <c r="UPH108" s="4"/>
      <c r="UPI108" s="4"/>
      <c r="UPJ108" s="4"/>
      <c r="UPK108" s="4"/>
      <c r="UPL108" s="4"/>
      <c r="UPM108" s="4"/>
      <c r="UPN108" s="4"/>
      <c r="UPO108" s="4"/>
      <c r="UPP108" s="4"/>
      <c r="UPQ108" s="4"/>
      <c r="UPR108" s="4"/>
      <c r="UPS108" s="4"/>
      <c r="UPT108" s="4"/>
      <c r="UPU108" s="4"/>
      <c r="UPV108" s="4"/>
      <c r="UPW108" s="4"/>
      <c r="UPX108" s="4"/>
      <c r="UPY108" s="4"/>
      <c r="UPZ108" s="4"/>
      <c r="UQA108" s="4"/>
      <c r="UQB108" s="4"/>
      <c r="UQC108" s="4"/>
      <c r="UQD108" s="4"/>
      <c r="UQE108" s="4"/>
      <c r="UQF108" s="4"/>
      <c r="UQG108" s="4"/>
      <c r="UQH108" s="4"/>
      <c r="UQI108" s="4"/>
      <c r="UQJ108" s="4"/>
      <c r="UQK108" s="4"/>
      <c r="UQL108" s="4"/>
      <c r="UQM108" s="4"/>
      <c r="UQN108" s="4"/>
      <c r="UQO108" s="4"/>
      <c r="UQP108" s="4"/>
      <c r="UQQ108" s="4"/>
      <c r="UQR108" s="4"/>
      <c r="UQS108" s="4"/>
      <c r="UQT108" s="4"/>
      <c r="UQU108" s="4"/>
      <c r="UQV108" s="4"/>
      <c r="UQW108" s="4"/>
      <c r="UQX108" s="4"/>
      <c r="UQY108" s="4"/>
      <c r="UQZ108" s="4"/>
      <c r="URA108" s="4"/>
      <c r="URB108" s="4"/>
      <c r="URC108" s="4"/>
      <c r="URD108" s="4"/>
      <c r="URE108" s="4"/>
      <c r="URF108" s="4"/>
      <c r="URG108" s="4"/>
      <c r="URH108" s="4"/>
      <c r="URI108" s="4"/>
      <c r="URJ108" s="4"/>
      <c r="URK108" s="4"/>
      <c r="URL108" s="4"/>
      <c r="URM108" s="4"/>
      <c r="URN108" s="4"/>
      <c r="URO108" s="4"/>
      <c r="URP108" s="4"/>
      <c r="URQ108" s="4"/>
      <c r="URR108" s="4"/>
      <c r="URS108" s="4"/>
      <c r="URT108" s="4"/>
      <c r="URU108" s="4"/>
      <c r="URV108" s="4"/>
      <c r="URW108" s="4"/>
      <c r="URX108" s="4"/>
      <c r="URY108" s="4"/>
      <c r="URZ108" s="4"/>
      <c r="USA108" s="4"/>
      <c r="USB108" s="4"/>
      <c r="USC108" s="4"/>
      <c r="USD108" s="4"/>
      <c r="USE108" s="4"/>
      <c r="USF108" s="4"/>
      <c r="USG108" s="4"/>
      <c r="USH108" s="4"/>
      <c r="USI108" s="4"/>
      <c r="USJ108" s="4"/>
      <c r="USK108" s="4"/>
      <c r="USL108" s="4"/>
      <c r="USM108" s="4"/>
      <c r="USN108" s="4"/>
      <c r="USO108" s="4"/>
      <c r="USP108" s="4"/>
      <c r="USQ108" s="4"/>
      <c r="USR108" s="4"/>
      <c r="USS108" s="4"/>
      <c r="UST108" s="4"/>
      <c r="USU108" s="4"/>
      <c r="USV108" s="4"/>
      <c r="USW108" s="4"/>
      <c r="USX108" s="4"/>
      <c r="USY108" s="4"/>
      <c r="USZ108" s="4"/>
      <c r="UTA108" s="4"/>
      <c r="UTB108" s="4"/>
      <c r="UTC108" s="4"/>
      <c r="UTD108" s="4"/>
      <c r="UTE108" s="4"/>
      <c r="UTF108" s="4"/>
      <c r="UTG108" s="4"/>
      <c r="UTH108" s="4"/>
      <c r="UTI108" s="4"/>
      <c r="UTJ108" s="4"/>
      <c r="UTK108" s="4"/>
      <c r="UTL108" s="4"/>
      <c r="UTM108" s="4"/>
      <c r="UTN108" s="4"/>
      <c r="UTO108" s="4"/>
      <c r="UTP108" s="4"/>
      <c r="UTQ108" s="4"/>
      <c r="UTR108" s="4"/>
      <c r="UTS108" s="4"/>
      <c r="UTT108" s="4"/>
      <c r="UTU108" s="4"/>
      <c r="UTV108" s="4"/>
      <c r="UTW108" s="4"/>
      <c r="UTX108" s="4"/>
      <c r="UTY108" s="4"/>
      <c r="UTZ108" s="4"/>
      <c r="UUA108" s="4"/>
      <c r="UUB108" s="4"/>
      <c r="UUC108" s="4"/>
      <c r="UUD108" s="4"/>
      <c r="UUE108" s="4"/>
      <c r="UUF108" s="4"/>
      <c r="UUG108" s="4"/>
      <c r="UUH108" s="4"/>
      <c r="UUI108" s="4"/>
      <c r="UUJ108" s="4"/>
      <c r="UUK108" s="4"/>
      <c r="UUL108" s="4"/>
      <c r="UUM108" s="4"/>
      <c r="UUN108" s="4"/>
      <c r="UUO108" s="4"/>
      <c r="UUP108" s="4"/>
      <c r="UUQ108" s="4"/>
      <c r="UUR108" s="4"/>
      <c r="UUS108" s="4"/>
      <c r="UUT108" s="4"/>
      <c r="UUU108" s="4"/>
      <c r="UUV108" s="4"/>
      <c r="UUW108" s="4"/>
      <c r="UUX108" s="4"/>
      <c r="UUY108" s="4"/>
      <c r="UUZ108" s="4"/>
      <c r="UVA108" s="4"/>
      <c r="UVB108" s="4"/>
      <c r="UVC108" s="4"/>
      <c r="UVD108" s="4"/>
      <c r="UVE108" s="4"/>
      <c r="UVF108" s="4"/>
      <c r="UVG108" s="4"/>
      <c r="UVH108" s="4"/>
      <c r="UVI108" s="4"/>
      <c r="UVJ108" s="4"/>
      <c r="UVK108" s="4"/>
      <c r="UVL108" s="4"/>
      <c r="UVM108" s="4"/>
      <c r="UVN108" s="4"/>
      <c r="UVO108" s="4"/>
      <c r="UVP108" s="4"/>
      <c r="UVQ108" s="4"/>
      <c r="UVR108" s="4"/>
      <c r="UVS108" s="4"/>
      <c r="UVT108" s="4"/>
      <c r="UVU108" s="4"/>
      <c r="UVV108" s="4"/>
      <c r="UVW108" s="4"/>
      <c r="UVX108" s="4"/>
      <c r="UVY108" s="4"/>
      <c r="UVZ108" s="4"/>
      <c r="UWA108" s="4"/>
      <c r="UWB108" s="4"/>
      <c r="UWC108" s="4"/>
      <c r="UWD108" s="4"/>
      <c r="UWE108" s="4"/>
      <c r="UWF108" s="4"/>
      <c r="UWG108" s="4"/>
      <c r="UWH108" s="4"/>
      <c r="UWI108" s="4"/>
      <c r="UWJ108" s="4"/>
      <c r="UWK108" s="4"/>
      <c r="UWL108" s="4"/>
      <c r="UWM108" s="4"/>
      <c r="UWN108" s="4"/>
      <c r="UWO108" s="4"/>
      <c r="UWP108" s="4"/>
      <c r="UWQ108" s="4"/>
      <c r="UWR108" s="4"/>
      <c r="UWS108" s="4"/>
      <c r="UWT108" s="4"/>
      <c r="UWU108" s="4"/>
      <c r="UWV108" s="4"/>
      <c r="UWW108" s="4"/>
      <c r="UWX108" s="4"/>
      <c r="UWY108" s="4"/>
      <c r="UWZ108" s="4"/>
      <c r="UXA108" s="4"/>
      <c r="UXB108" s="4"/>
      <c r="UXC108" s="4"/>
      <c r="UXD108" s="4"/>
      <c r="UXE108" s="4"/>
      <c r="UXF108" s="4"/>
      <c r="UXG108" s="4"/>
      <c r="UXH108" s="4"/>
      <c r="UXI108" s="4"/>
      <c r="UXJ108" s="4"/>
      <c r="UXK108" s="4"/>
      <c r="UXL108" s="4"/>
      <c r="UXM108" s="4"/>
      <c r="UXN108" s="4"/>
      <c r="UXO108" s="4"/>
      <c r="UXP108" s="4"/>
      <c r="UXQ108" s="4"/>
      <c r="UXR108" s="4"/>
      <c r="UXS108" s="4"/>
      <c r="UXT108" s="4"/>
      <c r="UXU108" s="4"/>
      <c r="UXV108" s="4"/>
      <c r="UXW108" s="4"/>
      <c r="UXX108" s="4"/>
      <c r="UXY108" s="4"/>
      <c r="UXZ108" s="4"/>
      <c r="UYA108" s="4"/>
      <c r="UYB108" s="4"/>
      <c r="UYC108" s="4"/>
      <c r="UYD108" s="4"/>
      <c r="UYE108" s="4"/>
      <c r="UYF108" s="4"/>
      <c r="UYG108" s="4"/>
      <c r="UYH108" s="4"/>
      <c r="UYI108" s="4"/>
      <c r="UYJ108" s="4"/>
      <c r="UYK108" s="4"/>
      <c r="UYL108" s="4"/>
      <c r="UYM108" s="4"/>
      <c r="UYN108" s="4"/>
      <c r="UYO108" s="4"/>
      <c r="UYP108" s="4"/>
      <c r="UYQ108" s="4"/>
      <c r="UYR108" s="4"/>
      <c r="UYS108" s="4"/>
      <c r="UYT108" s="4"/>
      <c r="UYU108" s="4"/>
      <c r="UYV108" s="4"/>
      <c r="UYW108" s="4"/>
      <c r="UYX108" s="4"/>
      <c r="UYY108" s="4"/>
      <c r="UYZ108" s="4"/>
      <c r="UZA108" s="4"/>
      <c r="UZB108" s="4"/>
      <c r="UZC108" s="4"/>
      <c r="UZD108" s="4"/>
      <c r="UZE108" s="4"/>
      <c r="UZF108" s="4"/>
      <c r="UZG108" s="4"/>
      <c r="UZH108" s="4"/>
      <c r="UZI108" s="4"/>
      <c r="UZJ108" s="4"/>
      <c r="UZK108" s="4"/>
      <c r="UZL108" s="4"/>
      <c r="UZM108" s="4"/>
      <c r="UZN108" s="4"/>
      <c r="UZO108" s="4"/>
      <c r="UZP108" s="4"/>
      <c r="UZQ108" s="4"/>
      <c r="UZR108" s="4"/>
      <c r="UZS108" s="4"/>
      <c r="UZT108" s="4"/>
      <c r="UZU108" s="4"/>
      <c r="UZV108" s="4"/>
      <c r="UZW108" s="4"/>
      <c r="UZX108" s="4"/>
      <c r="UZY108" s="4"/>
      <c r="UZZ108" s="4"/>
      <c r="VAA108" s="4"/>
      <c r="VAB108" s="4"/>
      <c r="VAC108" s="4"/>
      <c r="VAD108" s="4"/>
      <c r="VAE108" s="4"/>
      <c r="VAF108" s="4"/>
      <c r="VAG108" s="4"/>
      <c r="VAH108" s="4"/>
      <c r="VAI108" s="4"/>
      <c r="VAJ108" s="4"/>
      <c r="VAK108" s="4"/>
      <c r="VAL108" s="4"/>
      <c r="VAM108" s="4"/>
      <c r="VAN108" s="4"/>
      <c r="VAO108" s="4"/>
      <c r="VAP108" s="4"/>
      <c r="VAQ108" s="4"/>
      <c r="VAR108" s="4"/>
      <c r="VAS108" s="4"/>
      <c r="VAT108" s="4"/>
      <c r="VAU108" s="4"/>
      <c r="VAV108" s="4"/>
      <c r="VAW108" s="4"/>
      <c r="VAX108" s="4"/>
      <c r="VAY108" s="4"/>
      <c r="VAZ108" s="4"/>
      <c r="VBA108" s="4"/>
      <c r="VBB108" s="4"/>
      <c r="VBC108" s="4"/>
      <c r="VBD108" s="4"/>
      <c r="VBE108" s="4"/>
      <c r="VBF108" s="4"/>
      <c r="VBG108" s="4"/>
      <c r="VBH108" s="4"/>
      <c r="VBI108" s="4"/>
      <c r="VBJ108" s="4"/>
      <c r="VBK108" s="4"/>
      <c r="VBL108" s="4"/>
      <c r="VBM108" s="4"/>
      <c r="VBN108" s="4"/>
      <c r="VBO108" s="4"/>
      <c r="VBP108" s="4"/>
      <c r="VBQ108" s="4"/>
      <c r="VBR108" s="4"/>
      <c r="VBS108" s="4"/>
      <c r="VBT108" s="4"/>
      <c r="VBU108" s="4"/>
      <c r="VBV108" s="4"/>
      <c r="VBW108" s="4"/>
      <c r="VBX108" s="4"/>
      <c r="VBY108" s="4"/>
      <c r="VBZ108" s="4"/>
      <c r="VCA108" s="4"/>
      <c r="VCB108" s="4"/>
      <c r="VCC108" s="4"/>
      <c r="VCD108" s="4"/>
      <c r="VCE108" s="4"/>
      <c r="VCF108" s="4"/>
      <c r="VCG108" s="4"/>
      <c r="VCH108" s="4"/>
      <c r="VCI108" s="4"/>
      <c r="VCJ108" s="4"/>
      <c r="VCK108" s="4"/>
      <c r="VCL108" s="4"/>
      <c r="VCM108" s="4"/>
      <c r="VCN108" s="4"/>
      <c r="VCO108" s="4"/>
      <c r="VCP108" s="4"/>
      <c r="VCQ108" s="4"/>
      <c r="VCR108" s="4"/>
      <c r="VCS108" s="4"/>
      <c r="VCT108" s="4"/>
      <c r="VCU108" s="4"/>
      <c r="VCV108" s="4"/>
      <c r="VCW108" s="4"/>
      <c r="VCX108" s="4"/>
      <c r="VCY108" s="4"/>
      <c r="VCZ108" s="4"/>
      <c r="VDA108" s="4"/>
      <c r="VDB108" s="4"/>
      <c r="VDC108" s="4"/>
      <c r="VDD108" s="4"/>
      <c r="VDE108" s="4"/>
      <c r="VDF108" s="4"/>
      <c r="VDG108" s="4"/>
      <c r="VDH108" s="4"/>
      <c r="VDI108" s="4"/>
      <c r="VDJ108" s="4"/>
      <c r="VDK108" s="4"/>
      <c r="VDL108" s="4"/>
      <c r="VDM108" s="4"/>
      <c r="VDN108" s="4"/>
      <c r="VDO108" s="4"/>
      <c r="VDP108" s="4"/>
      <c r="VDQ108" s="4"/>
      <c r="VDR108" s="4"/>
      <c r="VDS108" s="4"/>
      <c r="VDT108" s="4"/>
      <c r="VDU108" s="4"/>
      <c r="VDV108" s="4"/>
      <c r="VDW108" s="4"/>
      <c r="VDX108" s="4"/>
      <c r="VDY108" s="4"/>
      <c r="VDZ108" s="4"/>
      <c r="VEA108" s="4"/>
      <c r="VEB108" s="4"/>
      <c r="VEC108" s="4"/>
      <c r="VED108" s="4"/>
      <c r="VEE108" s="4"/>
      <c r="VEF108" s="4"/>
      <c r="VEG108" s="4"/>
      <c r="VEH108" s="4"/>
      <c r="VEI108" s="4"/>
      <c r="VEJ108" s="4"/>
      <c r="VEK108" s="4"/>
      <c r="VEL108" s="4"/>
      <c r="VEM108" s="4"/>
      <c r="VEN108" s="4"/>
      <c r="VEO108" s="4"/>
      <c r="VEP108" s="4"/>
      <c r="VEQ108" s="4"/>
      <c r="VER108" s="4"/>
      <c r="VES108" s="4"/>
      <c r="VET108" s="4"/>
      <c r="VEU108" s="4"/>
      <c r="VEV108" s="4"/>
      <c r="VEW108" s="4"/>
      <c r="VEX108" s="4"/>
      <c r="VEY108" s="4"/>
      <c r="VEZ108" s="4"/>
      <c r="VFA108" s="4"/>
      <c r="VFB108" s="4"/>
      <c r="VFC108" s="4"/>
      <c r="VFD108" s="4"/>
      <c r="VFE108" s="4"/>
      <c r="VFF108" s="4"/>
      <c r="VFG108" s="4"/>
      <c r="VFH108" s="4"/>
      <c r="VFI108" s="4"/>
      <c r="VFJ108" s="4"/>
      <c r="VFK108" s="4"/>
      <c r="VFL108" s="4"/>
      <c r="VFM108" s="4"/>
      <c r="VFN108" s="4"/>
      <c r="VFO108" s="4"/>
      <c r="VFP108" s="4"/>
      <c r="VFQ108" s="4"/>
      <c r="VFR108" s="4"/>
      <c r="VFS108" s="4"/>
      <c r="VFT108" s="4"/>
      <c r="VFU108" s="4"/>
      <c r="VFV108" s="4"/>
      <c r="VFW108" s="4"/>
      <c r="VFX108" s="4"/>
      <c r="VFY108" s="4"/>
      <c r="VFZ108" s="4"/>
      <c r="VGA108" s="4"/>
      <c r="VGB108" s="4"/>
      <c r="VGC108" s="4"/>
      <c r="VGD108" s="4"/>
      <c r="VGE108" s="4"/>
      <c r="VGF108" s="4"/>
      <c r="VGG108" s="4"/>
      <c r="VGH108" s="4"/>
      <c r="VGI108" s="4"/>
      <c r="VGJ108" s="4"/>
      <c r="VGK108" s="4"/>
      <c r="VGL108" s="4"/>
      <c r="VGM108" s="4"/>
      <c r="VGN108" s="4"/>
      <c r="VGO108" s="4"/>
      <c r="VGP108" s="4"/>
      <c r="VGQ108" s="4"/>
      <c r="VGR108" s="4"/>
      <c r="VGS108" s="4"/>
      <c r="VGT108" s="4"/>
      <c r="VGU108" s="4"/>
      <c r="VGV108" s="4"/>
      <c r="VGW108" s="4"/>
      <c r="VGX108" s="4"/>
      <c r="VGY108" s="4"/>
      <c r="VGZ108" s="4"/>
      <c r="VHA108" s="4"/>
      <c r="VHB108" s="4"/>
      <c r="VHC108" s="4"/>
      <c r="VHD108" s="4"/>
      <c r="VHE108" s="4"/>
      <c r="VHF108" s="4"/>
      <c r="VHG108" s="4"/>
      <c r="VHH108" s="4"/>
      <c r="VHI108" s="4"/>
      <c r="VHJ108" s="4"/>
      <c r="VHK108" s="4"/>
      <c r="VHL108" s="4"/>
      <c r="VHM108" s="4"/>
      <c r="VHN108" s="4"/>
      <c r="VHO108" s="4"/>
      <c r="VHP108" s="4"/>
      <c r="VHQ108" s="4"/>
      <c r="VHR108" s="4"/>
      <c r="VHS108" s="4"/>
      <c r="VHT108" s="4"/>
      <c r="VHU108" s="4"/>
      <c r="VHV108" s="4"/>
      <c r="VHW108" s="4"/>
      <c r="VHX108" s="4"/>
      <c r="VHY108" s="4"/>
      <c r="VHZ108" s="4"/>
      <c r="VIA108" s="4"/>
      <c r="VIB108" s="4"/>
      <c r="VIC108" s="4"/>
      <c r="VID108" s="4"/>
      <c r="VIE108" s="4"/>
      <c r="VIF108" s="4"/>
      <c r="VIG108" s="4"/>
      <c r="VIH108" s="4"/>
      <c r="VII108" s="4"/>
      <c r="VIJ108" s="4"/>
      <c r="VIK108" s="4"/>
      <c r="VIL108" s="4"/>
      <c r="VIM108" s="4"/>
      <c r="VIN108" s="4"/>
      <c r="VIO108" s="4"/>
      <c r="VIP108" s="4"/>
      <c r="VIQ108" s="4"/>
      <c r="VIR108" s="4"/>
      <c r="VIS108" s="4"/>
      <c r="VIT108" s="4"/>
      <c r="VIU108" s="4"/>
      <c r="VIV108" s="4"/>
      <c r="VIW108" s="4"/>
      <c r="VIX108" s="4"/>
      <c r="VIY108" s="4"/>
      <c r="VIZ108" s="4"/>
      <c r="VJA108" s="4"/>
      <c r="VJB108" s="4"/>
      <c r="VJC108" s="4"/>
      <c r="VJD108" s="4"/>
      <c r="VJE108" s="4"/>
      <c r="VJF108" s="4"/>
      <c r="VJG108" s="4"/>
      <c r="VJH108" s="4"/>
      <c r="VJI108" s="4"/>
      <c r="VJJ108" s="4"/>
      <c r="VJK108" s="4"/>
      <c r="VJL108" s="4"/>
      <c r="VJM108" s="4"/>
      <c r="VJN108" s="4"/>
      <c r="VJO108" s="4"/>
      <c r="VJP108" s="4"/>
      <c r="VJQ108" s="4"/>
      <c r="VJR108" s="4"/>
      <c r="VJS108" s="4"/>
      <c r="VJT108" s="4"/>
      <c r="VJU108" s="4"/>
      <c r="VJV108" s="4"/>
      <c r="VJW108" s="4"/>
      <c r="VJX108" s="4"/>
      <c r="VJY108" s="4"/>
      <c r="VJZ108" s="4"/>
      <c r="VKA108" s="4"/>
      <c r="VKB108" s="4"/>
      <c r="VKC108" s="4"/>
      <c r="VKD108" s="4"/>
      <c r="VKE108" s="4"/>
      <c r="VKF108" s="4"/>
      <c r="VKG108" s="4"/>
      <c r="VKH108" s="4"/>
      <c r="VKI108" s="4"/>
      <c r="VKJ108" s="4"/>
      <c r="VKK108" s="4"/>
      <c r="VKL108" s="4"/>
      <c r="VKM108" s="4"/>
      <c r="VKN108" s="4"/>
      <c r="VKO108" s="4"/>
      <c r="VKP108" s="4"/>
      <c r="VKQ108" s="4"/>
      <c r="VKR108" s="4"/>
      <c r="VKS108" s="4"/>
      <c r="VKT108" s="4"/>
      <c r="VKU108" s="4"/>
      <c r="VKV108" s="4"/>
      <c r="VKW108" s="4"/>
      <c r="VKX108" s="4"/>
      <c r="VKY108" s="4"/>
      <c r="VKZ108" s="4"/>
      <c r="VLA108" s="4"/>
      <c r="VLB108" s="4"/>
      <c r="VLC108" s="4"/>
      <c r="VLD108" s="4"/>
      <c r="VLE108" s="4"/>
      <c r="VLF108" s="4"/>
      <c r="VLG108" s="4"/>
      <c r="VLH108" s="4"/>
      <c r="VLI108" s="4"/>
      <c r="VLJ108" s="4"/>
      <c r="VLK108" s="4"/>
      <c r="VLL108" s="4"/>
      <c r="VLM108" s="4"/>
      <c r="VLN108" s="4"/>
      <c r="VLO108" s="4"/>
      <c r="VLP108" s="4"/>
      <c r="VLQ108" s="4"/>
      <c r="VLR108" s="4"/>
      <c r="VLS108" s="4"/>
      <c r="VLT108" s="4"/>
      <c r="VLU108" s="4"/>
      <c r="VLV108" s="4"/>
      <c r="VLW108" s="4"/>
      <c r="VLX108" s="4"/>
      <c r="VLY108" s="4"/>
      <c r="VLZ108" s="4"/>
      <c r="VMA108" s="4"/>
      <c r="VMB108" s="4"/>
      <c r="VMC108" s="4"/>
      <c r="VMD108" s="4"/>
      <c r="VME108" s="4"/>
      <c r="VMF108" s="4"/>
      <c r="VMG108" s="4"/>
      <c r="VMH108" s="4"/>
      <c r="VMI108" s="4"/>
      <c r="VMJ108" s="4"/>
      <c r="VMK108" s="4"/>
      <c r="VML108" s="4"/>
      <c r="VMM108" s="4"/>
      <c r="VMN108" s="4"/>
      <c r="VMO108" s="4"/>
      <c r="VMP108" s="4"/>
      <c r="VMQ108" s="4"/>
      <c r="VMR108" s="4"/>
      <c r="VMS108" s="4"/>
      <c r="VMT108" s="4"/>
      <c r="VMU108" s="4"/>
      <c r="VMV108" s="4"/>
      <c r="VMW108" s="4"/>
      <c r="VMX108" s="4"/>
      <c r="VMY108" s="4"/>
      <c r="VMZ108" s="4"/>
      <c r="VNA108" s="4"/>
      <c r="VNB108" s="4"/>
      <c r="VNC108" s="4"/>
      <c r="VND108" s="4"/>
      <c r="VNE108" s="4"/>
      <c r="VNF108" s="4"/>
      <c r="VNG108" s="4"/>
      <c r="VNH108" s="4"/>
      <c r="VNI108" s="4"/>
      <c r="VNJ108" s="4"/>
      <c r="VNK108" s="4"/>
      <c r="VNL108" s="4"/>
      <c r="VNM108" s="4"/>
      <c r="VNN108" s="4"/>
      <c r="VNO108" s="4"/>
      <c r="VNP108" s="4"/>
      <c r="VNQ108" s="4"/>
      <c r="VNR108" s="4"/>
      <c r="VNS108" s="4"/>
      <c r="VNT108" s="4"/>
      <c r="VNU108" s="4"/>
      <c r="VNV108" s="4"/>
      <c r="VNW108" s="4"/>
      <c r="VNX108" s="4"/>
      <c r="VNY108" s="4"/>
      <c r="VNZ108" s="4"/>
      <c r="VOA108" s="4"/>
      <c r="VOB108" s="4"/>
      <c r="VOC108" s="4"/>
      <c r="VOD108" s="4"/>
      <c r="VOE108" s="4"/>
      <c r="VOF108" s="4"/>
      <c r="VOG108" s="4"/>
      <c r="VOH108" s="4"/>
      <c r="VOI108" s="4"/>
      <c r="VOJ108" s="4"/>
      <c r="VOK108" s="4"/>
      <c r="VOL108" s="4"/>
      <c r="VOM108" s="4"/>
      <c r="VON108" s="4"/>
      <c r="VOO108" s="4"/>
      <c r="VOP108" s="4"/>
      <c r="VOQ108" s="4"/>
      <c r="VOR108" s="4"/>
      <c r="VOS108" s="4"/>
      <c r="VOT108" s="4"/>
      <c r="VOU108" s="4"/>
      <c r="VOV108" s="4"/>
      <c r="VOW108" s="4"/>
      <c r="VOX108" s="4"/>
      <c r="VOY108" s="4"/>
      <c r="VOZ108" s="4"/>
      <c r="VPA108" s="4"/>
      <c r="VPB108" s="4"/>
      <c r="VPC108" s="4"/>
      <c r="VPD108" s="4"/>
      <c r="VPE108" s="4"/>
      <c r="VPF108" s="4"/>
      <c r="VPG108" s="4"/>
      <c r="VPH108" s="4"/>
      <c r="VPI108" s="4"/>
      <c r="VPJ108" s="4"/>
      <c r="VPK108" s="4"/>
      <c r="VPL108" s="4"/>
      <c r="VPM108" s="4"/>
      <c r="VPN108" s="4"/>
      <c r="VPO108" s="4"/>
      <c r="VPP108" s="4"/>
      <c r="VPQ108" s="4"/>
      <c r="VPR108" s="4"/>
      <c r="VPS108" s="4"/>
      <c r="VPT108" s="4"/>
      <c r="VPU108" s="4"/>
      <c r="VPV108" s="4"/>
      <c r="VPW108" s="4"/>
      <c r="VPX108" s="4"/>
      <c r="VPY108" s="4"/>
      <c r="VPZ108" s="4"/>
      <c r="VQA108" s="4"/>
      <c r="VQB108" s="4"/>
      <c r="VQC108" s="4"/>
      <c r="VQD108" s="4"/>
      <c r="VQE108" s="4"/>
      <c r="VQF108" s="4"/>
      <c r="VQG108" s="4"/>
      <c r="VQH108" s="4"/>
      <c r="VQI108" s="4"/>
      <c r="VQJ108" s="4"/>
      <c r="VQK108" s="4"/>
      <c r="VQL108" s="4"/>
      <c r="VQM108" s="4"/>
      <c r="VQN108" s="4"/>
      <c r="VQO108" s="4"/>
      <c r="VQP108" s="4"/>
      <c r="VQQ108" s="4"/>
      <c r="VQR108" s="4"/>
      <c r="VQS108" s="4"/>
      <c r="VQT108" s="4"/>
      <c r="VQU108" s="4"/>
      <c r="VQV108" s="4"/>
      <c r="VQW108" s="4"/>
      <c r="VQX108" s="4"/>
      <c r="VQY108" s="4"/>
      <c r="VQZ108" s="4"/>
      <c r="VRA108" s="4"/>
      <c r="VRB108" s="4"/>
      <c r="VRC108" s="4"/>
      <c r="VRD108" s="4"/>
      <c r="VRE108" s="4"/>
      <c r="VRF108" s="4"/>
      <c r="VRG108" s="4"/>
      <c r="VRH108" s="4"/>
      <c r="VRI108" s="4"/>
      <c r="VRJ108" s="4"/>
      <c r="VRK108" s="4"/>
      <c r="VRL108" s="4"/>
      <c r="VRM108" s="4"/>
      <c r="VRN108" s="4"/>
      <c r="VRO108" s="4"/>
      <c r="VRP108" s="4"/>
      <c r="VRQ108" s="4"/>
      <c r="VRR108" s="4"/>
      <c r="VRS108" s="4"/>
      <c r="VRT108" s="4"/>
      <c r="VRU108" s="4"/>
      <c r="VRV108" s="4"/>
      <c r="VRW108" s="4"/>
      <c r="VRX108" s="4"/>
      <c r="VRY108" s="4"/>
      <c r="VRZ108" s="4"/>
      <c r="VSA108" s="4"/>
      <c r="VSB108" s="4"/>
      <c r="VSC108" s="4"/>
      <c r="VSD108" s="4"/>
      <c r="VSE108" s="4"/>
      <c r="VSF108" s="4"/>
      <c r="VSG108" s="4"/>
      <c r="VSH108" s="4"/>
      <c r="VSI108" s="4"/>
      <c r="VSJ108" s="4"/>
      <c r="VSK108" s="4"/>
      <c r="VSL108" s="4"/>
      <c r="VSM108" s="4"/>
      <c r="VSN108" s="4"/>
      <c r="VSO108" s="4"/>
      <c r="VSP108" s="4"/>
      <c r="VSQ108" s="4"/>
      <c r="VSR108" s="4"/>
      <c r="VSS108" s="4"/>
      <c r="VST108" s="4"/>
      <c r="VSU108" s="4"/>
      <c r="VSV108" s="4"/>
      <c r="VSW108" s="4"/>
      <c r="VSX108" s="4"/>
      <c r="VSY108" s="4"/>
      <c r="VSZ108" s="4"/>
      <c r="VTA108" s="4"/>
      <c r="VTB108" s="4"/>
      <c r="VTC108" s="4"/>
      <c r="VTD108" s="4"/>
      <c r="VTE108" s="4"/>
      <c r="VTF108" s="4"/>
      <c r="VTG108" s="4"/>
      <c r="VTH108" s="4"/>
      <c r="VTI108" s="4"/>
      <c r="VTJ108" s="4"/>
      <c r="VTK108" s="4"/>
      <c r="VTL108" s="4"/>
      <c r="VTM108" s="4"/>
      <c r="VTN108" s="4"/>
      <c r="VTO108" s="4"/>
      <c r="VTP108" s="4"/>
      <c r="VTQ108" s="4"/>
      <c r="VTR108" s="4"/>
      <c r="VTS108" s="4"/>
      <c r="VTT108" s="4"/>
      <c r="VTU108" s="4"/>
      <c r="VTV108" s="4"/>
      <c r="VTW108" s="4"/>
      <c r="VTX108" s="4"/>
      <c r="VTY108" s="4"/>
      <c r="VTZ108" s="4"/>
      <c r="VUA108" s="4"/>
      <c r="VUB108" s="4"/>
      <c r="VUC108" s="4"/>
      <c r="VUD108" s="4"/>
      <c r="VUE108" s="4"/>
      <c r="VUF108" s="4"/>
      <c r="VUG108" s="4"/>
      <c r="VUH108" s="4"/>
      <c r="VUI108" s="4"/>
      <c r="VUJ108" s="4"/>
      <c r="VUK108" s="4"/>
      <c r="VUL108" s="4"/>
      <c r="VUM108" s="4"/>
      <c r="VUN108" s="4"/>
      <c r="VUO108" s="4"/>
      <c r="VUP108" s="4"/>
      <c r="VUQ108" s="4"/>
      <c r="VUR108" s="4"/>
      <c r="VUS108" s="4"/>
      <c r="VUT108" s="4"/>
      <c r="VUU108" s="4"/>
      <c r="VUV108" s="4"/>
      <c r="VUW108" s="4"/>
      <c r="VUX108" s="4"/>
      <c r="VUY108" s="4"/>
      <c r="VUZ108" s="4"/>
      <c r="VVA108" s="4"/>
      <c r="VVB108" s="4"/>
      <c r="VVC108" s="4"/>
      <c r="VVD108" s="4"/>
      <c r="VVE108" s="4"/>
      <c r="VVF108" s="4"/>
      <c r="VVG108" s="4"/>
      <c r="VVH108" s="4"/>
      <c r="VVI108" s="4"/>
      <c r="VVJ108" s="4"/>
      <c r="VVK108" s="4"/>
      <c r="VVL108" s="4"/>
      <c r="VVM108" s="4"/>
      <c r="VVN108" s="4"/>
      <c r="VVO108" s="4"/>
      <c r="VVP108" s="4"/>
      <c r="VVQ108" s="4"/>
      <c r="VVR108" s="4"/>
      <c r="VVS108" s="4"/>
      <c r="VVT108" s="4"/>
      <c r="VVU108" s="4"/>
      <c r="VVV108" s="4"/>
      <c r="VVW108" s="4"/>
      <c r="VVX108" s="4"/>
      <c r="VVY108" s="4"/>
      <c r="VVZ108" s="4"/>
      <c r="VWA108" s="4"/>
      <c r="VWB108" s="4"/>
      <c r="VWC108" s="4"/>
      <c r="VWD108" s="4"/>
      <c r="VWE108" s="4"/>
      <c r="VWF108" s="4"/>
      <c r="VWG108" s="4"/>
      <c r="VWH108" s="4"/>
      <c r="VWI108" s="4"/>
      <c r="VWJ108" s="4"/>
      <c r="VWK108" s="4"/>
      <c r="VWL108" s="4"/>
      <c r="VWM108" s="4"/>
      <c r="VWN108" s="4"/>
      <c r="VWO108" s="4"/>
      <c r="VWP108" s="4"/>
      <c r="VWQ108" s="4"/>
      <c r="VWR108" s="4"/>
      <c r="VWS108" s="4"/>
      <c r="VWT108" s="4"/>
      <c r="VWU108" s="4"/>
      <c r="VWV108" s="4"/>
      <c r="VWW108" s="4"/>
      <c r="VWX108" s="4"/>
      <c r="VWY108" s="4"/>
      <c r="VWZ108" s="4"/>
      <c r="VXA108" s="4"/>
      <c r="VXB108" s="4"/>
      <c r="VXC108" s="4"/>
      <c r="VXD108" s="4"/>
      <c r="VXE108" s="4"/>
      <c r="VXF108" s="4"/>
      <c r="VXG108" s="4"/>
      <c r="VXH108" s="4"/>
      <c r="VXI108" s="4"/>
      <c r="VXJ108" s="4"/>
      <c r="VXK108" s="4"/>
      <c r="VXL108" s="4"/>
      <c r="VXM108" s="4"/>
      <c r="VXN108" s="4"/>
      <c r="VXO108" s="4"/>
      <c r="VXP108" s="4"/>
      <c r="VXQ108" s="4"/>
      <c r="VXR108" s="4"/>
      <c r="VXS108" s="4"/>
      <c r="VXT108" s="4"/>
      <c r="VXU108" s="4"/>
      <c r="VXV108" s="4"/>
      <c r="VXW108" s="4"/>
      <c r="VXX108" s="4"/>
      <c r="VXY108" s="4"/>
      <c r="VXZ108" s="4"/>
      <c r="VYA108" s="4"/>
      <c r="VYB108" s="4"/>
      <c r="VYC108" s="4"/>
      <c r="VYD108" s="4"/>
      <c r="VYE108" s="4"/>
      <c r="VYF108" s="4"/>
      <c r="VYG108" s="4"/>
      <c r="VYH108" s="4"/>
      <c r="VYI108" s="4"/>
      <c r="VYJ108" s="4"/>
      <c r="VYK108" s="4"/>
      <c r="VYL108" s="4"/>
      <c r="VYM108" s="4"/>
      <c r="VYN108" s="4"/>
      <c r="VYO108" s="4"/>
      <c r="VYP108" s="4"/>
      <c r="VYQ108" s="4"/>
      <c r="VYR108" s="4"/>
      <c r="VYS108" s="4"/>
      <c r="VYT108" s="4"/>
      <c r="VYU108" s="4"/>
      <c r="VYV108" s="4"/>
      <c r="VYW108" s="4"/>
      <c r="VYX108" s="4"/>
      <c r="VYY108" s="4"/>
      <c r="VYZ108" s="4"/>
      <c r="VZA108" s="4"/>
      <c r="VZB108" s="4"/>
      <c r="VZC108" s="4"/>
      <c r="VZD108" s="4"/>
      <c r="VZE108" s="4"/>
      <c r="VZF108" s="4"/>
      <c r="VZG108" s="4"/>
      <c r="VZH108" s="4"/>
      <c r="VZI108" s="4"/>
      <c r="VZJ108" s="4"/>
      <c r="VZK108" s="4"/>
      <c r="VZL108" s="4"/>
      <c r="VZM108" s="4"/>
      <c r="VZN108" s="4"/>
      <c r="VZO108" s="4"/>
      <c r="VZP108" s="4"/>
      <c r="VZQ108" s="4"/>
      <c r="VZR108" s="4"/>
      <c r="VZS108" s="4"/>
      <c r="VZT108" s="4"/>
      <c r="VZU108" s="4"/>
      <c r="VZV108" s="4"/>
      <c r="VZW108" s="4"/>
      <c r="VZX108" s="4"/>
      <c r="VZY108" s="4"/>
      <c r="VZZ108" s="4"/>
      <c r="WAA108" s="4"/>
      <c r="WAB108" s="4"/>
      <c r="WAC108" s="4"/>
      <c r="WAD108" s="4"/>
      <c r="WAE108" s="4"/>
      <c r="WAF108" s="4"/>
      <c r="WAG108" s="4"/>
      <c r="WAH108" s="4"/>
      <c r="WAI108" s="4"/>
      <c r="WAJ108" s="4"/>
      <c r="WAK108" s="4"/>
      <c r="WAL108" s="4"/>
      <c r="WAM108" s="4"/>
      <c r="WAN108" s="4"/>
      <c r="WAO108" s="4"/>
      <c r="WAP108" s="4"/>
      <c r="WAQ108" s="4"/>
      <c r="WAR108" s="4"/>
      <c r="WAS108" s="4"/>
      <c r="WAT108" s="4"/>
      <c r="WAU108" s="4"/>
      <c r="WAV108" s="4"/>
      <c r="WAW108" s="4"/>
      <c r="WAX108" s="4"/>
      <c r="WAY108" s="4"/>
      <c r="WAZ108" s="4"/>
      <c r="WBA108" s="4"/>
      <c r="WBB108" s="4"/>
      <c r="WBC108" s="4"/>
      <c r="WBD108" s="4"/>
      <c r="WBE108" s="4"/>
      <c r="WBF108" s="4"/>
      <c r="WBG108" s="4"/>
      <c r="WBH108" s="4"/>
      <c r="WBI108" s="4"/>
      <c r="WBJ108" s="4"/>
      <c r="WBK108" s="4"/>
      <c r="WBL108" s="4"/>
      <c r="WBM108" s="4"/>
      <c r="WBN108" s="4"/>
      <c r="WBO108" s="4"/>
      <c r="WBP108" s="4"/>
      <c r="WBQ108" s="4"/>
      <c r="WBR108" s="4"/>
      <c r="WBS108" s="4"/>
      <c r="WBT108" s="4"/>
      <c r="WBU108" s="4"/>
      <c r="WBV108" s="4"/>
      <c r="WBW108" s="4"/>
      <c r="WBX108" s="4"/>
      <c r="WBY108" s="4"/>
      <c r="WBZ108" s="4"/>
      <c r="WCA108" s="4"/>
      <c r="WCB108" s="4"/>
      <c r="WCC108" s="4"/>
      <c r="WCD108" s="4"/>
      <c r="WCE108" s="4"/>
      <c r="WCF108" s="4"/>
      <c r="WCG108" s="4"/>
      <c r="WCH108" s="4"/>
      <c r="WCI108" s="4"/>
      <c r="WCJ108" s="4"/>
      <c r="WCK108" s="4"/>
      <c r="WCL108" s="4"/>
      <c r="WCM108" s="4"/>
      <c r="WCN108" s="4"/>
      <c r="WCO108" s="4"/>
      <c r="WCP108" s="4"/>
      <c r="WCQ108" s="4"/>
      <c r="WCR108" s="4"/>
      <c r="WCS108" s="4"/>
      <c r="WCT108" s="4"/>
      <c r="WCU108" s="4"/>
      <c r="WCV108" s="4"/>
      <c r="WCW108" s="4"/>
      <c r="WCX108" s="4"/>
      <c r="WCY108" s="4"/>
      <c r="WCZ108" s="4"/>
      <c r="WDA108" s="4"/>
      <c r="WDB108" s="4"/>
      <c r="WDC108" s="4"/>
      <c r="WDD108" s="4"/>
      <c r="WDE108" s="4"/>
      <c r="WDF108" s="4"/>
      <c r="WDG108" s="4"/>
      <c r="WDH108" s="4"/>
      <c r="WDI108" s="4"/>
      <c r="WDJ108" s="4"/>
      <c r="WDK108" s="4"/>
      <c r="WDL108" s="4"/>
      <c r="WDM108" s="4"/>
      <c r="WDN108" s="4"/>
      <c r="WDO108" s="4"/>
      <c r="WDP108" s="4"/>
      <c r="WDQ108" s="4"/>
      <c r="WDR108" s="4"/>
      <c r="WDS108" s="4"/>
      <c r="WDT108" s="4"/>
      <c r="WDU108" s="4"/>
      <c r="WDV108" s="4"/>
      <c r="WDW108" s="4"/>
      <c r="WDX108" s="4"/>
      <c r="WDY108" s="4"/>
      <c r="WDZ108" s="4"/>
      <c r="WEA108" s="4"/>
      <c r="WEB108" s="4"/>
      <c r="WEC108" s="4"/>
      <c r="WED108" s="4"/>
      <c r="WEE108" s="4"/>
      <c r="WEF108" s="4"/>
      <c r="WEG108" s="4"/>
      <c r="WEH108" s="4"/>
      <c r="WEI108" s="4"/>
      <c r="WEJ108" s="4"/>
      <c r="WEK108" s="4"/>
      <c r="WEL108" s="4"/>
      <c r="WEM108" s="4"/>
      <c r="WEN108" s="4"/>
      <c r="WEO108" s="4"/>
      <c r="WEP108" s="4"/>
      <c r="WEQ108" s="4"/>
      <c r="WER108" s="4"/>
      <c r="WES108" s="4"/>
      <c r="WET108" s="4"/>
      <c r="WEU108" s="4"/>
      <c r="WEV108" s="4"/>
      <c r="WEW108" s="4"/>
      <c r="WEX108" s="4"/>
      <c r="WEY108" s="4"/>
      <c r="WEZ108" s="4"/>
      <c r="WFA108" s="4"/>
      <c r="WFB108" s="4"/>
      <c r="WFC108" s="4"/>
      <c r="WFD108" s="4"/>
      <c r="WFE108" s="4"/>
      <c r="WFF108" s="4"/>
      <c r="WFG108" s="4"/>
      <c r="WFH108" s="4"/>
      <c r="WFI108" s="4"/>
      <c r="WFJ108" s="4"/>
      <c r="WFK108" s="4"/>
      <c r="WFL108" s="4"/>
      <c r="WFM108" s="4"/>
      <c r="WFN108" s="4"/>
      <c r="WFO108" s="4"/>
      <c r="WFP108" s="4"/>
      <c r="WFQ108" s="4"/>
      <c r="WFR108" s="4"/>
      <c r="WFS108" s="4"/>
      <c r="WFT108" s="4"/>
      <c r="WFU108" s="4"/>
      <c r="WFV108" s="4"/>
      <c r="WFW108" s="4"/>
      <c r="WFX108" s="4"/>
      <c r="WFY108" s="4"/>
      <c r="WFZ108" s="4"/>
      <c r="WGA108" s="4"/>
      <c r="WGB108" s="4"/>
      <c r="WGC108" s="4"/>
      <c r="WGD108" s="4"/>
      <c r="WGE108" s="4"/>
      <c r="WGF108" s="4"/>
      <c r="WGG108" s="4"/>
      <c r="WGH108" s="4"/>
      <c r="WGI108" s="4"/>
      <c r="WGJ108" s="4"/>
      <c r="WGK108" s="4"/>
      <c r="WGL108" s="4"/>
      <c r="WGM108" s="4"/>
      <c r="WGN108" s="4"/>
      <c r="WGO108" s="4"/>
      <c r="WGP108" s="4"/>
      <c r="WGQ108" s="4"/>
      <c r="WGR108" s="4"/>
      <c r="WGS108" s="4"/>
      <c r="WGT108" s="4"/>
      <c r="WGU108" s="4"/>
      <c r="WGV108" s="4"/>
      <c r="WGW108" s="4"/>
      <c r="WGX108" s="4"/>
      <c r="WGY108" s="4"/>
      <c r="WGZ108" s="4"/>
      <c r="WHA108" s="4"/>
      <c r="WHB108" s="4"/>
      <c r="WHC108" s="4"/>
      <c r="WHD108" s="4"/>
      <c r="WHE108" s="4"/>
      <c r="WHF108" s="4"/>
      <c r="WHG108" s="4"/>
      <c r="WHH108" s="4"/>
      <c r="WHI108" s="4"/>
      <c r="WHJ108" s="4"/>
      <c r="WHK108" s="4"/>
      <c r="WHL108" s="4"/>
      <c r="WHM108" s="4"/>
      <c r="WHN108" s="4"/>
      <c r="WHO108" s="4"/>
      <c r="WHP108" s="4"/>
      <c r="WHQ108" s="4"/>
      <c r="WHR108" s="4"/>
      <c r="WHS108" s="4"/>
      <c r="WHT108" s="4"/>
      <c r="WHU108" s="4"/>
      <c r="WHV108" s="4"/>
      <c r="WHW108" s="4"/>
      <c r="WHX108" s="4"/>
      <c r="WHY108" s="4"/>
      <c r="WHZ108" s="4"/>
      <c r="WIA108" s="4"/>
      <c r="WIB108" s="4"/>
      <c r="WIC108" s="4"/>
      <c r="WID108" s="4"/>
      <c r="WIE108" s="4"/>
      <c r="WIF108" s="4"/>
      <c r="WIG108" s="4"/>
      <c r="WIH108" s="4"/>
      <c r="WII108" s="4"/>
      <c r="WIJ108" s="4"/>
      <c r="WIK108" s="4"/>
      <c r="WIL108" s="4"/>
      <c r="WIM108" s="4"/>
      <c r="WIN108" s="4"/>
      <c r="WIO108" s="4"/>
      <c r="WIP108" s="4"/>
      <c r="WIQ108" s="4"/>
      <c r="WIR108" s="4"/>
      <c r="WIS108" s="4"/>
      <c r="WIT108" s="4"/>
      <c r="WIU108" s="4"/>
      <c r="WIV108" s="4"/>
      <c r="WIW108" s="4"/>
      <c r="WIX108" s="4"/>
      <c r="WIY108" s="4"/>
      <c r="WIZ108" s="4"/>
      <c r="WJA108" s="4"/>
      <c r="WJB108" s="4"/>
      <c r="WJC108" s="4"/>
      <c r="WJD108" s="4"/>
      <c r="WJE108" s="4"/>
      <c r="WJF108" s="4"/>
      <c r="WJG108" s="4"/>
      <c r="WJH108" s="4"/>
      <c r="WJI108" s="4"/>
      <c r="WJJ108" s="4"/>
      <c r="WJK108" s="4"/>
      <c r="WJL108" s="4"/>
      <c r="WJM108" s="4"/>
      <c r="WJN108" s="4"/>
      <c r="WJO108" s="4"/>
      <c r="WJP108" s="4"/>
      <c r="WJQ108" s="4"/>
      <c r="WJR108" s="4"/>
      <c r="WJS108" s="4"/>
      <c r="WJT108" s="4"/>
      <c r="WJU108" s="4"/>
      <c r="WJV108" s="4"/>
      <c r="WJW108" s="4"/>
      <c r="WJX108" s="4"/>
      <c r="WJY108" s="4"/>
      <c r="WJZ108" s="4"/>
      <c r="WKA108" s="4"/>
      <c r="WKB108" s="4"/>
      <c r="WKC108" s="4"/>
      <c r="WKD108" s="4"/>
      <c r="WKE108" s="4"/>
      <c r="WKF108" s="4"/>
      <c r="WKG108" s="4"/>
      <c r="WKH108" s="4"/>
      <c r="WKI108" s="4"/>
      <c r="WKJ108" s="4"/>
      <c r="WKK108" s="4"/>
      <c r="WKL108" s="4"/>
      <c r="WKM108" s="4"/>
      <c r="WKN108" s="4"/>
      <c r="WKO108" s="4"/>
      <c r="WKP108" s="4"/>
      <c r="WKQ108" s="4"/>
      <c r="WKR108" s="4"/>
      <c r="WKS108" s="4"/>
      <c r="WKT108" s="4"/>
      <c r="WKU108" s="4"/>
      <c r="WKV108" s="4"/>
      <c r="WKW108" s="4"/>
      <c r="WKX108" s="4"/>
      <c r="WKY108" s="4"/>
      <c r="WKZ108" s="4"/>
      <c r="WLA108" s="4"/>
      <c r="WLB108" s="4"/>
      <c r="WLC108" s="4"/>
      <c r="WLD108" s="4"/>
      <c r="WLE108" s="4"/>
      <c r="WLF108" s="4"/>
      <c r="WLG108" s="4"/>
      <c r="WLH108" s="4"/>
      <c r="WLI108" s="4"/>
      <c r="WLJ108" s="4"/>
      <c r="WLK108" s="4"/>
      <c r="WLL108" s="4"/>
      <c r="WLM108" s="4"/>
      <c r="WLN108" s="4"/>
      <c r="WLO108" s="4"/>
      <c r="WLP108" s="4"/>
      <c r="WLQ108" s="4"/>
      <c r="WLR108" s="4"/>
      <c r="WLS108" s="4"/>
      <c r="WLT108" s="4"/>
      <c r="WLU108" s="4"/>
      <c r="WLV108" s="4"/>
      <c r="WLW108" s="4"/>
      <c r="WLX108" s="4"/>
      <c r="WLY108" s="4"/>
      <c r="WLZ108" s="4"/>
      <c r="WMA108" s="4"/>
      <c r="WMB108" s="4"/>
      <c r="WMC108" s="4"/>
      <c r="WMD108" s="4"/>
      <c r="WME108" s="4"/>
      <c r="WMF108" s="4"/>
      <c r="WMG108" s="4"/>
      <c r="WMH108" s="4"/>
      <c r="WMI108" s="4"/>
      <c r="WMJ108" s="4"/>
      <c r="WMK108" s="4"/>
      <c r="WML108" s="4"/>
      <c r="WMM108" s="4"/>
      <c r="WMN108" s="4"/>
      <c r="WMO108" s="4"/>
      <c r="WMP108" s="4"/>
      <c r="WMQ108" s="4"/>
      <c r="WMR108" s="4"/>
      <c r="WMS108" s="4"/>
      <c r="WMT108" s="4"/>
      <c r="WMU108" s="4"/>
      <c r="WMV108" s="4"/>
      <c r="WMW108" s="4"/>
      <c r="WMX108" s="4"/>
      <c r="WMY108" s="4"/>
      <c r="WMZ108" s="4"/>
      <c r="WNA108" s="4"/>
      <c r="WNB108" s="4"/>
      <c r="WNC108" s="4"/>
      <c r="WND108" s="4"/>
      <c r="WNE108" s="4"/>
      <c r="WNF108" s="4"/>
      <c r="WNG108" s="4"/>
      <c r="WNH108" s="4"/>
      <c r="WNI108" s="4"/>
      <c r="WNJ108" s="4"/>
      <c r="WNK108" s="4"/>
      <c r="WNL108" s="4"/>
      <c r="WNM108" s="4"/>
      <c r="WNN108" s="4"/>
      <c r="WNO108" s="4"/>
      <c r="WNP108" s="4"/>
      <c r="WNQ108" s="4"/>
      <c r="WNR108" s="4"/>
      <c r="WNS108" s="4"/>
      <c r="WNT108" s="4"/>
      <c r="WNU108" s="4"/>
      <c r="WNV108" s="4"/>
      <c r="WNW108" s="4"/>
      <c r="WNX108" s="4"/>
      <c r="WNY108" s="4"/>
      <c r="WNZ108" s="4"/>
      <c r="WOA108" s="4"/>
      <c r="WOB108" s="4"/>
      <c r="WOC108" s="4"/>
      <c r="WOD108" s="4"/>
      <c r="WOE108" s="4"/>
      <c r="WOF108" s="4"/>
      <c r="WOG108" s="4"/>
      <c r="WOH108" s="4"/>
      <c r="WOI108" s="4"/>
      <c r="WOJ108" s="4"/>
      <c r="WOK108" s="4"/>
      <c r="WOL108" s="4"/>
      <c r="WOM108" s="4"/>
      <c r="WON108" s="4"/>
      <c r="WOO108" s="4"/>
      <c r="WOP108" s="4"/>
      <c r="WOQ108" s="4"/>
      <c r="WOR108" s="4"/>
      <c r="WOS108" s="4"/>
      <c r="WOT108" s="4"/>
      <c r="WOU108" s="4"/>
      <c r="WOV108" s="4"/>
      <c r="WOW108" s="4"/>
      <c r="WOX108" s="4"/>
      <c r="WOY108" s="4"/>
      <c r="WOZ108" s="4"/>
      <c r="WPA108" s="4"/>
      <c r="WPB108" s="4"/>
      <c r="WPC108" s="4"/>
      <c r="WPD108" s="4"/>
      <c r="WPE108" s="4"/>
      <c r="WPF108" s="4"/>
      <c r="WPG108" s="4"/>
      <c r="WPH108" s="4"/>
      <c r="WPI108" s="4"/>
      <c r="WPJ108" s="4"/>
      <c r="WPK108" s="4"/>
      <c r="WPL108" s="4"/>
      <c r="WPM108" s="4"/>
      <c r="WPN108" s="4"/>
      <c r="WPO108" s="4"/>
      <c r="WPP108" s="4"/>
      <c r="WPQ108" s="4"/>
      <c r="WPR108" s="4"/>
      <c r="WPS108" s="4"/>
      <c r="WPT108" s="4"/>
      <c r="WPU108" s="4"/>
      <c r="WPV108" s="4"/>
      <c r="WPW108" s="4"/>
      <c r="WPX108" s="4"/>
      <c r="WPY108" s="4"/>
      <c r="WPZ108" s="4"/>
      <c r="WQA108" s="4"/>
      <c r="WQB108" s="4"/>
      <c r="WQC108" s="4"/>
      <c r="WQD108" s="4"/>
      <c r="WQE108" s="4"/>
      <c r="WQF108" s="4"/>
      <c r="WQG108" s="4"/>
      <c r="WQH108" s="4"/>
      <c r="WQI108" s="4"/>
      <c r="WQJ108" s="4"/>
      <c r="WQK108" s="4"/>
      <c r="WQL108" s="4"/>
      <c r="WQM108" s="4"/>
      <c r="WQN108" s="4"/>
      <c r="WQO108" s="4"/>
      <c r="WQP108" s="4"/>
      <c r="WQQ108" s="4"/>
      <c r="WQR108" s="4"/>
      <c r="WQS108" s="4"/>
      <c r="WQT108" s="4"/>
      <c r="WQU108" s="4"/>
      <c r="WQV108" s="4"/>
      <c r="WQW108" s="4"/>
      <c r="WQX108" s="4"/>
      <c r="WQY108" s="4"/>
      <c r="WQZ108" s="4"/>
      <c r="WRA108" s="4"/>
      <c r="WRB108" s="4"/>
      <c r="WRC108" s="4"/>
      <c r="WRD108" s="4"/>
      <c r="WRE108" s="4"/>
      <c r="WRF108" s="4"/>
      <c r="WRG108" s="4"/>
      <c r="WRH108" s="4"/>
      <c r="WRI108" s="4"/>
      <c r="WRJ108" s="4"/>
      <c r="WRK108" s="4"/>
      <c r="WRL108" s="4"/>
      <c r="WRM108" s="4"/>
      <c r="WRN108" s="4"/>
      <c r="WRO108" s="4"/>
      <c r="WRP108" s="4"/>
      <c r="WRQ108" s="4"/>
      <c r="WRR108" s="4"/>
      <c r="WRS108" s="4"/>
      <c r="WRT108" s="4"/>
      <c r="WRU108" s="4"/>
      <c r="WRV108" s="4"/>
      <c r="WRW108" s="4"/>
      <c r="WRX108" s="4"/>
      <c r="WRY108" s="4"/>
      <c r="WRZ108" s="4"/>
      <c r="WSA108" s="4"/>
      <c r="WSB108" s="4"/>
      <c r="WSC108" s="4"/>
      <c r="WSD108" s="4"/>
      <c r="WSE108" s="4"/>
      <c r="WSF108" s="4"/>
      <c r="WSG108" s="4"/>
      <c r="WSH108" s="4"/>
      <c r="WSI108" s="4"/>
      <c r="WSJ108" s="4"/>
      <c r="WSK108" s="4"/>
      <c r="WSL108" s="4"/>
      <c r="WSM108" s="4"/>
      <c r="WSN108" s="4"/>
      <c r="WSO108" s="4"/>
      <c r="WSP108" s="4"/>
      <c r="WSQ108" s="4"/>
      <c r="WSR108" s="4"/>
      <c r="WSS108" s="4"/>
      <c r="WST108" s="4"/>
      <c r="WSU108" s="4"/>
      <c r="WSV108" s="4"/>
      <c r="WSW108" s="4"/>
      <c r="WSX108" s="4"/>
      <c r="WSY108" s="4"/>
      <c r="WSZ108" s="4"/>
      <c r="WTA108" s="4"/>
      <c r="WTB108" s="4"/>
      <c r="WTC108" s="4"/>
      <c r="WTD108" s="4"/>
      <c r="WTE108" s="4"/>
      <c r="WTF108" s="4"/>
      <c r="WTG108" s="4"/>
      <c r="WTH108" s="4"/>
      <c r="WTI108" s="4"/>
      <c r="WTJ108" s="4"/>
      <c r="WTK108" s="4"/>
      <c r="WTL108" s="4"/>
      <c r="WTM108" s="4"/>
      <c r="WTN108" s="4"/>
      <c r="WTO108" s="4"/>
      <c r="WTP108" s="4"/>
      <c r="WTQ108" s="4"/>
      <c r="WTR108" s="4"/>
      <c r="WTS108" s="4"/>
      <c r="WTT108" s="4"/>
      <c r="WTU108" s="4"/>
      <c r="WTV108" s="4"/>
      <c r="WTW108" s="4"/>
      <c r="WTX108" s="4"/>
      <c r="WTY108" s="4"/>
      <c r="WTZ108" s="4"/>
      <c r="WUA108" s="4"/>
      <c r="WUB108" s="4"/>
      <c r="WUC108" s="4"/>
      <c r="WUD108" s="4"/>
      <c r="WUE108" s="4"/>
      <c r="WUF108" s="4"/>
      <c r="WUG108" s="4"/>
      <c r="WUH108" s="4"/>
      <c r="WUI108" s="4"/>
      <c r="WUJ108" s="4"/>
      <c r="WUK108" s="4"/>
      <c r="WUL108" s="4"/>
      <c r="WUM108" s="4"/>
      <c r="WUN108" s="4"/>
      <c r="WUO108" s="4"/>
      <c r="WUP108" s="4"/>
      <c r="WUQ108" s="4"/>
      <c r="WUR108" s="4"/>
      <c r="WUS108" s="4"/>
      <c r="WUT108" s="4"/>
      <c r="WUU108" s="4"/>
      <c r="WUV108" s="4"/>
      <c r="WUW108" s="4"/>
      <c r="WUX108" s="4"/>
      <c r="WUY108" s="4"/>
      <c r="WUZ108" s="4"/>
      <c r="WVA108" s="4"/>
      <c r="WVB108" s="4"/>
      <c r="WVC108" s="4"/>
      <c r="WVD108" s="4"/>
      <c r="WVE108" s="4"/>
      <c r="WVF108" s="4"/>
      <c r="WVG108" s="4"/>
      <c r="WVH108" s="4"/>
      <c r="WVI108" s="4"/>
      <c r="WVJ108" s="4"/>
      <c r="WVK108" s="4"/>
      <c r="WVL108" s="4"/>
      <c r="WVM108" s="4"/>
      <c r="WVN108" s="4"/>
      <c r="WVO108" s="4"/>
      <c r="WVP108" s="4"/>
      <c r="WVQ108" s="4"/>
      <c r="WVR108" s="4"/>
      <c r="WVS108" s="4"/>
      <c r="WVT108" s="4"/>
      <c r="WVU108" s="4"/>
      <c r="WVV108" s="4"/>
      <c r="WVW108" s="4"/>
      <c r="WVX108" s="4"/>
      <c r="WVY108" s="4"/>
      <c r="WVZ108" s="4"/>
      <c r="WWA108" s="4"/>
      <c r="WWB108" s="4"/>
      <c r="WWC108" s="4"/>
      <c r="WWD108" s="4"/>
      <c r="WWE108" s="4"/>
      <c r="WWF108" s="4"/>
      <c r="WWG108" s="4"/>
      <c r="WWH108" s="4"/>
      <c r="WWI108" s="4"/>
      <c r="WWJ108" s="4"/>
      <c r="WWK108" s="4"/>
      <c r="WWL108" s="4"/>
      <c r="WWM108" s="4"/>
      <c r="WWN108" s="4"/>
      <c r="WWO108" s="4"/>
      <c r="WWP108" s="4"/>
      <c r="WWQ108" s="4"/>
      <c r="WWR108" s="4"/>
      <c r="WWS108" s="4"/>
      <c r="WWT108" s="4"/>
      <c r="WWU108" s="4"/>
      <c r="WWV108" s="4"/>
      <c r="WWW108" s="4"/>
      <c r="WWX108" s="4"/>
      <c r="WWY108" s="4"/>
      <c r="WWZ108" s="4"/>
      <c r="WXA108" s="4"/>
      <c r="WXB108" s="4"/>
      <c r="WXC108" s="4"/>
      <c r="WXD108" s="4"/>
      <c r="WXE108" s="4"/>
      <c r="WXF108" s="4"/>
      <c r="WXG108" s="4"/>
      <c r="WXH108" s="4"/>
      <c r="WXI108" s="4"/>
      <c r="WXJ108" s="4"/>
      <c r="WXK108" s="4"/>
      <c r="WXL108" s="4"/>
      <c r="WXM108" s="4"/>
      <c r="WXN108" s="4"/>
      <c r="WXO108" s="4"/>
      <c r="WXP108" s="4"/>
      <c r="WXQ108" s="4"/>
      <c r="WXR108" s="4"/>
      <c r="WXS108" s="4"/>
      <c r="WXT108" s="4"/>
      <c r="WXU108" s="4"/>
      <c r="WXV108" s="4"/>
      <c r="WXW108" s="4"/>
      <c r="WXX108" s="4"/>
      <c r="WXY108" s="4"/>
      <c r="WXZ108" s="4"/>
      <c r="WYA108" s="4"/>
      <c r="WYB108" s="4"/>
      <c r="WYC108" s="4"/>
      <c r="WYD108" s="4"/>
      <c r="WYE108" s="4"/>
      <c r="WYF108" s="4"/>
      <c r="WYG108" s="4"/>
      <c r="WYH108" s="4"/>
      <c r="WYI108" s="4"/>
      <c r="WYJ108" s="4"/>
      <c r="WYK108" s="4"/>
      <c r="WYL108" s="4"/>
      <c r="WYM108" s="4"/>
      <c r="WYN108" s="4"/>
      <c r="WYO108" s="4"/>
      <c r="WYP108" s="4"/>
      <c r="WYQ108" s="4"/>
      <c r="WYR108" s="4"/>
      <c r="WYS108" s="4"/>
      <c r="WYT108" s="4"/>
      <c r="WYU108" s="4"/>
      <c r="WYV108" s="4"/>
      <c r="WYW108" s="4"/>
      <c r="WYX108" s="4"/>
      <c r="WYY108" s="4"/>
      <c r="WYZ108" s="4"/>
      <c r="WZA108" s="4"/>
      <c r="WZB108" s="4"/>
      <c r="WZC108" s="4"/>
      <c r="WZD108" s="4"/>
      <c r="WZE108" s="4"/>
      <c r="WZF108" s="4"/>
      <c r="WZG108" s="4"/>
      <c r="WZH108" s="4"/>
      <c r="WZI108" s="4"/>
      <c r="WZJ108" s="4"/>
      <c r="WZK108" s="4"/>
      <c r="WZL108" s="4"/>
      <c r="WZM108" s="4"/>
      <c r="WZN108" s="4"/>
      <c r="WZO108" s="4"/>
      <c r="WZP108" s="4"/>
      <c r="WZQ108" s="4"/>
      <c r="WZR108" s="4"/>
      <c r="WZS108" s="4"/>
      <c r="WZT108" s="4"/>
      <c r="WZU108" s="4"/>
      <c r="WZV108" s="4"/>
      <c r="WZW108" s="4"/>
      <c r="WZX108" s="4"/>
      <c r="WZY108" s="4"/>
      <c r="WZZ108" s="4"/>
      <c r="XAA108" s="4"/>
      <c r="XAB108" s="4"/>
      <c r="XAC108" s="4"/>
      <c r="XAD108" s="4"/>
      <c r="XAE108" s="4"/>
      <c r="XAF108" s="4"/>
      <c r="XAG108" s="4"/>
      <c r="XAH108" s="4"/>
      <c r="XAI108" s="4"/>
      <c r="XAJ108" s="4"/>
      <c r="XAK108" s="4"/>
      <c r="XAL108" s="4"/>
      <c r="XAM108" s="4"/>
      <c r="XAN108" s="4"/>
      <c r="XAO108" s="4"/>
      <c r="XAP108" s="4"/>
      <c r="XAQ108" s="4"/>
      <c r="XAR108" s="4"/>
      <c r="XAS108" s="4"/>
      <c r="XAT108" s="4"/>
      <c r="XAU108" s="4"/>
      <c r="XAV108" s="4"/>
      <c r="XAW108" s="4"/>
      <c r="XAX108" s="4"/>
      <c r="XAY108" s="4"/>
      <c r="XAZ108" s="4"/>
      <c r="XBA108" s="4"/>
      <c r="XBB108" s="4"/>
      <c r="XBC108" s="4"/>
      <c r="XBD108" s="4"/>
      <c r="XBE108" s="4"/>
      <c r="XBF108" s="4"/>
      <c r="XBG108" s="4"/>
      <c r="XBH108" s="4"/>
      <c r="XBI108" s="4"/>
      <c r="XBJ108" s="4"/>
      <c r="XBK108" s="4"/>
      <c r="XBL108" s="4"/>
      <c r="XBM108" s="4"/>
      <c r="XBN108" s="4"/>
      <c r="XBO108" s="4"/>
      <c r="XBP108" s="4"/>
      <c r="XBQ108" s="4"/>
      <c r="XBR108" s="4"/>
      <c r="XBS108" s="4"/>
      <c r="XBT108" s="4"/>
      <c r="XBU108" s="4"/>
      <c r="XBV108" s="4"/>
      <c r="XBW108" s="4"/>
      <c r="XBX108" s="4"/>
      <c r="XBY108" s="4"/>
      <c r="XBZ108" s="4"/>
      <c r="XCA108" s="4"/>
      <c r="XCB108" s="4"/>
      <c r="XCC108" s="4"/>
      <c r="XCD108" s="4"/>
      <c r="XCE108" s="4"/>
      <c r="XCF108" s="4"/>
      <c r="XCG108" s="4"/>
      <c r="XCH108" s="4"/>
      <c r="XCI108" s="4"/>
      <c r="XCJ108" s="4"/>
      <c r="XCK108" s="4"/>
      <c r="XCL108" s="4"/>
      <c r="XCM108" s="4"/>
      <c r="XCN108" s="4"/>
      <c r="XCO108" s="4"/>
      <c r="XCP108" s="4"/>
      <c r="XCQ108" s="4"/>
      <c r="XCR108" s="4"/>
      <c r="XCS108" s="4"/>
      <c r="XCT108" s="4"/>
      <c r="XCU108" s="4"/>
      <c r="XCV108" s="4"/>
      <c r="XCW108" s="4"/>
      <c r="XCX108" s="4"/>
      <c r="XCY108" s="4"/>
      <c r="XCZ108" s="4"/>
      <c r="XDA108" s="4"/>
      <c r="XDB108" s="4"/>
      <c r="XDC108" s="4"/>
      <c r="XDD108" s="4"/>
      <c r="XDE108" s="4"/>
      <c r="XDF108" s="4"/>
      <c r="XDG108" s="4"/>
      <c r="XDH108" s="4"/>
      <c r="XDI108" s="4"/>
      <c r="XDJ108" s="4"/>
      <c r="XDK108" s="4"/>
      <c r="XDL108" s="4"/>
      <c r="XDM108" s="4"/>
      <c r="XDN108" s="4"/>
      <c r="XDO108" s="4"/>
      <c r="XDP108" s="4"/>
      <c r="XDQ108" s="4"/>
      <c r="XDR108" s="4"/>
      <c r="XDS108" s="4"/>
      <c r="XDT108" s="4"/>
      <c r="XDU108" s="4"/>
      <c r="XDV108" s="4"/>
      <c r="XDW108" s="4"/>
      <c r="XDX108" s="4"/>
      <c r="XDY108" s="4"/>
      <c r="XDZ108" s="4"/>
      <c r="XEA108" s="4"/>
      <c r="XEB108" s="4"/>
      <c r="XEC108" s="4"/>
      <c r="XED108" s="4"/>
      <c r="XEE108" s="4"/>
      <c r="XEF108" s="4"/>
      <c r="XEG108" s="4"/>
      <c r="XEH108" s="4"/>
      <c r="XEI108" s="4"/>
      <c r="XEJ108" s="4"/>
      <c r="XEK108" s="4"/>
      <c r="XEL108" s="4"/>
      <c r="XEM108" s="4"/>
      <c r="XEN108" s="4"/>
      <c r="XEO108" s="4"/>
      <c r="XEP108" s="4"/>
      <c r="XEQ108" s="4"/>
      <c r="XER108" s="4"/>
      <c r="XES108" s="4"/>
      <c r="XET108" s="4"/>
      <c r="XEU108" s="4"/>
      <c r="XEV108" s="4"/>
      <c r="XEW108" s="4"/>
      <c r="XEX108" s="4"/>
      <c r="XEY108" s="4"/>
      <c r="XEZ108" s="4"/>
      <c r="XFA108" s="4"/>
      <c r="XFB108" s="4"/>
      <c r="XFC108" s="4"/>
      <c r="XFD108" s="4"/>
    </row>
  </sheetData>
  <pageMargins left="0.25" right="0.25" top="0.75" bottom="0.75" header="0.3" footer="0.3"/>
  <pageSetup scale="55" fitToHeight="2" orientation="landscape" r:id="rId1"/>
  <rowBreaks count="1" manualBreakCount="1">
    <brk id="59" max="17"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I10"/>
  <sheetViews>
    <sheetView workbookViewId="0">
      <selection activeCell="I8" sqref="I8"/>
    </sheetView>
  </sheetViews>
  <sheetFormatPr defaultRowHeight="15" x14ac:dyDescent="0.2"/>
  <cols>
    <col min="1" max="1" width="26.5546875" bestFit="1" customWidth="1"/>
    <col min="2" max="2" width="9.33203125" bestFit="1" customWidth="1"/>
    <col min="3" max="3" width="7.21875" bestFit="1" customWidth="1"/>
  </cols>
  <sheetData>
    <row r="5" spans="1:9" x14ac:dyDescent="0.2">
      <c r="A5" s="2" t="s">
        <v>9</v>
      </c>
      <c r="B5" s="183" t="s">
        <v>35</v>
      </c>
      <c r="C5" s="183" t="s">
        <v>214</v>
      </c>
      <c r="D5" s="183" t="s">
        <v>585</v>
      </c>
      <c r="E5" s="183" t="s">
        <v>38</v>
      </c>
      <c r="F5" s="183" t="s">
        <v>39</v>
      </c>
      <c r="G5" s="183" t="s">
        <v>40</v>
      </c>
      <c r="H5" s="183" t="s">
        <v>41</v>
      </c>
      <c r="I5" s="184" t="s">
        <v>273</v>
      </c>
    </row>
    <row r="6" spans="1:9" x14ac:dyDescent="0.2">
      <c r="A6" s="2" t="s">
        <v>584</v>
      </c>
      <c r="B6" s="4">
        <f>+'[33]Multi Family true up'!B5</f>
        <v>69.09</v>
      </c>
      <c r="C6" s="4">
        <f>+'[33]Multi Family true up'!C5</f>
        <v>75.67</v>
      </c>
      <c r="D6" s="4">
        <f>+'[33]Multi Family true up'!D5</f>
        <v>65.8</v>
      </c>
      <c r="E6" s="4">
        <f>+'[33]Multi Family true up'!E5</f>
        <v>72.38</v>
      </c>
      <c r="F6" s="4">
        <f>+'[33]Multi Family true up'!F5</f>
        <v>69.089999999999989</v>
      </c>
      <c r="G6" s="4">
        <f>+'[33]Multi Family true up'!G5</f>
        <v>75.669999999999987</v>
      </c>
      <c r="H6" s="4">
        <f>+'[33]Multi Family true up'!H5</f>
        <v>69.089999999999989</v>
      </c>
      <c r="I6" s="185">
        <f>+SUM(B6:H6)</f>
        <v>496.78999999999991</v>
      </c>
    </row>
    <row r="7" spans="1:9" x14ac:dyDescent="0.2">
      <c r="A7" s="2" t="s">
        <v>598</v>
      </c>
      <c r="B7" s="32">
        <f>+'[34]County Reporting'!$C$21</f>
        <v>1183.2108857171218</v>
      </c>
      <c r="C7" s="32">
        <f>+'[35]County Reporting'!$C$8</f>
        <v>1302.5572371187063</v>
      </c>
      <c r="D7" s="32">
        <f>+'[36]County Reporting'!$C$8</f>
        <v>925.77433832840904</v>
      </c>
      <c r="E7" s="32">
        <f>+'[37]County Reporting'!$C$8</f>
        <v>1220.8804048026811</v>
      </c>
      <c r="F7" s="32">
        <f>+'[38]County Reporting'!$C$8</f>
        <v>1155.9633252873559</v>
      </c>
      <c r="G7" s="32">
        <f>+'[39]County Reporting'!$C$8</f>
        <v>1304.0709544156812</v>
      </c>
      <c r="H7" s="32">
        <f>+'[40]County Reporting'!$C$8</f>
        <v>1188.1719045677</v>
      </c>
      <c r="I7" s="186">
        <f>+SUM(B7:H7)</f>
        <v>8280.629050237656</v>
      </c>
    </row>
    <row r="8" spans="1:9" x14ac:dyDescent="0.2">
      <c r="A8" s="2"/>
      <c r="B8" s="185">
        <f>+SUM(B6:B7)</f>
        <v>1252.3008857171217</v>
      </c>
      <c r="C8" s="185">
        <f t="shared" ref="C8:I8" si="0">+SUM(C6:C7)</f>
        <v>1378.2272371187064</v>
      </c>
      <c r="D8" s="185">
        <f t="shared" si="0"/>
        <v>991.574338328409</v>
      </c>
      <c r="E8" s="185">
        <f t="shared" si="0"/>
        <v>1293.260404802681</v>
      </c>
      <c r="F8" s="185">
        <f t="shared" si="0"/>
        <v>1225.0533252873558</v>
      </c>
      <c r="G8" s="185">
        <f t="shared" si="0"/>
        <v>1379.7409544156812</v>
      </c>
      <c r="H8" s="185">
        <f t="shared" si="0"/>
        <v>1257.2619045677</v>
      </c>
      <c r="I8" s="185">
        <f t="shared" si="0"/>
        <v>8777.419050237655</v>
      </c>
    </row>
    <row r="9" spans="1:9" x14ac:dyDescent="0.2">
      <c r="A9" s="2"/>
      <c r="B9" s="2"/>
      <c r="C9" s="2"/>
      <c r="D9" s="2"/>
      <c r="E9" s="2"/>
      <c r="F9" s="2"/>
      <c r="G9" s="2"/>
      <c r="H9" s="2"/>
      <c r="I9" s="2"/>
    </row>
    <row r="10" spans="1:9" x14ac:dyDescent="0.2">
      <c r="A10" s="2"/>
      <c r="B10" s="2"/>
      <c r="C10" s="2"/>
      <c r="D10" s="2"/>
      <c r="E10" s="2"/>
      <c r="F10" s="2"/>
      <c r="G10" s="2"/>
      <c r="H10" s="2"/>
      <c r="I10" s="2"/>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6"/>
  <sheetViews>
    <sheetView showOutlineSymbols="0" zoomScale="87" workbookViewId="0">
      <selection activeCell="J60" sqref="J60"/>
    </sheetView>
  </sheetViews>
  <sheetFormatPr defaultColWidth="11.44140625" defaultRowHeight="15" x14ac:dyDescent="0.2"/>
  <cols>
    <col min="1" max="1" width="11.44140625" customWidth="1"/>
    <col min="2" max="2" width="11.88671875" customWidth="1"/>
  </cols>
  <sheetData>
    <row r="1" spans="1:10" x14ac:dyDescent="0.2">
      <c r="E1" t="s">
        <v>0</v>
      </c>
    </row>
    <row r="2" spans="1:10" x14ac:dyDescent="0.2">
      <c r="E2" t="s">
        <v>1</v>
      </c>
    </row>
    <row r="3" spans="1:10" x14ac:dyDescent="0.2">
      <c r="E3" t="s">
        <v>2</v>
      </c>
    </row>
    <row r="4" spans="1:10" x14ac:dyDescent="0.2">
      <c r="E4" t="s">
        <v>112</v>
      </c>
    </row>
    <row r="6" spans="1:10" x14ac:dyDescent="0.2">
      <c r="B6" t="s">
        <v>81</v>
      </c>
    </row>
    <row r="8" spans="1:10" x14ac:dyDescent="0.2">
      <c r="B8" t="s">
        <v>14</v>
      </c>
      <c r="C8" t="s">
        <v>15</v>
      </c>
      <c r="D8" t="s">
        <v>16</v>
      </c>
      <c r="E8" t="s">
        <v>17</v>
      </c>
      <c r="F8" t="s">
        <v>18</v>
      </c>
      <c r="G8" t="s">
        <v>19</v>
      </c>
      <c r="H8" t="s">
        <v>82</v>
      </c>
      <c r="I8" t="s">
        <v>83</v>
      </c>
      <c r="J8" t="s">
        <v>84</v>
      </c>
    </row>
    <row r="9" spans="1:10" x14ac:dyDescent="0.2">
      <c r="A9" t="s">
        <v>9</v>
      </c>
    </row>
    <row r="10" spans="1:10" x14ac:dyDescent="0.2">
      <c r="A10" t="s">
        <v>113</v>
      </c>
      <c r="B10">
        <v>218.88</v>
      </c>
      <c r="C10">
        <v>181.15</v>
      </c>
      <c r="D10">
        <v>21.53</v>
      </c>
      <c r="E10">
        <v>70.81</v>
      </c>
      <c r="F10">
        <v>6.93</v>
      </c>
      <c r="G10">
        <f>4.462+8.906</f>
        <v>13.368</v>
      </c>
      <c r="H10">
        <v>0</v>
      </c>
      <c r="I10">
        <f>1.92+6.25</f>
        <v>8.17</v>
      </c>
      <c r="J10">
        <f t="shared" ref="J10:J23" si="0">SUM(B10:I10)</f>
        <v>520.83799999999997</v>
      </c>
    </row>
    <row r="11" spans="1:10" x14ac:dyDescent="0.2">
      <c r="A11" t="s">
        <v>34</v>
      </c>
      <c r="B11">
        <v>265.27999999999997</v>
      </c>
      <c r="C11">
        <v>207.95</v>
      </c>
      <c r="D11">
        <v>24.51</v>
      </c>
      <c r="E11">
        <v>85.64</v>
      </c>
      <c r="F11">
        <v>6.87</v>
      </c>
      <c r="G11">
        <f>4.192+9.073</f>
        <v>13.265000000000001</v>
      </c>
      <c r="H11">
        <v>0</v>
      </c>
      <c r="I11">
        <f>5.52+8.9</f>
        <v>14.42</v>
      </c>
      <c r="J11">
        <f t="shared" si="0"/>
        <v>617.93499999999995</v>
      </c>
    </row>
    <row r="12" spans="1:10" x14ac:dyDescent="0.2">
      <c r="A12" t="s">
        <v>114</v>
      </c>
      <c r="B12">
        <v>278.22000000000003</v>
      </c>
      <c r="C12">
        <v>217.02</v>
      </c>
      <c r="D12">
        <v>29.03</v>
      </c>
      <c r="E12">
        <v>93.74</v>
      </c>
      <c r="F12">
        <v>9.26</v>
      </c>
      <c r="G12">
        <f>6.044+11.837</f>
        <v>17.881</v>
      </c>
      <c r="H12">
        <v>0</v>
      </c>
      <c r="I12">
        <f>0.17+8.09</f>
        <v>8.26</v>
      </c>
      <c r="J12">
        <f t="shared" si="0"/>
        <v>653.41099999999994</v>
      </c>
    </row>
    <row r="13" spans="1:10" x14ac:dyDescent="0.2">
      <c r="A13" t="s">
        <v>115</v>
      </c>
      <c r="B13">
        <v>208.52</v>
      </c>
      <c r="C13">
        <v>167.71</v>
      </c>
      <c r="D13">
        <v>25.25</v>
      </c>
      <c r="E13">
        <v>59.02</v>
      </c>
      <c r="F13">
        <v>8.5299999999999994</v>
      </c>
      <c r="G13">
        <f>5.229+11.312</f>
        <v>16.541</v>
      </c>
      <c r="H13">
        <v>0</v>
      </c>
      <c r="I13">
        <f>1.9235+4.855</f>
        <v>6.7785000000000002</v>
      </c>
      <c r="J13">
        <f t="shared" si="0"/>
        <v>492.34949999999998</v>
      </c>
    </row>
    <row r="14" spans="1:10" x14ac:dyDescent="0.2">
      <c r="A14" t="s">
        <v>37</v>
      </c>
      <c r="B14">
        <v>204.88</v>
      </c>
      <c r="C14">
        <v>177.11</v>
      </c>
      <c r="D14">
        <v>24.01</v>
      </c>
      <c r="E14">
        <v>68.400000000000006</v>
      </c>
      <c r="F14">
        <v>6.78</v>
      </c>
      <c r="G14">
        <f>4.37+8.74</f>
        <v>13.11</v>
      </c>
      <c r="H14">
        <v>0</v>
      </c>
      <c r="I14">
        <f>4.272+10.144</f>
        <v>14.416</v>
      </c>
      <c r="J14">
        <f t="shared" si="0"/>
        <v>508.70599999999996</v>
      </c>
    </row>
    <row r="15" spans="1:10" x14ac:dyDescent="0.2">
      <c r="A15" t="s">
        <v>38</v>
      </c>
      <c r="B15">
        <v>235.56</v>
      </c>
      <c r="C15">
        <v>206.32</v>
      </c>
      <c r="D15">
        <v>25.59</v>
      </c>
      <c r="E15">
        <v>100.6</v>
      </c>
      <c r="F15">
        <v>9.34</v>
      </c>
      <c r="G15">
        <f>5.251+13.319</f>
        <v>18.57</v>
      </c>
      <c r="H15">
        <v>0</v>
      </c>
      <c r="I15">
        <f>3.32+6.7</f>
        <v>10.02</v>
      </c>
      <c r="J15">
        <f t="shared" si="0"/>
        <v>606</v>
      </c>
    </row>
    <row r="16" spans="1:10" x14ac:dyDescent="0.2">
      <c r="A16" t="s">
        <v>95</v>
      </c>
      <c r="B16">
        <v>218.91</v>
      </c>
      <c r="C16">
        <v>171.26</v>
      </c>
      <c r="D16">
        <v>23.28</v>
      </c>
      <c r="E16">
        <v>62.88</v>
      </c>
      <c r="F16">
        <v>8.09</v>
      </c>
      <c r="G16">
        <f>5.12+10.3895</f>
        <v>15.509499999999999</v>
      </c>
      <c r="H16">
        <v>0</v>
      </c>
      <c r="I16">
        <f>3.34+6.61</f>
        <v>9.9499999999999993</v>
      </c>
      <c r="J16">
        <f t="shared" si="0"/>
        <v>509.87949999999989</v>
      </c>
    </row>
    <row r="17" spans="1:10" x14ac:dyDescent="0.2">
      <c r="A17" t="s">
        <v>40</v>
      </c>
      <c r="B17">
        <v>281</v>
      </c>
      <c r="C17">
        <v>193.64</v>
      </c>
      <c r="D17">
        <v>27.58</v>
      </c>
      <c r="E17">
        <v>62.41</v>
      </c>
      <c r="F17">
        <v>7.35</v>
      </c>
      <c r="G17">
        <f>9.673+4.521</f>
        <v>14.193999999999999</v>
      </c>
      <c r="H17">
        <v>0</v>
      </c>
      <c r="I17">
        <f>10.32+4.83</f>
        <v>15.15</v>
      </c>
      <c r="J17">
        <f t="shared" si="0"/>
        <v>601.32399999999996</v>
      </c>
    </row>
    <row r="18" spans="1:10" x14ac:dyDescent="0.2">
      <c r="A18" t="s">
        <v>41</v>
      </c>
      <c r="B18">
        <v>227.39</v>
      </c>
      <c r="C18">
        <v>183.06</v>
      </c>
      <c r="D18">
        <v>25.31</v>
      </c>
      <c r="E18">
        <v>54.31</v>
      </c>
      <c r="F18">
        <v>6.34</v>
      </c>
      <c r="G18">
        <f>3.571+8.67</f>
        <v>12.241</v>
      </c>
      <c r="H18">
        <v>0</v>
      </c>
      <c r="I18">
        <f>3.505+8.565</f>
        <v>12.07</v>
      </c>
      <c r="J18">
        <f t="shared" si="0"/>
        <v>520.721</v>
      </c>
    </row>
    <row r="19" spans="1:10" x14ac:dyDescent="0.2">
      <c r="A19" t="s">
        <v>42</v>
      </c>
      <c r="B19">
        <v>211.18</v>
      </c>
      <c r="C19">
        <v>160.41999999999999</v>
      </c>
      <c r="D19">
        <v>25.12</v>
      </c>
      <c r="E19">
        <v>85.65</v>
      </c>
      <c r="F19">
        <v>6.93</v>
      </c>
      <c r="G19">
        <f>4.205+9.1825</f>
        <v>13.387499999999999</v>
      </c>
      <c r="H19">
        <v>0</v>
      </c>
      <c r="I19">
        <f>4.64+10.125</f>
        <v>14.765000000000001</v>
      </c>
      <c r="J19">
        <f t="shared" si="0"/>
        <v>517.45249999999999</v>
      </c>
    </row>
    <row r="20" spans="1:10" x14ac:dyDescent="0.2">
      <c r="A20" t="s">
        <v>43</v>
      </c>
      <c r="B20">
        <v>243.96</v>
      </c>
      <c r="C20">
        <v>171.98</v>
      </c>
      <c r="D20">
        <v>26.06</v>
      </c>
      <c r="E20">
        <v>109.79</v>
      </c>
      <c r="F20">
        <v>6.98</v>
      </c>
      <c r="G20">
        <f>3.818+9.655</f>
        <v>13.472999999999999</v>
      </c>
      <c r="H20">
        <v>0</v>
      </c>
      <c r="I20">
        <f>4.155+7.45</f>
        <v>11.605</v>
      </c>
      <c r="J20">
        <f t="shared" si="0"/>
        <v>583.84799999999996</v>
      </c>
    </row>
    <row r="21" spans="1:10" x14ac:dyDescent="0.2">
      <c r="A21" t="s">
        <v>44</v>
      </c>
      <c r="B21">
        <v>238.38</v>
      </c>
      <c r="C21">
        <v>178.07</v>
      </c>
      <c r="D21">
        <v>22.67</v>
      </c>
      <c r="E21">
        <v>24.06</v>
      </c>
      <c r="F21">
        <v>6.94</v>
      </c>
      <c r="G21">
        <f>4.126+9.278</f>
        <v>13.404</v>
      </c>
      <c r="H21">
        <v>0</v>
      </c>
      <c r="I21">
        <f>3.02+5.7</f>
        <v>8.7200000000000006</v>
      </c>
      <c r="J21">
        <f t="shared" si="0"/>
        <v>492.24400000000003</v>
      </c>
    </row>
    <row r="22" spans="1:10" x14ac:dyDescent="0.2">
      <c r="A22" t="s">
        <v>116</v>
      </c>
      <c r="B22">
        <v>246.54</v>
      </c>
      <c r="C22">
        <v>180.37</v>
      </c>
      <c r="D22">
        <v>21.8</v>
      </c>
      <c r="E22">
        <v>61.74</v>
      </c>
      <c r="F22">
        <v>6.52</v>
      </c>
      <c r="G22">
        <f>4.137+8.449</f>
        <v>12.585999999999999</v>
      </c>
      <c r="H22">
        <v>0</v>
      </c>
      <c r="I22">
        <f>3.41+7.19</f>
        <v>10.600000000000001</v>
      </c>
      <c r="J22">
        <f t="shared" si="0"/>
        <v>540.15600000000006</v>
      </c>
    </row>
    <row r="23" spans="1:10" x14ac:dyDescent="0.2">
      <c r="A23" t="s">
        <v>34</v>
      </c>
      <c r="B23">
        <v>262.33999999999997</v>
      </c>
      <c r="C23">
        <v>206.92</v>
      </c>
      <c r="D23">
        <v>20.7</v>
      </c>
      <c r="E23">
        <v>61.53</v>
      </c>
      <c r="F23">
        <v>7.14</v>
      </c>
      <c r="G23">
        <f>9.672+4.12</f>
        <v>13.792000000000002</v>
      </c>
      <c r="H23">
        <v>0</v>
      </c>
      <c r="I23">
        <f>7.215+3.318</f>
        <v>10.532999999999999</v>
      </c>
      <c r="J23">
        <f t="shared" si="0"/>
        <v>582.95500000000004</v>
      </c>
    </row>
    <row r="25" spans="1:10" x14ac:dyDescent="0.2">
      <c r="A25" t="s">
        <v>22</v>
      </c>
      <c r="B25">
        <f t="shared" ref="B25:J25" si="1">SUM(B10:B24)</f>
        <v>3341.04</v>
      </c>
      <c r="C25">
        <f t="shared" si="1"/>
        <v>2602.98</v>
      </c>
      <c r="D25">
        <f t="shared" si="1"/>
        <v>342.44000000000005</v>
      </c>
      <c r="E25">
        <f t="shared" si="1"/>
        <v>1000.5799999999998</v>
      </c>
      <c r="F25">
        <f t="shared" si="1"/>
        <v>104.00000000000001</v>
      </c>
      <c r="G25">
        <f t="shared" si="1"/>
        <v>201.32200000000003</v>
      </c>
      <c r="H25">
        <f t="shared" si="1"/>
        <v>0</v>
      </c>
      <c r="I25">
        <f t="shared" si="1"/>
        <v>155.45749999999998</v>
      </c>
      <c r="J25">
        <f t="shared" si="1"/>
        <v>7747.8194999999987</v>
      </c>
    </row>
    <row r="27" spans="1:10" x14ac:dyDescent="0.2">
      <c r="A27" t="s">
        <v>117</v>
      </c>
      <c r="B27">
        <v>0.28100000000000003</v>
      </c>
      <c r="C27">
        <v>0.31900000000000001</v>
      </c>
      <c r="D27">
        <v>7.8E-2</v>
      </c>
      <c r="E27">
        <v>0.2409</v>
      </c>
      <c r="F27">
        <v>1.7500000000000002E-2</v>
      </c>
      <c r="G27">
        <v>3.9600000000000003E-2</v>
      </c>
      <c r="H27">
        <v>1.3599999999999999E-2</v>
      </c>
      <c r="I27">
        <v>1.04E-2</v>
      </c>
    </row>
    <row r="29" spans="1:10" x14ac:dyDescent="0.2">
      <c r="A29" t="s">
        <v>86</v>
      </c>
    </row>
    <row r="30" spans="1:10" x14ac:dyDescent="0.2">
      <c r="A30" t="s">
        <v>113</v>
      </c>
      <c r="B30">
        <v>35</v>
      </c>
      <c r="C30">
        <v>0</v>
      </c>
      <c r="D30">
        <v>56</v>
      </c>
      <c r="E30" t="s">
        <v>118</v>
      </c>
      <c r="F30">
        <f>0.22*2000</f>
        <v>440</v>
      </c>
      <c r="G30">
        <v>15</v>
      </c>
      <c r="H30">
        <v>0</v>
      </c>
      <c r="I30">
        <f>0.08*2000</f>
        <v>160</v>
      </c>
    </row>
    <row r="31" spans="1:10" x14ac:dyDescent="0.2">
      <c r="A31" t="s">
        <v>34</v>
      </c>
      <c r="B31">
        <v>35</v>
      </c>
      <c r="C31">
        <v>0</v>
      </c>
      <c r="D31">
        <v>56</v>
      </c>
      <c r="E31" t="s">
        <v>118</v>
      </c>
      <c r="F31">
        <f>0.22*2000</f>
        <v>440</v>
      </c>
      <c r="G31">
        <v>-25</v>
      </c>
      <c r="H31">
        <v>0</v>
      </c>
      <c r="I31">
        <f>0.08*2000</f>
        <v>160</v>
      </c>
    </row>
    <row r="32" spans="1:10" x14ac:dyDescent="0.2">
      <c r="A32" t="s">
        <v>114</v>
      </c>
      <c r="B32">
        <v>35</v>
      </c>
      <c r="C32">
        <v>0</v>
      </c>
      <c r="D32">
        <v>56</v>
      </c>
      <c r="E32" t="s">
        <v>118</v>
      </c>
      <c r="F32">
        <f>0.22*2000</f>
        <v>440</v>
      </c>
      <c r="G32">
        <v>-25</v>
      </c>
      <c r="H32">
        <v>0</v>
      </c>
      <c r="I32">
        <f>0.08*2000</f>
        <v>160</v>
      </c>
    </row>
    <row r="33" spans="1:10" x14ac:dyDescent="0.2">
      <c r="A33" t="s">
        <v>115</v>
      </c>
      <c r="B33">
        <v>35</v>
      </c>
      <c r="C33">
        <v>12.5</v>
      </c>
      <c r="D33">
        <v>56</v>
      </c>
      <c r="E33" t="s">
        <v>118</v>
      </c>
      <c r="F33">
        <f t="shared" ref="F33:F43" si="2">0.25*2000</f>
        <v>500</v>
      </c>
      <c r="G33">
        <v>-25</v>
      </c>
      <c r="H33">
        <v>0</v>
      </c>
      <c r="I33">
        <v>160</v>
      </c>
    </row>
    <row r="34" spans="1:10" x14ac:dyDescent="0.2">
      <c r="A34" t="s">
        <v>37</v>
      </c>
      <c r="B34">
        <v>35</v>
      </c>
      <c r="C34">
        <v>12.5</v>
      </c>
      <c r="D34">
        <v>56</v>
      </c>
      <c r="E34" t="s">
        <v>118</v>
      </c>
      <c r="F34">
        <f t="shared" si="2"/>
        <v>500</v>
      </c>
      <c r="G34">
        <v>-25</v>
      </c>
      <c r="H34">
        <v>0</v>
      </c>
      <c r="I34">
        <v>160</v>
      </c>
    </row>
    <row r="35" spans="1:10" x14ac:dyDescent="0.2">
      <c r="A35" t="s">
        <v>38</v>
      </c>
      <c r="B35">
        <v>45.5</v>
      </c>
      <c r="C35">
        <v>15</v>
      </c>
      <c r="D35">
        <v>80</v>
      </c>
      <c r="E35" t="s">
        <v>118</v>
      </c>
      <c r="F35">
        <f t="shared" si="2"/>
        <v>500</v>
      </c>
      <c r="G35">
        <v>-25</v>
      </c>
      <c r="H35">
        <v>0</v>
      </c>
      <c r="I35">
        <v>160</v>
      </c>
    </row>
    <row r="36" spans="1:10" x14ac:dyDescent="0.2">
      <c r="A36" t="s">
        <v>95</v>
      </c>
      <c r="B36">
        <v>45.5</v>
      </c>
      <c r="C36">
        <v>15</v>
      </c>
      <c r="D36">
        <v>80</v>
      </c>
      <c r="E36" t="s">
        <v>118</v>
      </c>
      <c r="F36">
        <f t="shared" si="2"/>
        <v>500</v>
      </c>
      <c r="G36">
        <v>-25</v>
      </c>
      <c r="H36">
        <v>0</v>
      </c>
      <c r="I36">
        <v>160</v>
      </c>
    </row>
    <row r="37" spans="1:10" x14ac:dyDescent="0.2">
      <c r="A37" t="s">
        <v>40</v>
      </c>
      <c r="B37">
        <v>45.5</v>
      </c>
      <c r="C37">
        <v>15</v>
      </c>
      <c r="D37">
        <v>80</v>
      </c>
      <c r="E37" t="s">
        <v>118</v>
      </c>
      <c r="F37">
        <f t="shared" si="2"/>
        <v>500</v>
      </c>
      <c r="G37">
        <v>-25</v>
      </c>
      <c r="H37">
        <v>0</v>
      </c>
      <c r="I37">
        <v>160</v>
      </c>
    </row>
    <row r="38" spans="1:10" x14ac:dyDescent="0.2">
      <c r="A38" t="s">
        <v>41</v>
      </c>
      <c r="B38">
        <v>49</v>
      </c>
      <c r="C38">
        <v>15</v>
      </c>
      <c r="D38">
        <v>70</v>
      </c>
      <c r="E38" t="s">
        <v>118</v>
      </c>
      <c r="F38">
        <f t="shared" si="2"/>
        <v>500</v>
      </c>
      <c r="G38">
        <v>-25</v>
      </c>
      <c r="H38">
        <v>0</v>
      </c>
      <c r="I38">
        <v>160</v>
      </c>
    </row>
    <row r="39" spans="1:10" x14ac:dyDescent="0.2">
      <c r="A39" t="s">
        <v>42</v>
      </c>
      <c r="B39">
        <v>31.5</v>
      </c>
      <c r="C39">
        <v>17.5</v>
      </c>
      <c r="D39">
        <v>46</v>
      </c>
      <c r="E39" t="s">
        <v>118</v>
      </c>
      <c r="F39">
        <f t="shared" si="2"/>
        <v>500</v>
      </c>
      <c r="G39">
        <v>-25</v>
      </c>
      <c r="H39">
        <v>0</v>
      </c>
      <c r="I39">
        <v>160</v>
      </c>
    </row>
    <row r="40" spans="1:10" x14ac:dyDescent="0.2">
      <c r="A40" t="s">
        <v>43</v>
      </c>
      <c r="B40">
        <v>28</v>
      </c>
      <c r="C40">
        <v>17.5</v>
      </c>
      <c r="D40">
        <v>38</v>
      </c>
      <c r="E40" t="s">
        <v>118</v>
      </c>
      <c r="F40">
        <f t="shared" si="2"/>
        <v>500</v>
      </c>
      <c r="G40">
        <v>-25</v>
      </c>
      <c r="H40">
        <v>0</v>
      </c>
      <c r="I40">
        <v>160</v>
      </c>
    </row>
    <row r="41" spans="1:10" x14ac:dyDescent="0.2">
      <c r="A41" t="s">
        <v>44</v>
      </c>
      <c r="B41">
        <v>28</v>
      </c>
      <c r="C41">
        <v>17.5</v>
      </c>
      <c r="D41">
        <v>38</v>
      </c>
      <c r="E41" t="s">
        <v>118</v>
      </c>
      <c r="F41">
        <f t="shared" si="2"/>
        <v>500</v>
      </c>
      <c r="G41">
        <v>-25</v>
      </c>
      <c r="H41">
        <v>0</v>
      </c>
      <c r="I41">
        <v>160</v>
      </c>
    </row>
    <row r="42" spans="1:10" x14ac:dyDescent="0.2">
      <c r="A42" t="s">
        <v>116</v>
      </c>
      <c r="B42">
        <v>29.75</v>
      </c>
      <c r="C42">
        <v>17.5</v>
      </c>
      <c r="D42">
        <v>38</v>
      </c>
      <c r="E42" t="s">
        <v>118</v>
      </c>
      <c r="F42">
        <f t="shared" si="2"/>
        <v>500</v>
      </c>
      <c r="G42">
        <v>-25</v>
      </c>
      <c r="H42">
        <v>0</v>
      </c>
      <c r="I42">
        <v>160</v>
      </c>
    </row>
    <row r="43" spans="1:10" x14ac:dyDescent="0.2">
      <c r="A43" t="s">
        <v>34</v>
      </c>
      <c r="B43">
        <v>31.5</v>
      </c>
      <c r="C43">
        <v>17.5</v>
      </c>
      <c r="D43">
        <v>33.75</v>
      </c>
      <c r="E43" t="s">
        <v>118</v>
      </c>
      <c r="F43">
        <f t="shared" si="2"/>
        <v>500</v>
      </c>
      <c r="G43">
        <v>-25</v>
      </c>
      <c r="H43">
        <v>0</v>
      </c>
      <c r="I43">
        <v>160</v>
      </c>
    </row>
    <row r="46" spans="1:10" x14ac:dyDescent="0.2">
      <c r="A46" t="s">
        <v>24</v>
      </c>
      <c r="C46" t="s">
        <v>6</v>
      </c>
    </row>
    <row r="47" spans="1:10" x14ac:dyDescent="0.2">
      <c r="A47" t="s">
        <v>113</v>
      </c>
      <c r="B47">
        <f t="shared" ref="B47:D49" si="3">B10*B30</f>
        <v>7660.8</v>
      </c>
      <c r="C47">
        <f t="shared" si="3"/>
        <v>0</v>
      </c>
      <c r="D47">
        <f t="shared" si="3"/>
        <v>1205.68</v>
      </c>
      <c r="E47">
        <v>866.67</v>
      </c>
      <c r="F47">
        <f>F10*F30-0.22</f>
        <v>3048.98</v>
      </c>
      <c r="G47">
        <v>200.53</v>
      </c>
      <c r="H47">
        <f t="shared" ref="H47:H58" si="4">H10*H30</f>
        <v>0</v>
      </c>
      <c r="I47">
        <v>1500.8</v>
      </c>
      <c r="J47">
        <f t="shared" ref="J47:J60" si="5">SUM(B47:I47)</f>
        <v>14483.46</v>
      </c>
    </row>
    <row r="48" spans="1:10" x14ac:dyDescent="0.2">
      <c r="A48" t="s">
        <v>34</v>
      </c>
      <c r="B48">
        <f t="shared" si="3"/>
        <v>9284.7999999999993</v>
      </c>
      <c r="C48">
        <f t="shared" si="3"/>
        <v>0</v>
      </c>
      <c r="D48">
        <f t="shared" si="3"/>
        <v>1372.5600000000002</v>
      </c>
      <c r="E48">
        <v>628.80999999999995</v>
      </c>
      <c r="F48">
        <f>F11*F31</f>
        <v>3022.8</v>
      </c>
      <c r="G48">
        <f>G11*G31</f>
        <v>-331.625</v>
      </c>
      <c r="H48">
        <f t="shared" si="4"/>
        <v>0</v>
      </c>
      <c r="I48">
        <f>I11*I31</f>
        <v>2307.1999999999998</v>
      </c>
      <c r="J48">
        <f t="shared" si="5"/>
        <v>16284.544999999998</v>
      </c>
    </row>
    <row r="49" spans="1:11" x14ac:dyDescent="0.2">
      <c r="A49" t="s">
        <v>35</v>
      </c>
      <c r="B49">
        <f t="shared" si="3"/>
        <v>9737.7000000000007</v>
      </c>
      <c r="C49">
        <f t="shared" si="3"/>
        <v>0</v>
      </c>
      <c r="D49">
        <f t="shared" si="3"/>
        <v>1625.68</v>
      </c>
      <c r="E49">
        <v>-1228.53</v>
      </c>
      <c r="F49">
        <v>4075.72</v>
      </c>
      <c r="G49">
        <f>G12*G32</f>
        <v>-447.02499999999998</v>
      </c>
      <c r="H49">
        <f t="shared" si="4"/>
        <v>0</v>
      </c>
      <c r="I49">
        <v>1902.4</v>
      </c>
      <c r="J49">
        <f t="shared" si="5"/>
        <v>15665.945</v>
      </c>
    </row>
    <row r="50" spans="1:11" x14ac:dyDescent="0.2">
      <c r="A50" t="s">
        <v>115</v>
      </c>
      <c r="B50">
        <v>7298.02</v>
      </c>
      <c r="C50">
        <f>C13*C33</f>
        <v>2096.375</v>
      </c>
      <c r="D50">
        <f>D13*D33</f>
        <v>1414</v>
      </c>
      <c r="E50">
        <v>930.31</v>
      </c>
      <c r="F50">
        <f>F13*F33</f>
        <v>4265</v>
      </c>
      <c r="G50">
        <v>-426.67</v>
      </c>
      <c r="H50">
        <f t="shared" si="4"/>
        <v>0</v>
      </c>
      <c r="I50">
        <v>1084.72</v>
      </c>
      <c r="J50">
        <f t="shared" si="5"/>
        <v>16661.755000000001</v>
      </c>
    </row>
    <row r="51" spans="1:11" x14ac:dyDescent="0.2">
      <c r="A51" t="s">
        <v>37</v>
      </c>
      <c r="B51">
        <f>B14*B34</f>
        <v>7170.8</v>
      </c>
      <c r="C51">
        <v>2347.8200000000002</v>
      </c>
      <c r="D51">
        <v>912.24</v>
      </c>
      <c r="E51">
        <v>210.79</v>
      </c>
      <c r="F51">
        <v>3414.96</v>
      </c>
      <c r="G51">
        <v>-335.24</v>
      </c>
      <c r="H51">
        <f t="shared" si="4"/>
        <v>0</v>
      </c>
      <c r="I51">
        <v>2161.44</v>
      </c>
      <c r="J51">
        <f t="shared" si="5"/>
        <v>15882.810000000001</v>
      </c>
    </row>
    <row r="52" spans="1:11" x14ac:dyDescent="0.2">
      <c r="A52" t="s">
        <v>38</v>
      </c>
      <c r="B52">
        <v>10783.29</v>
      </c>
      <c r="C52">
        <v>3176.7</v>
      </c>
      <c r="D52">
        <v>2063.52</v>
      </c>
      <c r="E52">
        <v>1656.8</v>
      </c>
      <c r="F52">
        <f>1372.46+3312.75</f>
        <v>4685.21</v>
      </c>
      <c r="G52">
        <v>-473.29</v>
      </c>
      <c r="H52">
        <f t="shared" si="4"/>
        <v>0</v>
      </c>
      <c r="I52">
        <v>1475.2</v>
      </c>
      <c r="J52">
        <f t="shared" si="5"/>
        <v>23367.43</v>
      </c>
    </row>
    <row r="53" spans="1:11" x14ac:dyDescent="0.2">
      <c r="A53" t="s">
        <v>95</v>
      </c>
      <c r="B53">
        <v>9887.15</v>
      </c>
      <c r="C53">
        <v>2550.6</v>
      </c>
      <c r="D53">
        <v>1848.8</v>
      </c>
      <c r="E53">
        <v>117.19</v>
      </c>
      <c r="F53">
        <f>1323.75+2690.75</f>
        <v>4014.5</v>
      </c>
      <c r="G53">
        <v>-402.44</v>
      </c>
      <c r="H53">
        <f t="shared" si="4"/>
        <v>0</v>
      </c>
      <c r="I53">
        <v>1579.2</v>
      </c>
      <c r="J53">
        <f t="shared" si="5"/>
        <v>19595</v>
      </c>
    </row>
    <row r="54" spans="1:11" x14ac:dyDescent="0.2">
      <c r="A54" t="s">
        <v>40</v>
      </c>
      <c r="B54">
        <f>B17*B37</f>
        <v>12785.5</v>
      </c>
      <c r="C54">
        <f>C17*C37</f>
        <v>2904.6</v>
      </c>
      <c r="D54">
        <f>D17*D37</f>
        <v>2206.3999999999996</v>
      </c>
      <c r="E54">
        <v>544</v>
      </c>
      <c r="F54">
        <f>2505.75+1171</f>
        <v>3676.75</v>
      </c>
      <c r="G54">
        <v>-371.86</v>
      </c>
      <c r="H54">
        <f t="shared" si="4"/>
        <v>0</v>
      </c>
      <c r="I54">
        <f>I17*I37</f>
        <v>2424</v>
      </c>
      <c r="J54">
        <f t="shared" si="5"/>
        <v>24169.39</v>
      </c>
    </row>
    <row r="55" spans="1:11" x14ac:dyDescent="0.2">
      <c r="A55" t="s">
        <v>41</v>
      </c>
      <c r="B55">
        <v>11183.96</v>
      </c>
      <c r="C55">
        <f>C18*C38</f>
        <v>2745.9</v>
      </c>
      <c r="D55">
        <v>1758.6</v>
      </c>
      <c r="E55">
        <v>736.22</v>
      </c>
      <c r="F55">
        <f>924.75+2245</f>
        <v>3169.75</v>
      </c>
      <c r="G55">
        <v>-319.75</v>
      </c>
      <c r="H55">
        <f t="shared" si="4"/>
        <v>0</v>
      </c>
      <c r="I55">
        <f>I18*I38</f>
        <v>1931.2</v>
      </c>
      <c r="J55">
        <f t="shared" si="5"/>
        <v>21205.88</v>
      </c>
    </row>
    <row r="56" spans="1:11" x14ac:dyDescent="0.2">
      <c r="A56" t="s">
        <v>42</v>
      </c>
      <c r="B56">
        <v>6652.17</v>
      </c>
      <c r="C56">
        <f>C19*C39</f>
        <v>2807.35</v>
      </c>
      <c r="D56">
        <f>D19*D39</f>
        <v>1155.52</v>
      </c>
      <c r="E56">
        <v>1053.3399999999999</v>
      </c>
      <c r="F56">
        <f>1089+2377.75</f>
        <v>3466.75</v>
      </c>
      <c r="G56">
        <v>-345.61</v>
      </c>
      <c r="H56">
        <f t="shared" si="4"/>
        <v>0</v>
      </c>
      <c r="I56">
        <f>I19*I39</f>
        <v>2362.4</v>
      </c>
      <c r="J56">
        <f t="shared" si="5"/>
        <v>17151.920000000002</v>
      </c>
    </row>
    <row r="57" spans="1:11" x14ac:dyDescent="0.2">
      <c r="A57" t="s">
        <v>43</v>
      </c>
      <c r="B57">
        <v>6600.23</v>
      </c>
      <c r="C57">
        <v>3035.9</v>
      </c>
      <c r="D57">
        <v>931.48</v>
      </c>
      <c r="E57">
        <v>2068.35</v>
      </c>
      <c r="F57">
        <f>988.75+2500</f>
        <v>3488.75</v>
      </c>
      <c r="G57">
        <v>-353.22</v>
      </c>
      <c r="H57">
        <f t="shared" si="4"/>
        <v>0</v>
      </c>
      <c r="I57">
        <f>I20*I40</f>
        <v>1856.8000000000002</v>
      </c>
      <c r="J57">
        <f t="shared" si="5"/>
        <v>17628.29</v>
      </c>
    </row>
    <row r="58" spans="1:11" x14ac:dyDescent="0.2">
      <c r="A58" t="s">
        <v>44</v>
      </c>
      <c r="B58">
        <v>6674.64</v>
      </c>
      <c r="C58">
        <v>3116.23</v>
      </c>
      <c r="D58">
        <v>861.46</v>
      </c>
      <c r="E58">
        <v>335.08</v>
      </c>
      <c r="F58">
        <v>3472</v>
      </c>
      <c r="G58">
        <v>-344.02</v>
      </c>
      <c r="H58">
        <f t="shared" si="4"/>
        <v>0</v>
      </c>
      <c r="I58">
        <f>I21*I41</f>
        <v>1395.2</v>
      </c>
      <c r="J58">
        <f t="shared" si="5"/>
        <v>15510.590000000002</v>
      </c>
    </row>
    <row r="59" spans="1:11" x14ac:dyDescent="0.2">
      <c r="A59" t="s">
        <v>116</v>
      </c>
      <c r="B59">
        <v>7334.57</v>
      </c>
      <c r="C59">
        <v>3156.48</v>
      </c>
      <c r="D59">
        <v>828.4</v>
      </c>
      <c r="E59">
        <v>1030.01</v>
      </c>
      <c r="F59">
        <f>2188.5+1071.5</f>
        <v>3260</v>
      </c>
      <c r="G59">
        <v>-329.72</v>
      </c>
      <c r="H59">
        <v>0</v>
      </c>
      <c r="I59">
        <v>1696</v>
      </c>
      <c r="J59">
        <f t="shared" si="5"/>
        <v>16975.739999999998</v>
      </c>
      <c r="K59" t="s">
        <v>6</v>
      </c>
    </row>
    <row r="60" spans="1:11" x14ac:dyDescent="0.2">
      <c r="A60" t="s">
        <v>34</v>
      </c>
      <c r="B60">
        <f>B23*B43</f>
        <v>8263.7099999999991</v>
      </c>
      <c r="C60">
        <f>C23*C43</f>
        <v>3621.1</v>
      </c>
      <c r="D60">
        <v>696.22</v>
      </c>
      <c r="E60">
        <v>1046.06</v>
      </c>
      <c r="F60">
        <v>3570.75</v>
      </c>
      <c r="G60">
        <v>-344.82</v>
      </c>
      <c r="H60">
        <f>H23*H43</f>
        <v>0</v>
      </c>
      <c r="I60">
        <v>1685.2</v>
      </c>
      <c r="J60">
        <f t="shared" si="5"/>
        <v>18538.219999999998</v>
      </c>
      <c r="K60" t="s">
        <v>6</v>
      </c>
    </row>
    <row r="62" spans="1:11" x14ac:dyDescent="0.2">
      <c r="A62" t="s">
        <v>88</v>
      </c>
      <c r="B62">
        <f t="shared" ref="B62:I62" si="6">SUM(B47:B60)</f>
        <v>121317.33999999997</v>
      </c>
      <c r="C62">
        <f t="shared" si="6"/>
        <v>31559.054999999997</v>
      </c>
      <c r="D62">
        <f t="shared" si="6"/>
        <v>18880.560000000001</v>
      </c>
      <c r="E62">
        <f t="shared" si="6"/>
        <v>9995.1</v>
      </c>
      <c r="F62">
        <f t="shared" si="6"/>
        <v>50631.92</v>
      </c>
      <c r="G62">
        <f t="shared" si="6"/>
        <v>-4624.7599999999993</v>
      </c>
      <c r="H62">
        <f t="shared" si="6"/>
        <v>0</v>
      </c>
      <c r="I62">
        <f t="shared" si="6"/>
        <v>25361.760000000002</v>
      </c>
    </row>
    <row r="64" spans="1:11" x14ac:dyDescent="0.2">
      <c r="A64" t="s">
        <v>119</v>
      </c>
      <c r="J64">
        <f>SUM(J47:J60)</f>
        <v>253120.97500000003</v>
      </c>
    </row>
    <row r="66" spans="9:9" x14ac:dyDescent="0.2">
      <c r="I66" t="s">
        <v>6</v>
      </c>
    </row>
  </sheetData>
  <phoneticPr fontId="0" type="noConversion"/>
  <pageMargins left="0.35" right="0.35" top="0.75" bottom="0.75" header="0.5" footer="0.5"/>
  <pageSetup orientation="portrait" horizontalDpi="4294967293" verticalDpi="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76"/>
  <sheetViews>
    <sheetView showOutlineSymbols="0" zoomScale="87" workbookViewId="0">
      <selection activeCell="J70" sqref="J70"/>
    </sheetView>
  </sheetViews>
  <sheetFormatPr defaultColWidth="11.44140625" defaultRowHeight="15" x14ac:dyDescent="0.2"/>
  <sheetData>
    <row r="1" spans="2:6" x14ac:dyDescent="0.2">
      <c r="F1" t="s">
        <v>0</v>
      </c>
    </row>
    <row r="2" spans="2:6" x14ac:dyDescent="0.2">
      <c r="F2" t="s">
        <v>1</v>
      </c>
    </row>
    <row r="3" spans="2:6" x14ac:dyDescent="0.2">
      <c r="F3" t="s">
        <v>2</v>
      </c>
    </row>
    <row r="6" spans="2:6" x14ac:dyDescent="0.2">
      <c r="B6" t="s">
        <v>120</v>
      </c>
    </row>
    <row r="8" spans="2:6" x14ac:dyDescent="0.2">
      <c r="B8" t="s">
        <v>4</v>
      </c>
    </row>
    <row r="9" spans="2:6" x14ac:dyDescent="0.2">
      <c r="B9" t="s">
        <v>121</v>
      </c>
    </row>
    <row r="10" spans="2:6" x14ac:dyDescent="0.2">
      <c r="B10" t="s">
        <v>6</v>
      </c>
    </row>
    <row r="13" spans="2:6" x14ac:dyDescent="0.2">
      <c r="F13" t="s">
        <v>7</v>
      </c>
    </row>
    <row r="14" spans="2:6" x14ac:dyDescent="0.2">
      <c r="D14" t="s">
        <v>30</v>
      </c>
      <c r="E14" t="s">
        <v>31</v>
      </c>
      <c r="F14" t="s">
        <v>8</v>
      </c>
    </row>
    <row r="15" spans="2:6" x14ac:dyDescent="0.2">
      <c r="B15" t="s">
        <v>92</v>
      </c>
      <c r="D15" t="s">
        <v>26</v>
      </c>
      <c r="E15" t="s">
        <v>32</v>
      </c>
      <c r="F15" t="s">
        <v>13</v>
      </c>
    </row>
    <row r="17" spans="2:8" x14ac:dyDescent="0.2">
      <c r="B17" t="s">
        <v>122</v>
      </c>
      <c r="D17">
        <v>38688</v>
      </c>
      <c r="E17">
        <v>16975.740000000002</v>
      </c>
      <c r="F17" t="s">
        <v>6</v>
      </c>
    </row>
    <row r="18" spans="2:8" x14ac:dyDescent="0.2">
      <c r="B18" t="s">
        <v>34</v>
      </c>
      <c r="D18">
        <v>38909</v>
      </c>
      <c r="E18">
        <v>19227.759999999998</v>
      </c>
      <c r="F18" t="s">
        <v>6</v>
      </c>
    </row>
    <row r="19" spans="2:8" x14ac:dyDescent="0.2">
      <c r="B19" t="s">
        <v>35</v>
      </c>
      <c r="D19">
        <v>39256</v>
      </c>
      <c r="E19">
        <f>'3rd year actual'!$J$49</f>
        <v>15529.87</v>
      </c>
      <c r="F19">
        <f>SUM(E19:E19)/SUM(D19:D19)</f>
        <v>0.39560500305685758</v>
      </c>
    </row>
    <row r="20" spans="2:8" x14ac:dyDescent="0.2">
      <c r="B20" t="s">
        <v>123</v>
      </c>
      <c r="D20">
        <v>39256</v>
      </c>
      <c r="E20">
        <f>'3rd year actual'!$J$50</f>
        <v>17003.75</v>
      </c>
      <c r="F20">
        <f>SUM(E19:E20)/SUM(D19:D20)</f>
        <v>0.41437767475035664</v>
      </c>
    </row>
    <row r="21" spans="2:8" x14ac:dyDescent="0.2">
      <c r="B21" t="s">
        <v>37</v>
      </c>
      <c r="D21">
        <v>39256</v>
      </c>
      <c r="E21">
        <f>'3rd year actual'!$J$51</f>
        <v>13041.710000000001</v>
      </c>
      <c r="F21">
        <f t="shared" ref="F21:F30" si="0">SUM(E19:E21)/SUM(D19:D21)</f>
        <v>0.38699247673391757</v>
      </c>
    </row>
    <row r="22" spans="2:8" x14ac:dyDescent="0.2">
      <c r="B22" t="s">
        <v>38</v>
      </c>
      <c r="D22">
        <v>39192</v>
      </c>
      <c r="E22">
        <f>'3rd year actual'!$J$52</f>
        <v>16847.59</v>
      </c>
      <c r="F22">
        <f t="shared" si="0"/>
        <v>0.39839810031944539</v>
      </c>
    </row>
    <row r="23" spans="2:8" x14ac:dyDescent="0.2">
      <c r="B23" t="s">
        <v>95</v>
      </c>
      <c r="D23">
        <v>39192</v>
      </c>
      <c r="E23">
        <f>'3rd year actual'!$J$53</f>
        <v>14926.559999999998</v>
      </c>
      <c r="F23">
        <f t="shared" si="0"/>
        <v>0.38095766746004761</v>
      </c>
    </row>
    <row r="24" spans="2:8" x14ac:dyDescent="0.2">
      <c r="B24" t="s">
        <v>40</v>
      </c>
      <c r="D24">
        <v>39237</v>
      </c>
      <c r="E24">
        <f>'3rd year actual'!$J$54</f>
        <v>12414.810000000001</v>
      </c>
      <c r="F24">
        <f t="shared" si="0"/>
        <v>0.37568937519660606</v>
      </c>
    </row>
    <row r="25" spans="2:8" x14ac:dyDescent="0.2">
      <c r="B25" t="s">
        <v>41</v>
      </c>
      <c r="D25">
        <v>38773</v>
      </c>
      <c r="E25">
        <f>'3rd year actual'!$J$55</f>
        <v>11298.419999999998</v>
      </c>
      <c r="F25">
        <f t="shared" si="0"/>
        <v>0.32968541492465991</v>
      </c>
    </row>
    <row r="26" spans="2:8" x14ac:dyDescent="0.2">
      <c r="B26" t="s">
        <v>42</v>
      </c>
      <c r="D26">
        <v>39911</v>
      </c>
      <c r="E26">
        <f>'3rd year actual'!$J$56</f>
        <v>9756.1199999999972</v>
      </c>
      <c r="F26">
        <f t="shared" si="0"/>
        <v>0.28382858015111812</v>
      </c>
    </row>
    <row r="27" spans="2:8" x14ac:dyDescent="0.2">
      <c r="B27" t="s">
        <v>43</v>
      </c>
      <c r="D27">
        <v>39911</v>
      </c>
      <c r="E27">
        <f>'3rd year actual'!$J$57</f>
        <v>8746.2300000000014</v>
      </c>
      <c r="F27">
        <f t="shared" si="0"/>
        <v>0.25128184156161726</v>
      </c>
    </row>
    <row r="28" spans="2:8" x14ac:dyDescent="0.2">
      <c r="B28" t="s">
        <v>44</v>
      </c>
      <c r="D28">
        <v>40279</v>
      </c>
      <c r="E28">
        <f>'3rd year actual'!$J$58</f>
        <v>8659.49</v>
      </c>
      <c r="F28">
        <f t="shared" si="0"/>
        <v>0.22615831675006867</v>
      </c>
    </row>
    <row r="29" spans="2:8" x14ac:dyDescent="0.2">
      <c r="B29" t="s">
        <v>72</v>
      </c>
      <c r="D29">
        <v>40485</v>
      </c>
      <c r="E29">
        <f>'3rd year actual'!$J$59</f>
        <v>8878.2900000000009</v>
      </c>
      <c r="F29">
        <f t="shared" si="0"/>
        <v>0.21780824528692772</v>
      </c>
    </row>
    <row r="30" spans="2:8" x14ac:dyDescent="0.2">
      <c r="B30" t="s">
        <v>34</v>
      </c>
      <c r="D30">
        <v>0</v>
      </c>
      <c r="E30">
        <f>'3rd year actual'!$J$60</f>
        <v>0</v>
      </c>
      <c r="F30">
        <f t="shared" si="0"/>
        <v>0.21714848199692932</v>
      </c>
    </row>
    <row r="31" spans="2:8" x14ac:dyDescent="0.2">
      <c r="E31" t="s">
        <v>6</v>
      </c>
    </row>
    <row r="32" spans="2:8" x14ac:dyDescent="0.2">
      <c r="B32" t="s">
        <v>96</v>
      </c>
      <c r="D32">
        <f>SUM(D17:D31)</f>
        <v>512345</v>
      </c>
      <c r="E32">
        <f>SUM(E17:E31)</f>
        <v>173306.34</v>
      </c>
      <c r="H32" t="s">
        <v>6</v>
      </c>
    </row>
    <row r="34" spans="2:8" x14ac:dyDescent="0.2">
      <c r="B34" t="s">
        <v>124</v>
      </c>
    </row>
    <row r="36" spans="2:8" x14ac:dyDescent="0.2">
      <c r="B36" t="s">
        <v>125</v>
      </c>
      <c r="F36">
        <v>0</v>
      </c>
    </row>
    <row r="37" spans="2:8" x14ac:dyDescent="0.2">
      <c r="B37" t="s">
        <v>126</v>
      </c>
      <c r="F37">
        <f>D18</f>
        <v>38909</v>
      </c>
    </row>
    <row r="38" spans="2:8" x14ac:dyDescent="0.2">
      <c r="B38" t="s">
        <v>127</v>
      </c>
      <c r="F38">
        <f>D19</f>
        <v>39256</v>
      </c>
    </row>
    <row r="39" spans="2:8" x14ac:dyDescent="0.2">
      <c r="B39" t="s">
        <v>6</v>
      </c>
      <c r="F39" t="s">
        <v>6</v>
      </c>
    </row>
    <row r="40" spans="2:8" x14ac:dyDescent="0.2">
      <c r="B40" t="s">
        <v>6</v>
      </c>
      <c r="F40">
        <f>(+F36+F37+F38)</f>
        <v>78165</v>
      </c>
    </row>
    <row r="41" spans="2:8" x14ac:dyDescent="0.2">
      <c r="B41" t="s">
        <v>101</v>
      </c>
      <c r="F41">
        <f>'First year adj'!$J$59</f>
        <v>0.34632026456854081</v>
      </c>
    </row>
    <row r="43" spans="2:8" x14ac:dyDescent="0.2">
      <c r="B43" t="s">
        <v>102</v>
      </c>
      <c r="G43">
        <f>F40*F41</f>
        <v>27070.123479999991</v>
      </c>
      <c r="H43" t="s">
        <v>6</v>
      </c>
    </row>
    <row r="45" spans="2:8" x14ac:dyDescent="0.2">
      <c r="B45" t="s">
        <v>128</v>
      </c>
      <c r="F45">
        <f>SUM(D20:D30)</f>
        <v>395492</v>
      </c>
    </row>
    <row r="46" spans="2:8" x14ac:dyDescent="0.2">
      <c r="B46" t="s">
        <v>101</v>
      </c>
      <c r="F46">
        <f>'Second year adj'!$J$74</f>
        <v>0.57258914304196162</v>
      </c>
    </row>
    <row r="48" spans="2:8" x14ac:dyDescent="0.2">
      <c r="B48" t="s">
        <v>102</v>
      </c>
      <c r="G48">
        <f>F45*F46</f>
        <v>226454.42535995148</v>
      </c>
    </row>
    <row r="50" spans="2:7" x14ac:dyDescent="0.2">
      <c r="B50" t="s">
        <v>104</v>
      </c>
      <c r="G50">
        <f>G43+G48</f>
        <v>253524.54883995146</v>
      </c>
    </row>
    <row r="52" spans="2:7" x14ac:dyDescent="0.2">
      <c r="B52" t="s">
        <v>50</v>
      </c>
      <c r="G52">
        <f>E32</f>
        <v>173306.34</v>
      </c>
    </row>
    <row r="54" spans="2:7" x14ac:dyDescent="0.2">
      <c r="B54" t="s">
        <v>105</v>
      </c>
      <c r="G54">
        <f>G52-G50</f>
        <v>-80218.208839951461</v>
      </c>
    </row>
    <row r="57" spans="2:7" x14ac:dyDescent="0.2">
      <c r="B57" t="s">
        <v>106</v>
      </c>
    </row>
    <row r="59" spans="2:7" x14ac:dyDescent="0.2">
      <c r="B59" t="s">
        <v>107</v>
      </c>
      <c r="G59">
        <f>G54</f>
        <v>-80218.208839951461</v>
      </c>
    </row>
    <row r="60" spans="2:7" x14ac:dyDescent="0.2">
      <c r="B60" t="s">
        <v>54</v>
      </c>
      <c r="G60">
        <f>SUM(D27:D29)/3</f>
        <v>40225</v>
      </c>
    </row>
    <row r="61" spans="2:7" x14ac:dyDescent="0.2">
      <c r="B61" t="s">
        <v>108</v>
      </c>
      <c r="G61">
        <f>G59/G60</f>
        <v>-1.9942376343058164</v>
      </c>
    </row>
    <row r="62" spans="2:7" x14ac:dyDescent="0.2">
      <c r="B62" t="s">
        <v>56</v>
      </c>
    </row>
    <row r="63" spans="2:7" x14ac:dyDescent="0.2">
      <c r="B63" t="s">
        <v>57</v>
      </c>
      <c r="G63">
        <f>G61/12</f>
        <v>-0.16618646952548469</v>
      </c>
    </row>
    <row r="65" spans="2:11" x14ac:dyDescent="0.2">
      <c r="G65" t="s">
        <v>129</v>
      </c>
      <c r="H65" t="s">
        <v>129</v>
      </c>
      <c r="I65" t="s">
        <v>129</v>
      </c>
      <c r="J65" t="s">
        <v>8</v>
      </c>
    </row>
    <row r="66" spans="2:11" x14ac:dyDescent="0.2">
      <c r="B66" t="s">
        <v>58</v>
      </c>
      <c r="G66" t="s">
        <v>43</v>
      </c>
      <c r="H66" t="s">
        <v>44</v>
      </c>
      <c r="I66" t="s">
        <v>72</v>
      </c>
      <c r="J66" t="s">
        <v>13</v>
      </c>
    </row>
    <row r="68" spans="2:11" x14ac:dyDescent="0.2">
      <c r="B68" t="s">
        <v>60</v>
      </c>
      <c r="G68">
        <f>E27</f>
        <v>8746.2300000000014</v>
      </c>
      <c r="H68">
        <f>E28</f>
        <v>8659.49</v>
      </c>
      <c r="I68">
        <f>E29</f>
        <v>8878.2900000000009</v>
      </c>
      <c r="J68">
        <f>AVERAGE(G68:I68)</f>
        <v>8761.336666666668</v>
      </c>
      <c r="K68" t="s">
        <v>61</v>
      </c>
    </row>
    <row r="69" spans="2:11" x14ac:dyDescent="0.2">
      <c r="B69" t="s">
        <v>62</v>
      </c>
      <c r="G69">
        <f>D27</f>
        <v>39911</v>
      </c>
      <c r="H69">
        <f>D28</f>
        <v>40279</v>
      </c>
      <c r="I69">
        <f>D29</f>
        <v>40485</v>
      </c>
      <c r="J69">
        <f>AVERAGE(G69:I69)</f>
        <v>40225</v>
      </c>
      <c r="K69" t="s">
        <v>63</v>
      </c>
    </row>
    <row r="71" spans="2:11" x14ac:dyDescent="0.2">
      <c r="B71" t="s">
        <v>130</v>
      </c>
      <c r="G71" t="s">
        <v>65</v>
      </c>
      <c r="J71">
        <f>J68/J69</f>
        <v>0.21780824528692774</v>
      </c>
    </row>
    <row r="72" spans="2:11" x14ac:dyDescent="0.2">
      <c r="B72" t="s">
        <v>111</v>
      </c>
      <c r="J72">
        <f>G63</f>
        <v>-0.16618646952548469</v>
      </c>
    </row>
    <row r="74" spans="2:11" x14ac:dyDescent="0.2">
      <c r="B74" t="s">
        <v>67</v>
      </c>
      <c r="E74" t="s">
        <v>68</v>
      </c>
      <c r="J74">
        <f>SUM(J71:J73)</f>
        <v>5.1621775761443056E-2</v>
      </c>
    </row>
    <row r="76" spans="2:11" x14ac:dyDescent="0.2">
      <c r="J76" t="s">
        <v>6</v>
      </c>
    </row>
  </sheetData>
  <phoneticPr fontId="0" type="noConversion"/>
  <pageMargins left="0.35" right="0.35" top="0.75" bottom="0.75" header="0.5" footer="0.5"/>
  <pageSetup orientation="portrait" horizontalDpi="4294967293" verticalDpi="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7"/>
  <sheetViews>
    <sheetView showOutlineSymbols="0" zoomScale="87" workbookViewId="0">
      <selection activeCell="E11" sqref="E11"/>
    </sheetView>
  </sheetViews>
  <sheetFormatPr defaultColWidth="11.44140625" defaultRowHeight="15" x14ac:dyDescent="0.2"/>
  <sheetData>
    <row r="1" spans="1:10" x14ac:dyDescent="0.2">
      <c r="E1" t="s">
        <v>0</v>
      </c>
    </row>
    <row r="2" spans="1:10" x14ac:dyDescent="0.2">
      <c r="E2" t="s">
        <v>1</v>
      </c>
    </row>
    <row r="3" spans="1:10" x14ac:dyDescent="0.2">
      <c r="E3" t="s">
        <v>2</v>
      </c>
    </row>
    <row r="4" spans="1:10" x14ac:dyDescent="0.2">
      <c r="E4" t="s">
        <v>131</v>
      </c>
    </row>
    <row r="6" spans="1:10" x14ac:dyDescent="0.2">
      <c r="B6" t="s">
        <v>81</v>
      </c>
    </row>
    <row r="8" spans="1:10" x14ac:dyDescent="0.2">
      <c r="B8" t="s">
        <v>14</v>
      </c>
      <c r="C8" t="s">
        <v>15</v>
      </c>
      <c r="D8" t="s">
        <v>16</v>
      </c>
      <c r="E8" t="s">
        <v>17</v>
      </c>
      <c r="F8" t="s">
        <v>18</v>
      </c>
      <c r="G8" t="s">
        <v>19</v>
      </c>
      <c r="H8" t="s">
        <v>132</v>
      </c>
      <c r="I8" t="s">
        <v>83</v>
      </c>
      <c r="J8" t="s">
        <v>84</v>
      </c>
    </row>
    <row r="9" spans="1:10" x14ac:dyDescent="0.2">
      <c r="A9" t="s">
        <v>9</v>
      </c>
    </row>
    <row r="10" spans="1:10" x14ac:dyDescent="0.2">
      <c r="A10" t="s">
        <v>133</v>
      </c>
      <c r="B10">
        <v>246.54</v>
      </c>
      <c r="C10">
        <v>180.37</v>
      </c>
      <c r="D10">
        <v>21.8</v>
      </c>
      <c r="E10">
        <v>61.74</v>
      </c>
      <c r="F10">
        <v>6.52</v>
      </c>
      <c r="G10">
        <v>12.59</v>
      </c>
      <c r="H10">
        <v>0</v>
      </c>
      <c r="I10">
        <v>10.6</v>
      </c>
      <c r="J10">
        <f t="shared" ref="J10:J23" si="0">SUM(B10:I10)</f>
        <v>540.16000000000008</v>
      </c>
    </row>
    <row r="11" spans="1:10" x14ac:dyDescent="0.2">
      <c r="A11" t="s">
        <v>34</v>
      </c>
      <c r="B11">
        <v>262.33999999999997</v>
      </c>
      <c r="C11">
        <v>206.92</v>
      </c>
      <c r="D11">
        <v>20.702999999999999</v>
      </c>
      <c r="E11">
        <v>61.53</v>
      </c>
      <c r="F11">
        <v>7.1429999999999998</v>
      </c>
      <c r="G11">
        <v>13.79</v>
      </c>
      <c r="H11">
        <v>0</v>
      </c>
      <c r="I11">
        <v>10.53</v>
      </c>
      <c r="J11">
        <f t="shared" si="0"/>
        <v>582.9559999999999</v>
      </c>
    </row>
    <row r="12" spans="1:10" x14ac:dyDescent="0.2">
      <c r="A12" t="s">
        <v>134</v>
      </c>
      <c r="B12">
        <f>72.645+159.69</f>
        <v>232.33499999999998</v>
      </c>
      <c r="C12">
        <f>59.59+129.855</f>
        <v>189.44499999999999</v>
      </c>
      <c r="D12">
        <f>8.61+18.735</f>
        <v>27.344999999999999</v>
      </c>
      <c r="E12">
        <f>12.79+19.165</f>
        <v>31.954999999999998</v>
      </c>
      <c r="F12">
        <f>2.097+4.526</f>
        <v>6.6229999999999993</v>
      </c>
      <c r="G12">
        <f>4.049+8.737</f>
        <v>12.786000000000001</v>
      </c>
      <c r="H12">
        <v>0</v>
      </c>
      <c r="I12">
        <f>4.23+9.32</f>
        <v>13.55</v>
      </c>
      <c r="J12">
        <f t="shared" si="0"/>
        <v>514.03899999999999</v>
      </c>
    </row>
    <row r="13" spans="1:10" x14ac:dyDescent="0.2">
      <c r="A13" t="s">
        <v>135</v>
      </c>
      <c r="B13">
        <f>143.15+64.76</f>
        <v>207.91000000000003</v>
      </c>
      <c r="C13">
        <f>66.55+146.77</f>
        <v>213.32</v>
      </c>
      <c r="D13">
        <f>11.24+24.86</f>
        <v>36.1</v>
      </c>
      <c r="E13">
        <f>41.775+25.85</f>
        <v>67.625</v>
      </c>
      <c r="F13">
        <f>2.322+5.133</f>
        <v>7.4550000000000001</v>
      </c>
      <c r="G13">
        <f>4.483+9.907</f>
        <v>14.39</v>
      </c>
      <c r="H13">
        <v>0</v>
      </c>
      <c r="I13">
        <f>5.245+11.55</f>
        <v>16.795000000000002</v>
      </c>
      <c r="J13">
        <f t="shared" si="0"/>
        <v>563.59500000000003</v>
      </c>
    </row>
    <row r="14" spans="1:10" x14ac:dyDescent="0.2">
      <c r="A14" t="s">
        <v>37</v>
      </c>
      <c r="B14">
        <f>58.81+129.96</f>
        <v>188.77</v>
      </c>
      <c r="C14">
        <f>46.59+103.06</f>
        <v>149.65</v>
      </c>
      <c r="D14">
        <f>6.24+13.85</f>
        <v>20.09</v>
      </c>
      <c r="E14">
        <f>17.035+21.38</f>
        <v>38.414999999999999</v>
      </c>
      <c r="F14">
        <f>2.353+5.199</f>
        <v>7.5519999999999996</v>
      </c>
      <c r="G14">
        <f>4.541+10.034</f>
        <v>14.575000000000001</v>
      </c>
      <c r="H14">
        <v>0</v>
      </c>
      <c r="I14">
        <f>2.665+5.94</f>
        <v>8.6050000000000004</v>
      </c>
      <c r="J14">
        <f t="shared" si="0"/>
        <v>427.65700000000004</v>
      </c>
    </row>
    <row r="15" spans="1:10" x14ac:dyDescent="0.2">
      <c r="A15" t="s">
        <v>38</v>
      </c>
      <c r="B15">
        <f>158.64+71.17</f>
        <v>229.81</v>
      </c>
      <c r="C15">
        <f>65.59+140.67</f>
        <v>206.26</v>
      </c>
      <c r="D15">
        <f>8.8+18.82</f>
        <v>27.62</v>
      </c>
      <c r="E15">
        <f>23.03+18.98</f>
        <v>42.010000000000005</v>
      </c>
      <c r="F15">
        <f>2.477+5.316</f>
        <v>7.7929999999999993</v>
      </c>
      <c r="G15">
        <f>4.783+10.261</f>
        <v>15.044</v>
      </c>
      <c r="H15">
        <v>0</v>
      </c>
      <c r="I15">
        <f>4.62+9.86</f>
        <v>14.48</v>
      </c>
      <c r="J15">
        <f t="shared" si="0"/>
        <v>543.01699999999994</v>
      </c>
    </row>
    <row r="16" spans="1:10" x14ac:dyDescent="0.2">
      <c r="A16" t="s">
        <v>95</v>
      </c>
      <c r="B16">
        <f>65.275+141.7</f>
        <v>206.97499999999999</v>
      </c>
      <c r="C16">
        <f>63.86+138.68</f>
        <v>202.54000000000002</v>
      </c>
      <c r="D16">
        <f>7.97+17.34</f>
        <v>25.31</v>
      </c>
      <c r="E16">
        <f>36.96+20.07</f>
        <v>57.03</v>
      </c>
      <c r="F16">
        <f>2.128+4.62</f>
        <v>6.7480000000000002</v>
      </c>
      <c r="G16">
        <f>4.107+8.917</f>
        <v>13.024000000000001</v>
      </c>
      <c r="H16">
        <v>0</v>
      </c>
      <c r="I16">
        <f>4.34+9.43</f>
        <v>13.77</v>
      </c>
      <c r="J16">
        <f t="shared" si="0"/>
        <v>525.39700000000005</v>
      </c>
    </row>
    <row r="17" spans="1:10" x14ac:dyDescent="0.2">
      <c r="A17" t="s">
        <v>40</v>
      </c>
      <c r="B17">
        <f>72.9+160.95</f>
        <v>233.85</v>
      </c>
      <c r="C17">
        <f>58.815+129.84</f>
        <v>188.655</v>
      </c>
      <c r="D17">
        <f>9.01+19.875</f>
        <v>28.884999999999998</v>
      </c>
      <c r="E17">
        <f>17.95+13.265</f>
        <v>31.215</v>
      </c>
      <c r="F17">
        <f>1.802+3.975</f>
        <v>5.7770000000000001</v>
      </c>
      <c r="G17">
        <f>3.48+7.677</f>
        <v>11.157</v>
      </c>
      <c r="H17">
        <v>0</v>
      </c>
      <c r="I17">
        <f>9.07+4.095</f>
        <v>13.164999999999999</v>
      </c>
      <c r="J17">
        <f t="shared" si="0"/>
        <v>512.70399999999995</v>
      </c>
    </row>
    <row r="18" spans="1:10" x14ac:dyDescent="0.2">
      <c r="A18" t="s">
        <v>41</v>
      </c>
      <c r="B18">
        <f>141.36+65.51</f>
        <v>206.87</v>
      </c>
      <c r="C18">
        <f>58.454+126.03</f>
        <v>184.48400000000001</v>
      </c>
      <c r="D18">
        <f>7.75+16.685</f>
        <v>24.434999999999999</v>
      </c>
      <c r="E18">
        <f>12.145+11.78</f>
        <v>23.924999999999997</v>
      </c>
      <c r="F18">
        <f>2.03+4.385</f>
        <v>6.4149999999999991</v>
      </c>
      <c r="G18">
        <f>3.92+8.467</f>
        <v>12.387</v>
      </c>
      <c r="H18">
        <v>0</v>
      </c>
      <c r="I18">
        <f>3.64+7.87</f>
        <v>11.51</v>
      </c>
      <c r="J18">
        <f t="shared" si="0"/>
        <v>470.02600000000007</v>
      </c>
    </row>
    <row r="19" spans="1:10" x14ac:dyDescent="0.2">
      <c r="A19" t="s">
        <v>42</v>
      </c>
      <c r="B19">
        <f>57.98+129.13</f>
        <v>187.10999999999999</v>
      </c>
      <c r="C19">
        <f>53.18+118.71</f>
        <v>171.89</v>
      </c>
      <c r="D19">
        <f>8.45+18.83</f>
        <v>27.279999999999998</v>
      </c>
      <c r="E19">
        <f>5.5+27.755</f>
        <v>33.254999999999995</v>
      </c>
      <c r="F19">
        <f>1.944+4.378</f>
        <v>6.3220000000000001</v>
      </c>
      <c r="G19">
        <f>3.753+8.452</f>
        <v>12.205</v>
      </c>
      <c r="H19">
        <v>0</v>
      </c>
      <c r="I19">
        <f>9.37+4.205</f>
        <v>13.574999999999999</v>
      </c>
      <c r="J19">
        <f t="shared" si="0"/>
        <v>451.63699999999994</v>
      </c>
    </row>
    <row r="20" spans="1:10" x14ac:dyDescent="0.2">
      <c r="A20" t="s">
        <v>43</v>
      </c>
      <c r="B20">
        <f>113.85+47.67</f>
        <v>161.51999999999998</v>
      </c>
      <c r="C20">
        <f>49.79+116.57</f>
        <v>166.35999999999999</v>
      </c>
      <c r="D20">
        <f>5.975+12.76</f>
        <v>18.734999999999999</v>
      </c>
      <c r="E20">
        <f>44.695+49.48</f>
        <v>94.174999999999997</v>
      </c>
      <c r="F20">
        <f>1.325+3.193</f>
        <v>4.5179999999999998</v>
      </c>
      <c r="G20">
        <f>3.416+7.175</f>
        <v>10.590999999999999</v>
      </c>
      <c r="H20">
        <v>6.88</v>
      </c>
      <c r="I20">
        <f>2.49+7.76</f>
        <v>10.25</v>
      </c>
      <c r="J20">
        <f t="shared" si="0"/>
        <v>473.029</v>
      </c>
    </row>
    <row r="21" spans="1:10" x14ac:dyDescent="0.2">
      <c r="A21" t="s">
        <v>44</v>
      </c>
      <c r="B21">
        <f>41.885+113.75</f>
        <v>155.63499999999999</v>
      </c>
      <c r="C21">
        <f>43.59+118.36</f>
        <v>161.94999999999999</v>
      </c>
      <c r="D21">
        <f>6.245+16.16</f>
        <v>22.405000000000001</v>
      </c>
      <c r="E21">
        <f>40.7+43.875</f>
        <v>84.575000000000003</v>
      </c>
      <c r="F21">
        <f>0.886+1.948</f>
        <v>2.8340000000000001</v>
      </c>
      <c r="G21">
        <f>3.514+7.736</f>
        <v>11.25</v>
      </c>
      <c r="H21">
        <f>7.81+22.7</f>
        <v>30.509999999999998</v>
      </c>
      <c r="I21">
        <f>3.155+8.565</f>
        <v>11.719999999999999</v>
      </c>
      <c r="J21">
        <f t="shared" si="0"/>
        <v>480.87900000000002</v>
      </c>
    </row>
    <row r="22" spans="1:10" x14ac:dyDescent="0.2">
      <c r="A22" t="s">
        <v>116</v>
      </c>
      <c r="B22">
        <f>117.418+44.415</f>
        <v>161.833</v>
      </c>
      <c r="C22">
        <f>53.06+129.733</f>
        <v>182.79300000000001</v>
      </c>
      <c r="D22">
        <f>5.93+16.809</f>
        <v>22.739000000000001</v>
      </c>
      <c r="E22">
        <f>33.83+35.555</f>
        <v>69.384999999999991</v>
      </c>
      <c r="F22">
        <f>0.84+2.151</f>
        <v>2.9909999999999997</v>
      </c>
      <c r="G22">
        <f>3.336+8.957</f>
        <v>12.293000000000001</v>
      </c>
      <c r="H22">
        <f>12.485+27.695</f>
        <v>40.18</v>
      </c>
      <c r="I22">
        <f>1.598+4.91</f>
        <v>6.508</v>
      </c>
      <c r="J22">
        <f t="shared" si="0"/>
        <v>498.72199999999992</v>
      </c>
    </row>
    <row r="23" spans="1:10" x14ac:dyDescent="0.2">
      <c r="A23" t="s">
        <v>34</v>
      </c>
      <c r="H23">
        <v>0</v>
      </c>
      <c r="J23">
        <f t="shared" si="0"/>
        <v>0</v>
      </c>
    </row>
    <row r="25" spans="1:10" x14ac:dyDescent="0.2">
      <c r="A25" t="s">
        <v>22</v>
      </c>
      <c r="B25">
        <f t="shared" ref="B25:J25" si="1">SUM(B10:B24)</f>
        <v>2681.498</v>
      </c>
      <c r="C25">
        <f t="shared" si="1"/>
        <v>2404.6369999999997</v>
      </c>
      <c r="D25">
        <f t="shared" si="1"/>
        <v>323.44699999999995</v>
      </c>
      <c r="E25">
        <f t="shared" si="1"/>
        <v>696.83500000000004</v>
      </c>
      <c r="F25">
        <f t="shared" si="1"/>
        <v>78.691000000000003</v>
      </c>
      <c r="G25">
        <f t="shared" si="1"/>
        <v>166.08200000000002</v>
      </c>
      <c r="H25">
        <f t="shared" si="1"/>
        <v>77.569999999999993</v>
      </c>
      <c r="I25">
        <f t="shared" si="1"/>
        <v>155.05800000000002</v>
      </c>
      <c r="J25">
        <f t="shared" si="1"/>
        <v>6583.8179999999984</v>
      </c>
    </row>
    <row r="27" spans="1:10" x14ac:dyDescent="0.2">
      <c r="A27" t="s">
        <v>117</v>
      </c>
      <c r="B27">
        <v>0.28100000000000003</v>
      </c>
      <c r="C27">
        <v>0.31900000000000001</v>
      </c>
      <c r="D27">
        <v>7.8E-2</v>
      </c>
      <c r="E27">
        <v>0.2409</v>
      </c>
      <c r="F27">
        <v>1.7500000000000002E-2</v>
      </c>
      <c r="G27">
        <v>3.9600000000000003E-2</v>
      </c>
      <c r="H27">
        <v>1.3599999999999999E-2</v>
      </c>
      <c r="I27">
        <v>1.04E-2</v>
      </c>
    </row>
    <row r="29" spans="1:10" x14ac:dyDescent="0.2">
      <c r="A29" t="s">
        <v>86</v>
      </c>
    </row>
    <row r="30" spans="1:10" x14ac:dyDescent="0.2">
      <c r="A30" t="str">
        <f t="shared" ref="A30:A43" si="2">A10</f>
        <v>October 00</v>
      </c>
      <c r="B30">
        <v>29.5</v>
      </c>
      <c r="C30">
        <v>17.5</v>
      </c>
      <c r="D30">
        <v>38</v>
      </c>
      <c r="E30" t="s">
        <v>118</v>
      </c>
      <c r="F30">
        <f>F47/F10</f>
        <v>500.00000000000006</v>
      </c>
      <c r="G30">
        <v>-25</v>
      </c>
      <c r="H30">
        <v>0</v>
      </c>
      <c r="I30">
        <v>160</v>
      </c>
    </row>
    <row r="31" spans="1:10" x14ac:dyDescent="0.2">
      <c r="A31" t="str">
        <f t="shared" si="2"/>
        <v>November</v>
      </c>
      <c r="B31">
        <v>31</v>
      </c>
      <c r="C31">
        <v>17.5</v>
      </c>
      <c r="D31">
        <v>33.5</v>
      </c>
      <c r="E31" t="s">
        <v>118</v>
      </c>
      <c r="F31">
        <v>500</v>
      </c>
      <c r="G31">
        <v>-25</v>
      </c>
      <c r="H31">
        <v>0</v>
      </c>
      <c r="I31">
        <v>160</v>
      </c>
    </row>
    <row r="32" spans="1:10" x14ac:dyDescent="0.2">
      <c r="A32" t="str">
        <f t="shared" si="2"/>
        <v>Dec 00</v>
      </c>
      <c r="B32">
        <v>28</v>
      </c>
      <c r="C32">
        <v>15</v>
      </c>
      <c r="D32">
        <v>22</v>
      </c>
      <c r="E32" t="s">
        <v>118</v>
      </c>
      <c r="F32">
        <v>500</v>
      </c>
      <c r="G32">
        <v>-25</v>
      </c>
      <c r="H32">
        <v>0</v>
      </c>
      <c r="I32">
        <v>160</v>
      </c>
    </row>
    <row r="33" spans="1:13" x14ac:dyDescent="0.2">
      <c r="A33" t="str">
        <f t="shared" si="2"/>
        <v>January 01</v>
      </c>
      <c r="B33">
        <v>28</v>
      </c>
      <c r="C33">
        <v>15</v>
      </c>
      <c r="D33">
        <v>22</v>
      </c>
      <c r="E33" t="s">
        <v>118</v>
      </c>
      <c r="F33">
        <v>500</v>
      </c>
      <c r="G33">
        <v>-25</v>
      </c>
      <c r="H33">
        <v>0</v>
      </c>
      <c r="I33">
        <v>160</v>
      </c>
    </row>
    <row r="34" spans="1:13" x14ac:dyDescent="0.2">
      <c r="A34" t="str">
        <f t="shared" si="2"/>
        <v>February</v>
      </c>
      <c r="B34">
        <v>28</v>
      </c>
      <c r="C34">
        <v>15</v>
      </c>
      <c r="D34">
        <v>20</v>
      </c>
      <c r="E34" t="s">
        <v>118</v>
      </c>
      <c r="F34">
        <v>500</v>
      </c>
      <c r="G34">
        <v>-25</v>
      </c>
      <c r="H34">
        <v>0</v>
      </c>
      <c r="I34">
        <v>160</v>
      </c>
    </row>
    <row r="35" spans="1:13" x14ac:dyDescent="0.2">
      <c r="A35" t="str">
        <f t="shared" si="2"/>
        <v>March</v>
      </c>
      <c r="B35">
        <v>28</v>
      </c>
      <c r="C35">
        <v>15</v>
      </c>
      <c r="D35">
        <v>22</v>
      </c>
      <c r="E35" t="s">
        <v>118</v>
      </c>
      <c r="F35">
        <v>500</v>
      </c>
      <c r="G35">
        <v>-25</v>
      </c>
      <c r="H35">
        <v>0</v>
      </c>
      <c r="I35">
        <v>160</v>
      </c>
    </row>
    <row r="36" spans="1:13" x14ac:dyDescent="0.2">
      <c r="A36" t="str">
        <f t="shared" si="2"/>
        <v xml:space="preserve">April </v>
      </c>
      <c r="B36">
        <v>28</v>
      </c>
      <c r="C36">
        <v>12.5</v>
      </c>
      <c r="D36">
        <v>18</v>
      </c>
      <c r="E36" t="s">
        <v>118</v>
      </c>
      <c r="F36">
        <v>500</v>
      </c>
      <c r="G36">
        <v>-25</v>
      </c>
      <c r="H36">
        <v>0</v>
      </c>
      <c r="I36">
        <v>160</v>
      </c>
    </row>
    <row r="37" spans="1:13" x14ac:dyDescent="0.2">
      <c r="A37" t="str">
        <f t="shared" si="2"/>
        <v>May</v>
      </c>
      <c r="B37">
        <v>21</v>
      </c>
      <c r="C37">
        <v>10</v>
      </c>
      <c r="D37">
        <v>18</v>
      </c>
      <c r="E37" t="s">
        <v>118</v>
      </c>
      <c r="F37">
        <v>500</v>
      </c>
      <c r="G37">
        <v>-25</v>
      </c>
      <c r="H37">
        <v>0</v>
      </c>
      <c r="I37">
        <v>160</v>
      </c>
    </row>
    <row r="38" spans="1:13" x14ac:dyDescent="0.2">
      <c r="A38" t="str">
        <f t="shared" si="2"/>
        <v>June</v>
      </c>
      <c r="B38">
        <v>20</v>
      </c>
      <c r="C38">
        <v>10</v>
      </c>
      <c r="D38">
        <v>14.5</v>
      </c>
      <c r="E38" t="s">
        <v>118</v>
      </c>
      <c r="F38">
        <v>500</v>
      </c>
      <c r="G38">
        <v>-25</v>
      </c>
      <c r="H38">
        <v>0</v>
      </c>
      <c r="I38">
        <v>160</v>
      </c>
    </row>
    <row r="39" spans="1:13" x14ac:dyDescent="0.2">
      <c r="A39" t="str">
        <f t="shared" si="2"/>
        <v>July</v>
      </c>
      <c r="B39">
        <v>20</v>
      </c>
      <c r="C39">
        <v>10</v>
      </c>
      <c r="D39">
        <v>14</v>
      </c>
      <c r="E39" t="s">
        <v>118</v>
      </c>
      <c r="F39">
        <v>500</v>
      </c>
      <c r="G39">
        <v>-25</v>
      </c>
      <c r="H39">
        <v>0</v>
      </c>
      <c r="I39">
        <v>120</v>
      </c>
    </row>
    <row r="40" spans="1:13" x14ac:dyDescent="0.2">
      <c r="A40" t="str">
        <f t="shared" si="2"/>
        <v>August</v>
      </c>
      <c r="B40">
        <v>21</v>
      </c>
      <c r="C40">
        <v>10</v>
      </c>
      <c r="D40">
        <v>19</v>
      </c>
      <c r="E40" t="s">
        <v>118</v>
      </c>
      <c r="F40">
        <v>500</v>
      </c>
      <c r="G40">
        <v>-25</v>
      </c>
      <c r="H40">
        <v>0</v>
      </c>
      <c r="I40">
        <v>120</v>
      </c>
    </row>
    <row r="41" spans="1:13" x14ac:dyDescent="0.2">
      <c r="A41" t="str">
        <f t="shared" si="2"/>
        <v>September</v>
      </c>
      <c r="B41">
        <v>18</v>
      </c>
      <c r="C41">
        <v>10</v>
      </c>
      <c r="D41">
        <v>28</v>
      </c>
      <c r="E41" t="s">
        <v>118</v>
      </c>
      <c r="F41">
        <v>500</v>
      </c>
      <c r="G41">
        <v>-25</v>
      </c>
      <c r="H41">
        <v>0</v>
      </c>
      <c r="I41">
        <v>120</v>
      </c>
    </row>
    <row r="42" spans="1:13" x14ac:dyDescent="0.2">
      <c r="A42" t="str">
        <f t="shared" si="2"/>
        <v xml:space="preserve">October </v>
      </c>
      <c r="B42">
        <v>21</v>
      </c>
      <c r="C42">
        <v>10</v>
      </c>
      <c r="D42">
        <v>28</v>
      </c>
      <c r="E42" t="s">
        <v>118</v>
      </c>
      <c r="F42">
        <v>480</v>
      </c>
      <c r="G42">
        <v>-25</v>
      </c>
      <c r="H42">
        <v>0</v>
      </c>
      <c r="I42">
        <v>120</v>
      </c>
    </row>
    <row r="43" spans="1:13" x14ac:dyDescent="0.2">
      <c r="A43" t="str">
        <f t="shared" si="2"/>
        <v>November</v>
      </c>
      <c r="B43">
        <v>0</v>
      </c>
      <c r="C43">
        <v>0</v>
      </c>
      <c r="D43">
        <v>0</v>
      </c>
      <c r="E43" t="s">
        <v>118</v>
      </c>
      <c r="F43">
        <v>0</v>
      </c>
      <c r="G43">
        <v>0</v>
      </c>
      <c r="H43">
        <v>0</v>
      </c>
      <c r="I43">
        <v>0</v>
      </c>
    </row>
    <row r="46" spans="1:13" x14ac:dyDescent="0.2">
      <c r="A46" t="s">
        <v>24</v>
      </c>
      <c r="C46" t="s">
        <v>6</v>
      </c>
    </row>
    <row r="47" spans="1:13" x14ac:dyDescent="0.2">
      <c r="A47" t="str">
        <f t="shared" ref="A47:A60" si="3">A10</f>
        <v>October 00</v>
      </c>
      <c r="B47">
        <v>7334.57</v>
      </c>
      <c r="C47">
        <v>3156.48</v>
      </c>
      <c r="D47">
        <v>828.4</v>
      </c>
      <c r="E47">
        <v>1030.01</v>
      </c>
      <c r="F47">
        <v>3260</v>
      </c>
      <c r="G47">
        <v>-329.72</v>
      </c>
      <c r="H47">
        <v>0</v>
      </c>
      <c r="I47">
        <v>1696</v>
      </c>
      <c r="J47">
        <f t="shared" ref="J47:J59" si="4">SUM(B47:I47)</f>
        <v>16975.739999999998</v>
      </c>
    </row>
    <row r="48" spans="1:13" x14ac:dyDescent="0.2">
      <c r="A48" t="str">
        <f t="shared" si="3"/>
        <v>November</v>
      </c>
      <c r="B48">
        <v>8974.67</v>
      </c>
      <c r="C48">
        <v>3932.47</v>
      </c>
      <c r="D48">
        <v>762.19</v>
      </c>
      <c r="E48">
        <v>0</v>
      </c>
      <c r="F48">
        <v>3879.75</v>
      </c>
      <c r="G48">
        <v>-381.63</v>
      </c>
      <c r="H48">
        <v>0</v>
      </c>
      <c r="I48">
        <v>2060.5500000000002</v>
      </c>
      <c r="J48">
        <f t="shared" si="4"/>
        <v>19228</v>
      </c>
      <c r="K48" t="s">
        <v>6</v>
      </c>
      <c r="L48" t="s">
        <v>6</v>
      </c>
      <c r="M48" t="s">
        <v>6</v>
      </c>
    </row>
    <row r="49" spans="1:12" x14ac:dyDescent="0.2">
      <c r="A49" t="str">
        <f t="shared" si="3"/>
        <v>Dec 00</v>
      </c>
      <c r="B49">
        <f>4471.32+2034.06</f>
        <v>6505.3799999999992</v>
      </c>
      <c r="C49">
        <f>1947.82+893.7</f>
        <v>2841.52</v>
      </c>
      <c r="D49">
        <f>412.17+189.42</f>
        <v>601.59</v>
      </c>
      <c r="E49">
        <f>150.14+287.12</f>
        <v>437.26</v>
      </c>
      <c r="F49">
        <f>2262.75+1048.5</f>
        <v>3311.25</v>
      </c>
      <c r="G49">
        <f>-226.3-108.83</f>
        <v>-335.13</v>
      </c>
      <c r="H49">
        <v>0</v>
      </c>
      <c r="I49">
        <f>676.8+1491.2</f>
        <v>2168</v>
      </c>
      <c r="J49">
        <f t="shared" si="4"/>
        <v>15529.87</v>
      </c>
    </row>
    <row r="50" spans="1:12" x14ac:dyDescent="0.2">
      <c r="A50" t="str">
        <f t="shared" si="3"/>
        <v>January 01</v>
      </c>
      <c r="B50">
        <f>4008.2+1813.28</f>
        <v>5821.48</v>
      </c>
      <c r="C50">
        <f>2201.55+998.25</f>
        <v>3199.8</v>
      </c>
      <c r="D50">
        <f>546.92+247.28</f>
        <v>794.19999999999993</v>
      </c>
      <c r="E50">
        <f>646.15+503.36</f>
        <v>1149.51</v>
      </c>
      <c r="F50">
        <f>2566.25+1160.75</f>
        <v>3727</v>
      </c>
      <c r="G50">
        <f>-255.03-120.41</f>
        <v>-375.44</v>
      </c>
      <c r="H50">
        <v>0</v>
      </c>
      <c r="I50">
        <f>1848+839.2</f>
        <v>2687.2</v>
      </c>
      <c r="J50">
        <f t="shared" si="4"/>
        <v>17003.75</v>
      </c>
    </row>
    <row r="51" spans="1:12" x14ac:dyDescent="0.2">
      <c r="A51" t="str">
        <f t="shared" si="3"/>
        <v>February</v>
      </c>
      <c r="B51">
        <f>3638.88+1646.68</f>
        <v>5285.56</v>
      </c>
      <c r="C51">
        <f>1545.9+698.85</f>
        <v>2244.75</v>
      </c>
      <c r="D51">
        <f>277+124.8</f>
        <v>401.8</v>
      </c>
      <c r="E51">
        <f>-34.35+373.89</f>
        <v>339.53999999999996</v>
      </c>
      <c r="F51">
        <f>2599.25+1176.25</f>
        <v>3775.5</v>
      </c>
      <c r="G51">
        <f>-259.59-122.65</f>
        <v>-382.24</v>
      </c>
      <c r="H51">
        <v>0</v>
      </c>
      <c r="I51">
        <f>950.4+426.4</f>
        <v>1376.8</v>
      </c>
      <c r="J51">
        <f t="shared" si="4"/>
        <v>13041.710000000001</v>
      </c>
    </row>
    <row r="52" spans="1:12" x14ac:dyDescent="0.2">
      <c r="A52" t="str">
        <f t="shared" si="3"/>
        <v>March</v>
      </c>
      <c r="B52">
        <f>4441.92+1992.76</f>
        <v>6434.68</v>
      </c>
      <c r="C52">
        <f>2110.05+983.85</f>
        <v>3093.9</v>
      </c>
      <c r="D52">
        <f>414.04+193.6</f>
        <v>607.64</v>
      </c>
      <c r="E52">
        <f>397.13+493.86</f>
        <v>890.99</v>
      </c>
      <c r="F52">
        <f>2657.75+1238.5</f>
        <v>3896.25</v>
      </c>
      <c r="G52">
        <f>-265.46-127.21</f>
        <v>-392.66999999999996</v>
      </c>
      <c r="H52">
        <v>0</v>
      </c>
      <c r="I52">
        <f>1577.6+739.2</f>
        <v>2316.8000000000002</v>
      </c>
      <c r="J52">
        <f t="shared" si="4"/>
        <v>16847.59</v>
      </c>
    </row>
    <row r="53" spans="1:12" x14ac:dyDescent="0.2">
      <c r="A53" t="str">
        <f t="shared" si="3"/>
        <v xml:space="preserve">April </v>
      </c>
      <c r="B53">
        <f>3967.6+1827.7</f>
        <v>5795.3</v>
      </c>
      <c r="C53">
        <f>1733.5+798.25</f>
        <v>2531.75</v>
      </c>
      <c r="D53">
        <f>312.12+143.46</f>
        <v>455.58000000000004</v>
      </c>
      <c r="E53">
        <f>278.14+628.76</f>
        <v>906.9</v>
      </c>
      <c r="F53">
        <f>2309.75+1063.75</f>
        <v>3373.5</v>
      </c>
      <c r="G53">
        <f>-229.97-109.7</f>
        <v>-339.67</v>
      </c>
      <c r="H53">
        <v>0</v>
      </c>
      <c r="I53">
        <f>1508.8+694.4</f>
        <v>2203.1999999999998</v>
      </c>
      <c r="J53">
        <f t="shared" si="4"/>
        <v>14926.559999999998</v>
      </c>
    </row>
    <row r="54" spans="1:12" x14ac:dyDescent="0.2">
      <c r="A54" t="str">
        <f t="shared" si="3"/>
        <v>May</v>
      </c>
      <c r="B54">
        <f>3379.95+1530.9</f>
        <v>4910.8500000000004</v>
      </c>
      <c r="C54">
        <f>588.15+1298.4</f>
        <v>1886.5500000000002</v>
      </c>
      <c r="D54">
        <f>357.75+162.18</f>
        <v>519.93000000000006</v>
      </c>
      <c r="E54">
        <f>133.79+260.89</f>
        <v>394.67999999999995</v>
      </c>
      <c r="F54">
        <f>1987.5+901</f>
        <v>2888.5</v>
      </c>
      <c r="G54">
        <f>-93.74-198.26</f>
        <v>-292</v>
      </c>
      <c r="H54">
        <v>0</v>
      </c>
      <c r="I54">
        <f>1451.1+655.2</f>
        <v>2106.3000000000002</v>
      </c>
      <c r="J54">
        <f t="shared" si="4"/>
        <v>12414.810000000001</v>
      </c>
    </row>
    <row r="55" spans="1:12" x14ac:dyDescent="0.2">
      <c r="A55" t="str">
        <f t="shared" si="3"/>
        <v>June</v>
      </c>
      <c r="B55">
        <f>2968.56+1098.86</f>
        <v>4067.42</v>
      </c>
      <c r="C55">
        <f>1260.3+534.09</f>
        <v>1794.3899999999999</v>
      </c>
      <c r="D55">
        <f>300.33+56.42</f>
        <v>356.75</v>
      </c>
      <c r="E55">
        <f>102.09+245.11</f>
        <v>347.20000000000005</v>
      </c>
      <c r="F55">
        <f>2192.5+1015</f>
        <v>3207.5</v>
      </c>
      <c r="G55">
        <f>-211.68-104.76</f>
        <v>-316.44</v>
      </c>
      <c r="H55">
        <v>0</v>
      </c>
      <c r="I55">
        <f>1259.2+582.4</f>
        <v>1841.6</v>
      </c>
      <c r="J55">
        <f t="shared" si="4"/>
        <v>11298.419999999998</v>
      </c>
    </row>
    <row r="56" spans="1:12" x14ac:dyDescent="0.2">
      <c r="A56" t="str">
        <f t="shared" si="3"/>
        <v>July</v>
      </c>
      <c r="B56">
        <f>2846.13+898.59</f>
        <v>3744.7200000000003</v>
      </c>
      <c r="C56">
        <f>1187.1+472.05</f>
        <v>1659.1499999999999</v>
      </c>
      <c r="D56">
        <f>338.94+34.92</f>
        <v>373.86</v>
      </c>
      <c r="E56">
        <f>308.73+114.96</f>
        <v>423.69</v>
      </c>
      <c r="F56">
        <f>2189+971.75-656.66</f>
        <v>2504.09</v>
      </c>
      <c r="G56">
        <f>-218.6-102.26</f>
        <v>-320.86</v>
      </c>
      <c r="H56">
        <v>0</v>
      </c>
      <c r="I56">
        <f>1499.2+672.8-800.53</f>
        <v>1371.47</v>
      </c>
      <c r="J56">
        <f t="shared" si="4"/>
        <v>9756.1199999999972</v>
      </c>
    </row>
    <row r="57" spans="1:12" x14ac:dyDescent="0.2">
      <c r="A57" t="str">
        <f t="shared" si="3"/>
        <v>August</v>
      </c>
      <c r="B57">
        <f>2390.85+1001.07</f>
        <v>3391.92</v>
      </c>
      <c r="C57">
        <f>1165.7+497.9</f>
        <v>1663.6</v>
      </c>
      <c r="D57">
        <f>248.82+112.77</f>
        <v>361.59</v>
      </c>
      <c r="E57">
        <f>315.68+688.09-821.23</f>
        <v>182.53999999999996</v>
      </c>
      <c r="F57">
        <f>1596.25+662.5</f>
        <v>2258.75</v>
      </c>
      <c r="G57">
        <f>-186.12-99.25</f>
        <v>-285.37</v>
      </c>
      <c r="H57">
        <v>0</v>
      </c>
      <c r="I57">
        <f>931.2+242</f>
        <v>1173.2</v>
      </c>
      <c r="J57">
        <f t="shared" si="4"/>
        <v>8746.2300000000014</v>
      </c>
      <c r="K57" t="s">
        <v>6</v>
      </c>
      <c r="L57" t="s">
        <v>6</v>
      </c>
    </row>
    <row r="58" spans="1:12" x14ac:dyDescent="0.2">
      <c r="A58" t="str">
        <f t="shared" si="3"/>
        <v>September</v>
      </c>
      <c r="B58">
        <f>2047.5+753.93</f>
        <v>2801.43</v>
      </c>
      <c r="C58">
        <f>1183.6+435.9</f>
        <v>1619.5</v>
      </c>
      <c r="D58">
        <f>452.48+174.86</f>
        <v>627.34</v>
      </c>
      <c r="E58">
        <f>769.4+299.68</f>
        <v>1069.08</v>
      </c>
      <c r="F58">
        <f>974+443</f>
        <v>1417</v>
      </c>
      <c r="G58">
        <f>-193.41-87.85</f>
        <v>-281.26</v>
      </c>
      <c r="H58">
        <v>0</v>
      </c>
      <c r="I58">
        <f>1027.8+378.6</f>
        <v>1406.4</v>
      </c>
      <c r="J58">
        <f t="shared" si="4"/>
        <v>8659.49</v>
      </c>
      <c r="L58" t="s">
        <v>6</v>
      </c>
    </row>
    <row r="59" spans="1:12" x14ac:dyDescent="0.2">
      <c r="A59" t="str">
        <f t="shared" si="3"/>
        <v xml:space="preserve">October </v>
      </c>
      <c r="B59">
        <f>2465.77+932.72</f>
        <v>3398.49</v>
      </c>
      <c r="C59">
        <f>1297.33+530.6</f>
        <v>1827.9299999999998</v>
      </c>
      <c r="D59">
        <f>415.67+148.25</f>
        <v>563.92000000000007</v>
      </c>
      <c r="E59">
        <f>758.98+459.76+38.09</f>
        <v>1256.83</v>
      </c>
      <c r="F59">
        <f>1027.41+403.2</f>
        <v>1430.6100000000001</v>
      </c>
      <c r="G59">
        <f>-223.93-83.39</f>
        <v>-307.32</v>
      </c>
      <c r="H59">
        <v>0</v>
      </c>
      <c r="I59">
        <f>532.05+175.78</f>
        <v>707.82999999999993</v>
      </c>
      <c r="J59">
        <f t="shared" si="4"/>
        <v>8878.2900000000009</v>
      </c>
      <c r="L59" t="s">
        <v>6</v>
      </c>
    </row>
    <row r="60" spans="1:12" x14ac:dyDescent="0.2">
      <c r="A60" t="str">
        <f t="shared" si="3"/>
        <v>November</v>
      </c>
      <c r="B60">
        <v>0</v>
      </c>
      <c r="C60">
        <v>0</v>
      </c>
      <c r="D60">
        <v>0</v>
      </c>
      <c r="E60">
        <v>0</v>
      </c>
      <c r="F60">
        <v>0</v>
      </c>
      <c r="G60">
        <v>0</v>
      </c>
      <c r="H60">
        <v>0</v>
      </c>
      <c r="I60">
        <v>0</v>
      </c>
      <c r="J60">
        <v>0</v>
      </c>
    </row>
    <row r="62" spans="1:12" x14ac:dyDescent="0.2">
      <c r="A62" t="s">
        <v>88</v>
      </c>
      <c r="B62">
        <f t="shared" ref="B62:I62" si="5">SUM(B47:B60)</f>
        <v>68466.47</v>
      </c>
      <c r="C62">
        <f t="shared" si="5"/>
        <v>31451.79</v>
      </c>
      <c r="D62">
        <f t="shared" si="5"/>
        <v>7254.7900000000009</v>
      </c>
      <c r="E62">
        <f t="shared" si="5"/>
        <v>8428.23</v>
      </c>
      <c r="F62">
        <f t="shared" si="5"/>
        <v>38929.699999999997</v>
      </c>
      <c r="G62">
        <f t="shared" si="5"/>
        <v>-4339.75</v>
      </c>
      <c r="H62">
        <f t="shared" si="5"/>
        <v>0</v>
      </c>
      <c r="I62">
        <f t="shared" si="5"/>
        <v>23115.35</v>
      </c>
    </row>
    <row r="64" spans="1:12" x14ac:dyDescent="0.2">
      <c r="A64" t="s">
        <v>89</v>
      </c>
      <c r="J64">
        <f>SUM(J47:J60)</f>
        <v>173306.58000000002</v>
      </c>
    </row>
    <row r="66" spans="2:9" x14ac:dyDescent="0.2">
      <c r="I66" t="s">
        <v>6</v>
      </c>
    </row>
    <row r="67" spans="2:9" x14ac:dyDescent="0.2">
      <c r="B67" t="s">
        <v>6</v>
      </c>
    </row>
  </sheetData>
  <phoneticPr fontId="0" type="noConversion"/>
  <pageMargins left="0.35" right="0.35" top="0.75" bottom="0.75" header="0.5" footer="0.5"/>
  <pageSetup orientation="portrait" horizontalDpi="4294967293" verticalDpi="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41"/>
  <sheetViews>
    <sheetView showOutlineSymbols="0" topLeftCell="A23" zoomScale="87" workbookViewId="0"/>
  </sheetViews>
  <sheetFormatPr defaultColWidth="11.44140625" defaultRowHeight="15" x14ac:dyDescent="0.2"/>
  <sheetData>
    <row r="1" spans="2:7" x14ac:dyDescent="0.2">
      <c r="D1" t="s">
        <v>0</v>
      </c>
    </row>
    <row r="2" spans="2:7" x14ac:dyDescent="0.2">
      <c r="D2" t="s">
        <v>136</v>
      </c>
    </row>
    <row r="3" spans="2:7" x14ac:dyDescent="0.2">
      <c r="D3" t="s">
        <v>137</v>
      </c>
    </row>
    <row r="5" spans="2:7" x14ac:dyDescent="0.2">
      <c r="B5" t="s">
        <v>3</v>
      </c>
    </row>
    <row r="7" spans="2:7" x14ac:dyDescent="0.2">
      <c r="B7" t="s">
        <v>4</v>
      </c>
    </row>
    <row r="8" spans="2:7" x14ac:dyDescent="0.2">
      <c r="B8" t="s">
        <v>138</v>
      </c>
    </row>
    <row r="9" spans="2:7" x14ac:dyDescent="0.2">
      <c r="B9" t="s">
        <v>139</v>
      </c>
    </row>
    <row r="11" spans="2:7" x14ac:dyDescent="0.2">
      <c r="G11" t="s">
        <v>140</v>
      </c>
    </row>
    <row r="12" spans="2:7" x14ac:dyDescent="0.2">
      <c r="G12" t="s">
        <v>8</v>
      </c>
    </row>
    <row r="13" spans="2:7" x14ac:dyDescent="0.2">
      <c r="B13" t="s">
        <v>9</v>
      </c>
      <c r="D13" t="s">
        <v>141</v>
      </c>
      <c r="E13" t="s">
        <v>142</v>
      </c>
      <c r="F13" t="s">
        <v>143</v>
      </c>
      <c r="G13" t="s">
        <v>13</v>
      </c>
    </row>
    <row r="15" spans="2:7" x14ac:dyDescent="0.2">
      <c r="B15" t="s">
        <v>14</v>
      </c>
      <c r="D15">
        <v>11.5</v>
      </c>
      <c r="E15">
        <v>12.13</v>
      </c>
      <c r="F15">
        <v>11.99</v>
      </c>
    </row>
    <row r="16" spans="2:7" x14ac:dyDescent="0.2">
      <c r="B16" t="s">
        <v>16</v>
      </c>
      <c r="D16">
        <v>1.3</v>
      </c>
      <c r="E16">
        <v>1.6</v>
      </c>
      <c r="F16">
        <v>1.2</v>
      </c>
    </row>
    <row r="17" spans="2:6" x14ac:dyDescent="0.2">
      <c r="B17" t="s">
        <v>15</v>
      </c>
      <c r="D17">
        <v>14.75</v>
      </c>
      <c r="E17">
        <v>15.13</v>
      </c>
      <c r="F17">
        <v>15.67</v>
      </c>
    </row>
    <row r="18" spans="2:6" x14ac:dyDescent="0.2">
      <c r="B18" t="s">
        <v>144</v>
      </c>
      <c r="D18">
        <v>16.829999999999998</v>
      </c>
      <c r="E18">
        <v>17.25</v>
      </c>
      <c r="F18">
        <v>17.559999999999999</v>
      </c>
    </row>
    <row r="19" spans="2:6" x14ac:dyDescent="0.2">
      <c r="D19">
        <f>SUM(D15:D18)</f>
        <v>44.379999999999995</v>
      </c>
      <c r="E19">
        <f>SUM(E15:E18)</f>
        <v>46.11</v>
      </c>
      <c r="F19">
        <f>SUM(F15:F18)</f>
        <v>46.42</v>
      </c>
    </row>
    <row r="21" spans="2:6" x14ac:dyDescent="0.2">
      <c r="B21" t="s">
        <v>23</v>
      </c>
    </row>
    <row r="23" spans="2:6" x14ac:dyDescent="0.2">
      <c r="B23" t="s">
        <v>14</v>
      </c>
      <c r="D23">
        <v>50</v>
      </c>
      <c r="E23">
        <v>45</v>
      </c>
      <c r="F23">
        <v>45</v>
      </c>
    </row>
    <row r="24" spans="2:6" x14ac:dyDescent="0.2">
      <c r="B24" t="s">
        <v>16</v>
      </c>
      <c r="D24">
        <v>30</v>
      </c>
      <c r="E24">
        <v>25</v>
      </c>
      <c r="F24">
        <v>25</v>
      </c>
    </row>
    <row r="25" spans="2:6" x14ac:dyDescent="0.2">
      <c r="B25" t="s">
        <v>15</v>
      </c>
      <c r="D25">
        <v>-20</v>
      </c>
      <c r="E25">
        <v>-20</v>
      </c>
      <c r="F25">
        <v>-25</v>
      </c>
    </row>
    <row r="26" spans="2:6" x14ac:dyDescent="0.2">
      <c r="B26" t="s">
        <v>144</v>
      </c>
      <c r="D26">
        <v>-30</v>
      </c>
      <c r="E26">
        <v>-30</v>
      </c>
      <c r="F26">
        <v>-30</v>
      </c>
    </row>
    <row r="29" spans="2:6" x14ac:dyDescent="0.2">
      <c r="B29" t="s">
        <v>24</v>
      </c>
    </row>
    <row r="31" spans="2:6" x14ac:dyDescent="0.2">
      <c r="B31" t="s">
        <v>14</v>
      </c>
      <c r="D31">
        <f t="shared" ref="D31:F34" si="0">D15*D23</f>
        <v>575</v>
      </c>
      <c r="E31">
        <f t="shared" si="0"/>
        <v>545.85</v>
      </c>
      <c r="F31">
        <f t="shared" si="0"/>
        <v>539.54999999999995</v>
      </c>
    </row>
    <row r="32" spans="2:6" x14ac:dyDescent="0.2">
      <c r="B32" t="s">
        <v>16</v>
      </c>
      <c r="D32">
        <f t="shared" si="0"/>
        <v>39</v>
      </c>
      <c r="E32">
        <f t="shared" si="0"/>
        <v>40</v>
      </c>
      <c r="F32">
        <f t="shared" si="0"/>
        <v>30</v>
      </c>
    </row>
    <row r="33" spans="2:7" x14ac:dyDescent="0.2">
      <c r="B33" t="s">
        <v>15</v>
      </c>
      <c r="D33">
        <f t="shared" si="0"/>
        <v>-295</v>
      </c>
      <c r="E33">
        <f t="shared" si="0"/>
        <v>-302.60000000000002</v>
      </c>
      <c r="F33">
        <f t="shared" si="0"/>
        <v>-391.75</v>
      </c>
    </row>
    <row r="34" spans="2:7" x14ac:dyDescent="0.2">
      <c r="B34" t="s">
        <v>144</v>
      </c>
      <c r="D34">
        <f t="shared" si="0"/>
        <v>-504.9</v>
      </c>
      <c r="E34">
        <f t="shared" si="0"/>
        <v>-517.5</v>
      </c>
      <c r="F34">
        <f t="shared" si="0"/>
        <v>-526.79999999999995</v>
      </c>
    </row>
    <row r="36" spans="2:7" x14ac:dyDescent="0.2">
      <c r="B36" t="s">
        <v>25</v>
      </c>
      <c r="D36">
        <f>SUM(D31:D35)</f>
        <v>-185.89999999999998</v>
      </c>
      <c r="E36">
        <f>SUM(E31:E35)</f>
        <v>-234.25</v>
      </c>
      <c r="F36">
        <f>SUM(F31:F35)</f>
        <v>-349</v>
      </c>
      <c r="G36">
        <f>AVERAGE(D36:F36)</f>
        <v>-256.38333333333333</v>
      </c>
    </row>
    <row r="38" spans="2:7" x14ac:dyDescent="0.2">
      <c r="B38" t="s">
        <v>145</v>
      </c>
      <c r="D38">
        <v>5000</v>
      </c>
      <c r="E38">
        <v>5025</v>
      </c>
      <c r="F38">
        <v>5034</v>
      </c>
      <c r="G38">
        <f>AVERAGE(D38:F38)</f>
        <v>5019.666666666667</v>
      </c>
    </row>
    <row r="41" spans="2:7" x14ac:dyDescent="0.2">
      <c r="B41" t="s">
        <v>27</v>
      </c>
      <c r="G41">
        <f>G36/G38</f>
        <v>-5.1075768643336204E-2</v>
      </c>
    </row>
  </sheetData>
  <phoneticPr fontId="0" type="noConversion"/>
  <pageMargins left="0.35" right="0.35" top="0.75" bottom="0.75" header="0.5" footer="0.5"/>
  <pageSetup orientation="portrait" horizontalDpi="4294967293" verticalDpi="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74"/>
  <sheetViews>
    <sheetView showOutlineSymbols="0" zoomScale="87" workbookViewId="0">
      <selection activeCell="F19" sqref="F19"/>
    </sheetView>
  </sheetViews>
  <sheetFormatPr defaultColWidth="11.44140625" defaultRowHeight="15" x14ac:dyDescent="0.2"/>
  <sheetData>
    <row r="1" spans="2:6" x14ac:dyDescent="0.2">
      <c r="F1" t="s">
        <v>0</v>
      </c>
    </row>
    <row r="2" spans="2:6" x14ac:dyDescent="0.2">
      <c r="F2" t="s">
        <v>1</v>
      </c>
    </row>
    <row r="3" spans="2:6" x14ac:dyDescent="0.2">
      <c r="F3" t="s">
        <v>2</v>
      </c>
    </row>
    <row r="6" spans="2:6" x14ac:dyDescent="0.2">
      <c r="B6" t="s">
        <v>146</v>
      </c>
    </row>
    <row r="8" spans="2:6" x14ac:dyDescent="0.2">
      <c r="B8" t="s">
        <v>4</v>
      </c>
    </row>
    <row r="9" spans="2:6" x14ac:dyDescent="0.2">
      <c r="B9" t="s">
        <v>147</v>
      </c>
    </row>
    <row r="10" spans="2:6" x14ac:dyDescent="0.2">
      <c r="B10" t="s">
        <v>6</v>
      </c>
    </row>
    <row r="13" spans="2:6" x14ac:dyDescent="0.2">
      <c r="F13" t="s">
        <v>7</v>
      </c>
    </row>
    <row r="14" spans="2:6" x14ac:dyDescent="0.2">
      <c r="D14" t="s">
        <v>30</v>
      </c>
      <c r="E14" t="s">
        <v>31</v>
      </c>
      <c r="F14" t="s">
        <v>8</v>
      </c>
    </row>
    <row r="15" spans="2:6" x14ac:dyDescent="0.2">
      <c r="B15" t="s">
        <v>92</v>
      </c>
      <c r="D15" t="s">
        <v>26</v>
      </c>
      <c r="E15" t="s">
        <v>32</v>
      </c>
      <c r="F15" t="s">
        <v>13</v>
      </c>
    </row>
    <row r="17" spans="2:8" x14ac:dyDescent="0.2">
      <c r="B17" t="s">
        <v>148</v>
      </c>
      <c r="D17">
        <v>0</v>
      </c>
      <c r="E17" t="s">
        <v>6</v>
      </c>
      <c r="F17" t="s">
        <v>6</v>
      </c>
    </row>
    <row r="18" spans="2:8" x14ac:dyDescent="0.2">
      <c r="B18" t="s">
        <v>34</v>
      </c>
      <c r="D18">
        <v>0</v>
      </c>
      <c r="E18" t="s">
        <v>6</v>
      </c>
      <c r="F18" t="s">
        <v>6</v>
      </c>
    </row>
    <row r="19" spans="2:8" x14ac:dyDescent="0.2">
      <c r="B19" t="s">
        <v>35</v>
      </c>
      <c r="D19">
        <v>40678</v>
      </c>
      <c r="E19">
        <f>'4th year actual'!$J$50</f>
        <v>7752.46</v>
      </c>
      <c r="F19">
        <f>SUM(E19:E19)/SUM(D19:D19)</f>
        <v>0.19058114951570873</v>
      </c>
    </row>
    <row r="20" spans="2:8" x14ac:dyDescent="0.2">
      <c r="B20" t="s">
        <v>149</v>
      </c>
      <c r="D20">
        <v>40678</v>
      </c>
      <c r="E20">
        <f>'4th year actual'!$J$51</f>
        <v>8716.8700000000008</v>
      </c>
      <c r="F20">
        <f>SUM(E19:E20)/SUM(D19:D20)</f>
        <v>0.20243534588721179</v>
      </c>
    </row>
    <row r="21" spans="2:8" x14ac:dyDescent="0.2">
      <c r="B21" t="s">
        <v>37</v>
      </c>
      <c r="D21">
        <v>40678</v>
      </c>
      <c r="E21">
        <f>'4th year actual'!$J$52</f>
        <v>7377.91</v>
      </c>
      <c r="F21">
        <f t="shared" ref="F21:F30" si="0">SUM(E19:E21)/SUM(D19:D21)</f>
        <v>0.19541472048773295</v>
      </c>
    </row>
    <row r="22" spans="2:8" x14ac:dyDescent="0.2">
      <c r="B22" t="s">
        <v>38</v>
      </c>
      <c r="D22">
        <v>40797</v>
      </c>
      <c r="E22">
        <f>'4th year actual'!$J$53</f>
        <v>7961.06</v>
      </c>
      <c r="F22">
        <f t="shared" si="0"/>
        <v>0.19693204423960115</v>
      </c>
    </row>
    <row r="23" spans="2:8" x14ac:dyDescent="0.2">
      <c r="B23" t="s">
        <v>95</v>
      </c>
      <c r="D23">
        <v>40797</v>
      </c>
      <c r="E23">
        <f>'4th year actual'!$J$54</f>
        <v>8377.9500000000007</v>
      </c>
      <c r="F23">
        <f t="shared" si="0"/>
        <v>0.19396852918084273</v>
      </c>
    </row>
    <row r="24" spans="2:8" x14ac:dyDescent="0.2">
      <c r="B24" t="s">
        <v>40</v>
      </c>
      <c r="D24">
        <v>40797</v>
      </c>
      <c r="E24">
        <f>'4th year actual'!$J$55</f>
        <v>9012.01</v>
      </c>
      <c r="F24">
        <f t="shared" si="0"/>
        <v>0.20713140672108246</v>
      </c>
    </row>
    <row r="25" spans="2:8" x14ac:dyDescent="0.2">
      <c r="B25" t="s">
        <v>41</v>
      </c>
      <c r="D25">
        <v>41072</v>
      </c>
      <c r="E25">
        <f>'4th year actual'!$J$56</f>
        <v>8860.93</v>
      </c>
      <c r="F25">
        <f t="shared" si="0"/>
        <v>0.21400298371186799</v>
      </c>
    </row>
    <row r="26" spans="2:8" x14ac:dyDescent="0.2">
      <c r="B26" t="s">
        <v>42</v>
      </c>
      <c r="D26">
        <v>41378</v>
      </c>
      <c r="E26">
        <f>'4th year actual'!$J$57</f>
        <v>9491.64</v>
      </c>
      <c r="F26">
        <f t="shared" si="0"/>
        <v>0.22203039424894724</v>
      </c>
    </row>
    <row r="27" spans="2:8" x14ac:dyDescent="0.2">
      <c r="B27" t="s">
        <v>43</v>
      </c>
      <c r="D27">
        <v>41544</v>
      </c>
      <c r="E27">
        <f>'4th year actual'!$J$58</f>
        <v>8986.82</v>
      </c>
      <c r="F27">
        <f t="shared" si="0"/>
        <v>0.22048962046550638</v>
      </c>
    </row>
    <row r="28" spans="2:8" x14ac:dyDescent="0.2">
      <c r="B28" t="s">
        <v>44</v>
      </c>
      <c r="D28">
        <v>41569</v>
      </c>
      <c r="E28">
        <f>'4th year actual'!$J$59</f>
        <v>8802.6200000000008</v>
      </c>
      <c r="F28">
        <f t="shared" si="0"/>
        <v>0.2191409820790258</v>
      </c>
    </row>
    <row r="29" spans="2:8" x14ac:dyDescent="0.2">
      <c r="B29" t="s">
        <v>72</v>
      </c>
      <c r="D29">
        <v>41181</v>
      </c>
      <c r="E29">
        <f>'4th year actual'!$J$60</f>
        <v>9567.0400000000009</v>
      </c>
      <c r="F29">
        <f t="shared" si="0"/>
        <v>0.22009493619965567</v>
      </c>
    </row>
    <row r="30" spans="2:8" x14ac:dyDescent="0.2">
      <c r="B30" t="s">
        <v>34</v>
      </c>
      <c r="D30">
        <v>41000</v>
      </c>
      <c r="E30">
        <f>'4th year actual'!$J$61</f>
        <v>8724.31</v>
      </c>
      <c r="F30">
        <f t="shared" si="0"/>
        <v>0.21894117171717173</v>
      </c>
    </row>
    <row r="31" spans="2:8" x14ac:dyDescent="0.2">
      <c r="E31" t="s">
        <v>6</v>
      </c>
    </row>
    <row r="32" spans="2:8" x14ac:dyDescent="0.2">
      <c r="B32" t="s">
        <v>96</v>
      </c>
      <c r="D32">
        <f>SUM(D17:D31)</f>
        <v>492169</v>
      </c>
      <c r="E32">
        <f>SUM(E19:E31)</f>
        <v>103631.62</v>
      </c>
      <c r="H32" t="s">
        <v>6</v>
      </c>
    </row>
    <row r="34" spans="2:10" x14ac:dyDescent="0.2">
      <c r="B34" t="s">
        <v>150</v>
      </c>
    </row>
    <row r="36" spans="2:10" x14ac:dyDescent="0.2">
      <c r="B36" t="s">
        <v>151</v>
      </c>
      <c r="F36">
        <v>0</v>
      </c>
    </row>
    <row r="37" spans="2:10" x14ac:dyDescent="0.2">
      <c r="B37" t="s">
        <v>152</v>
      </c>
      <c r="F37">
        <v>0</v>
      </c>
    </row>
    <row r="38" spans="2:10" x14ac:dyDescent="0.2">
      <c r="B38" t="s">
        <v>153</v>
      </c>
      <c r="F38">
        <f>D19</f>
        <v>40678</v>
      </c>
    </row>
    <row r="39" spans="2:10" x14ac:dyDescent="0.2">
      <c r="B39" t="s">
        <v>6</v>
      </c>
      <c r="F39" t="s">
        <v>6</v>
      </c>
    </row>
    <row r="40" spans="2:10" x14ac:dyDescent="0.2">
      <c r="B40" t="s">
        <v>6</v>
      </c>
      <c r="F40">
        <f>(+F36+F37+F38)</f>
        <v>40678</v>
      </c>
    </row>
    <row r="41" spans="2:10" x14ac:dyDescent="0.2">
      <c r="B41" t="s">
        <v>101</v>
      </c>
      <c r="F41">
        <f>'Second year adj'!$J$74</f>
        <v>0.57258914304196162</v>
      </c>
    </row>
    <row r="43" spans="2:10" x14ac:dyDescent="0.2">
      <c r="B43" t="s">
        <v>102</v>
      </c>
      <c r="G43">
        <f>F40*F41</f>
        <v>23291.781160660914</v>
      </c>
      <c r="H43" t="s">
        <v>6</v>
      </c>
    </row>
    <row r="45" spans="2:10" x14ac:dyDescent="0.2">
      <c r="B45" t="s">
        <v>154</v>
      </c>
      <c r="F45">
        <f>SUM(D20:D30)</f>
        <v>451491</v>
      </c>
      <c r="J45" t="s">
        <v>6</v>
      </c>
    </row>
    <row r="46" spans="2:10" x14ac:dyDescent="0.2">
      <c r="B46" t="s">
        <v>101</v>
      </c>
      <c r="F46">
        <f>'Third Year adj'!$J$74</f>
        <v>5.1621775761443056E-2</v>
      </c>
    </row>
    <row r="48" spans="2:10" x14ac:dyDescent="0.2">
      <c r="B48" t="s">
        <v>102</v>
      </c>
      <c r="G48">
        <f>F45*F46</f>
        <v>23306.767160309686</v>
      </c>
    </row>
    <row r="50" spans="2:7" x14ac:dyDescent="0.2">
      <c r="B50" t="s">
        <v>104</v>
      </c>
      <c r="G50">
        <f>G43+G48</f>
        <v>46598.5483209706</v>
      </c>
    </row>
    <row r="52" spans="2:7" x14ac:dyDescent="0.2">
      <c r="B52" t="s">
        <v>50</v>
      </c>
      <c r="G52">
        <f>E32</f>
        <v>103631.62</v>
      </c>
    </row>
    <row r="54" spans="2:7" x14ac:dyDescent="0.2">
      <c r="B54" t="s">
        <v>105</v>
      </c>
      <c r="G54">
        <f>G52-G50</f>
        <v>57033.071679029395</v>
      </c>
    </row>
    <row r="57" spans="2:7" x14ac:dyDescent="0.2">
      <c r="B57" t="s">
        <v>106</v>
      </c>
    </row>
    <row r="59" spans="2:7" x14ac:dyDescent="0.2">
      <c r="B59" t="s">
        <v>107</v>
      </c>
      <c r="G59">
        <f>G54</f>
        <v>57033.071679029395</v>
      </c>
    </row>
    <row r="60" spans="2:7" x14ac:dyDescent="0.2">
      <c r="B60" t="s">
        <v>54</v>
      </c>
      <c r="G60">
        <f>SUM(D28:D30)/3</f>
        <v>41250</v>
      </c>
    </row>
    <row r="61" spans="2:7" x14ac:dyDescent="0.2">
      <c r="B61" t="s">
        <v>108</v>
      </c>
      <c r="G61">
        <f>G59/G60</f>
        <v>1.3826199194916218</v>
      </c>
    </row>
    <row r="62" spans="2:7" x14ac:dyDescent="0.2">
      <c r="B62" t="s">
        <v>56</v>
      </c>
    </row>
    <row r="63" spans="2:7" x14ac:dyDescent="0.2">
      <c r="B63" t="s">
        <v>57</v>
      </c>
      <c r="G63">
        <f>G61/12</f>
        <v>0.11521832662430181</v>
      </c>
    </row>
    <row r="65" spans="2:10" x14ac:dyDescent="0.2">
      <c r="G65" t="s">
        <v>155</v>
      </c>
      <c r="H65" t="s">
        <v>155</v>
      </c>
      <c r="I65" t="s">
        <v>155</v>
      </c>
      <c r="J65" t="s">
        <v>8</v>
      </c>
    </row>
    <row r="66" spans="2:10" x14ac:dyDescent="0.2">
      <c r="B66" t="s">
        <v>58</v>
      </c>
      <c r="G66" t="s">
        <v>44</v>
      </c>
      <c r="H66" t="s">
        <v>72</v>
      </c>
      <c r="I66" t="s">
        <v>34</v>
      </c>
      <c r="J66" t="s">
        <v>13</v>
      </c>
    </row>
    <row r="68" spans="2:10" x14ac:dyDescent="0.2">
      <c r="B68" t="s">
        <v>60</v>
      </c>
      <c r="G68">
        <f>E28</f>
        <v>8802.6200000000008</v>
      </c>
      <c r="H68">
        <f>E29</f>
        <v>9567.0400000000009</v>
      </c>
      <c r="I68">
        <f>E30</f>
        <v>8724.31</v>
      </c>
      <c r="J68">
        <f>AVERAGE(G68:I68)</f>
        <v>9031.3233333333337</v>
      </c>
    </row>
    <row r="69" spans="2:10" x14ac:dyDescent="0.2">
      <c r="B69" t="s">
        <v>62</v>
      </c>
      <c r="G69">
        <f>D28</f>
        <v>41569</v>
      </c>
      <c r="H69">
        <f>D29</f>
        <v>41181</v>
      </c>
      <c r="I69">
        <f>D30</f>
        <v>41000</v>
      </c>
      <c r="J69">
        <f>AVERAGE(G69:I69)</f>
        <v>41250</v>
      </c>
    </row>
    <row r="71" spans="2:10" x14ac:dyDescent="0.2">
      <c r="B71" t="s">
        <v>156</v>
      </c>
      <c r="G71" t="s">
        <v>65</v>
      </c>
      <c r="J71">
        <f>J68/J69</f>
        <v>0.21894117171717173</v>
      </c>
    </row>
    <row r="72" spans="2:10" x14ac:dyDescent="0.2">
      <c r="B72" t="s">
        <v>111</v>
      </c>
      <c r="J72">
        <v>-7.0000000000000007E-2</v>
      </c>
    </row>
    <row r="74" spans="2:10" x14ac:dyDescent="0.2">
      <c r="B74" t="s">
        <v>67</v>
      </c>
      <c r="E74" t="s">
        <v>68</v>
      </c>
      <c r="J74">
        <f>SUM(J71:J73)</f>
        <v>0.14894117171717172</v>
      </c>
    </row>
  </sheetData>
  <phoneticPr fontId="0" type="noConversion"/>
  <pageMargins left="0.35" right="0.35" top="0.75" bottom="0.75" header="0.5" footer="0.5"/>
  <pageSetup orientation="portrait" horizontalDpi="4294967293" verticalDpi="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8677EBD0C0A416438ACB533442AF8B66" ma:contentTypeVersion="68" ma:contentTypeDescription="" ma:contentTypeScope="" ma:versionID="2e66f709eece9a050f7c843e162929df">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a924c8152a3ca6d41f5defb10cfa585"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refix xmlns="dc463f71-b30c-4ab2-9473-d307f9d35888">TG</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227</IndustryCode>
    <CaseStatus xmlns="dc463f71-b30c-4ab2-9473-d307f9d35888">Closed</CaseStatus>
    <OpenedDate xmlns="dc463f71-b30c-4ab2-9473-d307f9d35888">2018-09-04T07:00:00+00:00</OpenedDate>
    <SignificantOrder xmlns="dc463f71-b30c-4ab2-9473-d307f9d35888">false</SignificantOrder>
    <Date1 xmlns="dc463f71-b30c-4ab2-9473-d307f9d35888">2018-09-04T07:00:00+00:00</Date1>
    <IsDocumentOrder xmlns="dc463f71-b30c-4ab2-9473-d307f9d35888">false</IsDocumentOrder>
    <IsHighlyConfidential xmlns="dc463f71-b30c-4ab2-9473-d307f9d35888">false</IsHighlyConfidential>
    <CaseCompanyNames xmlns="dc463f71-b30c-4ab2-9473-d307f9d35888">MURREY'S DISPOSAL COMPANY, INC.</CaseCompanyNames>
    <Nickname xmlns="http://schemas.microsoft.com/sharepoint/v3" xsi:nil="true"/>
    <DocketNumber xmlns="dc463f71-b30c-4ab2-9473-d307f9d35888">180742</DocketNumber>
    <DelegatedOrder xmlns="dc463f71-b30c-4ab2-9473-d307f9d35888">false</DelegatedOrder>
  </documentManagement>
</p:properties>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D2E1E1C8-F115-41CD-811E-76F2EB82BAC5}"/>
</file>

<file path=customXml/itemProps2.xml><?xml version="1.0" encoding="utf-8"?>
<ds:datastoreItem xmlns:ds="http://schemas.openxmlformats.org/officeDocument/2006/customXml" ds:itemID="{B7AF5896-AA09-4097-9209-C152A5FE1B72}"/>
</file>

<file path=customXml/itemProps3.xml><?xml version="1.0" encoding="utf-8"?>
<ds:datastoreItem xmlns:ds="http://schemas.openxmlformats.org/officeDocument/2006/customXml" ds:itemID="{493B2301-296C-4CFF-80C9-B89FE09A332E}"/>
</file>

<file path=customXml/itemProps4.xml><?xml version="1.0" encoding="utf-8"?>
<ds:datastoreItem xmlns:ds="http://schemas.openxmlformats.org/officeDocument/2006/customXml" ds:itemID="{CD57F3F6-1FC3-4DF5-97DC-0BCB370B44D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43</vt:i4>
      </vt:variant>
      <vt:variant>
        <vt:lpstr>Named Ranges</vt:lpstr>
      </vt:variant>
      <vt:variant>
        <vt:i4>25</vt:i4>
      </vt:variant>
    </vt:vector>
  </HeadingPairs>
  <TitlesOfParts>
    <vt:vector size="68" baseType="lpstr">
      <vt:lpstr>Initial credit</vt:lpstr>
      <vt:lpstr>First year adj</vt:lpstr>
      <vt:lpstr>1st yr actual</vt:lpstr>
      <vt:lpstr>Second year adj</vt:lpstr>
      <vt:lpstr>2nd year actual</vt:lpstr>
      <vt:lpstr>Third Year adj</vt:lpstr>
      <vt:lpstr>3rd year actual</vt:lpstr>
      <vt:lpstr>MF_initial</vt:lpstr>
      <vt:lpstr>Fourth Year adj</vt:lpstr>
      <vt:lpstr>4th year actual</vt:lpstr>
      <vt:lpstr>Fifth Year Adj</vt:lpstr>
      <vt:lpstr>5th year actual</vt:lpstr>
      <vt:lpstr>Sixth Year Adj</vt:lpstr>
      <vt:lpstr>6th year actual</vt:lpstr>
      <vt:lpstr>Expl 6th yr</vt:lpstr>
      <vt:lpstr>7th year adj</vt:lpstr>
      <vt:lpstr>7th year actual</vt:lpstr>
      <vt:lpstr>8th year adj</vt:lpstr>
      <vt:lpstr>8th year actual</vt:lpstr>
      <vt:lpstr>9th year adj</vt:lpstr>
      <vt:lpstr>9th year actual</vt:lpstr>
      <vt:lpstr>10th year adj</vt:lpstr>
      <vt:lpstr>10th year actual</vt:lpstr>
      <vt:lpstr>11th year adj</vt:lpstr>
      <vt:lpstr>11th year actual</vt:lpstr>
      <vt:lpstr>12th year adj</vt:lpstr>
      <vt:lpstr>12th year actual</vt:lpstr>
      <vt:lpstr>13th year adj</vt:lpstr>
      <vt:lpstr>13th year actual</vt:lpstr>
      <vt:lpstr>14th year adj</vt:lpstr>
      <vt:lpstr>14th year actual</vt:lpstr>
      <vt:lpstr>15th year adj</vt:lpstr>
      <vt:lpstr>15th year actual</vt:lpstr>
      <vt:lpstr>16th year adj</vt:lpstr>
      <vt:lpstr>16th year actual</vt:lpstr>
      <vt:lpstr>17th year adj</vt:lpstr>
      <vt:lpstr>17th year actual</vt:lpstr>
      <vt:lpstr>18th year actual</vt:lpstr>
      <vt:lpstr>18th year adj (1st half) Orig</vt:lpstr>
      <vt:lpstr>18th year adj (1st half) Rev</vt:lpstr>
      <vt:lpstr>18th year adj (2nd half)</vt:lpstr>
      <vt:lpstr>18th year actual (2nd half)</vt:lpstr>
      <vt:lpstr>Support</vt:lpstr>
      <vt:lpstr>'11th year actual'!Print_Area</vt:lpstr>
      <vt:lpstr>'11th year adj'!Print_Area</vt:lpstr>
      <vt:lpstr>'12th year adj'!Print_Area</vt:lpstr>
      <vt:lpstr>'13th year actual'!Print_Area</vt:lpstr>
      <vt:lpstr>'13th year adj'!Print_Area</vt:lpstr>
      <vt:lpstr>'14th year actual'!Print_Area</vt:lpstr>
      <vt:lpstr>'14th year adj'!Print_Area</vt:lpstr>
      <vt:lpstr>'15th year adj'!Print_Area</vt:lpstr>
      <vt:lpstr>'16th year actual'!Print_Area</vt:lpstr>
      <vt:lpstr>'16th year adj'!Print_Area</vt:lpstr>
      <vt:lpstr>'17th year actual'!Print_Area</vt:lpstr>
      <vt:lpstr>'17th year adj'!Print_Area</vt:lpstr>
      <vt:lpstr>'18th year actual'!Print_Area</vt:lpstr>
      <vt:lpstr>'18th year actual (2nd half)'!Print_Area</vt:lpstr>
      <vt:lpstr>'18th year adj (1st half) Orig'!Print_Area</vt:lpstr>
      <vt:lpstr>'18th year adj (1st half) Rev'!Print_Area</vt:lpstr>
      <vt:lpstr>'18th year adj (2nd half)'!Print_Area</vt:lpstr>
      <vt:lpstr>'5th year actual'!Print_Area</vt:lpstr>
      <vt:lpstr>'6th year actual'!Print_Area</vt:lpstr>
      <vt:lpstr>'7th year actual'!Print_Area</vt:lpstr>
      <vt:lpstr>'7th year adj'!Print_Area</vt:lpstr>
      <vt:lpstr>'8th year actual'!Print_Area</vt:lpstr>
      <vt:lpstr>'8th year adj'!Print_Area</vt:lpstr>
      <vt:lpstr>'Expl 6th yr'!Print_Area</vt:lpstr>
      <vt:lpstr>'Sixth Year Adj'!Print_Area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Irmgard</dc:creator>
  <cp:lastModifiedBy>Heather Garland</cp:lastModifiedBy>
  <cp:lastPrinted>2018-09-04T20:51:44Z</cp:lastPrinted>
  <dcterms:created xsi:type="dcterms:W3CDTF">2005-01-10T14:13:56Z</dcterms:created>
  <dcterms:modified xsi:type="dcterms:W3CDTF">2018-09-04T20:51:56Z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0x0101006E56B4D1795A2E4DB2F0B01679ED314A008677EBD0C0A416438ACB533442AF8B66</vt:lpwstr>
  </property>
  <property fmtid="{D5CDD505-2E9C-101B-9397-08002B2CF9AE}" pid="3" name="_docset_NoMedatataSyncRequired">
    <vt:lpwstr>False</vt:lpwstr>
  </property>
  <property fmtid="{D5CDD505-2E9C-101B-9397-08002B2CF9AE}" pid="4" name="IsEFSEC">
    <vt:bool>false</vt:bool>
  </property>
</Properties>
</file>