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dh\Desktop\PTI WA PUC\"/>
    </mc:Choice>
  </mc:AlternateContent>
  <bookViews>
    <workbookView xWindow="0" yWindow="0" windowWidth="21600" windowHeight="9735" tabRatio="877" activeTab="3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62913" iterate="1" iterateCount="50"/>
</workbook>
</file>

<file path=xl/calcChain.xml><?xml version="1.0" encoding="utf-8"?>
<calcChain xmlns="http://schemas.openxmlformats.org/spreadsheetml/2006/main">
  <c r="C42" i="12" l="1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<sst xmlns="http://schemas.openxmlformats.org/spreadsheetml/2006/main" count="637" uniqueCount="273">
  <si>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</si>
  <si>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</si>
  <si>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</si>
  <si>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</si>
  <si>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</si>
  <si>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</si>
  <si>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</si>
  <si>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</si>
  <si>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</si>
  <si>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</si>
  <si>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</si>
  <si>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</si>
  <si>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</si>
  <si>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</si>
  <si>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</si>
  <si>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</si>
  <si>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</si>
  <si>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</si>
  <si>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</si>
  <si>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</si>
  <si>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</si>
  <si>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</si>
  <si>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</si>
  <si>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</si>
  <si>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</si>
  <si>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</si>
  <si>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</si>
  <si>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</si>
  <si>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</si>
  <si>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</si>
  <si>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</si>
  <si>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</si>
  <si>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</si>
  <si>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</si>
  <si>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</si>
  <si>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</si>
  <si>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</si>
  <si>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</si>
  <si>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</si>
  <si>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</si>
  <si>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</si>
  <si>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</si>
  <si>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</si>
  <si>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</si>
  <si>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</si>
  <si>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</si>
  <si>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</si>
  <si>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</si>
  <si>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</si>
  <si>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</si>
  <si>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</si>
  <si>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</si>
  <si>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</si>
  <si>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</si>
  <si>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</si>
  <si>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</si>
  <si>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</si>
  <si>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</si>
  <si>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</si>
  <si>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</si>
  <si>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</si>
  <si>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</si>
  <si>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</si>
  <si>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</si>
  <si>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</si>
  <si>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</si>
  <si>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</si>
  <si>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</si>
  <si>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</si>
  <si>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</si>
  <si>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</si>
  <si>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</si>
  <si>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</si>
  <si>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</si>
  <si>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</si>
  <si>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</si>
  <si>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</si>
  <si>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</si>
  <si>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</si>
  <si>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</si>
  <si>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</si>
  <si>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</si>
  <si>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</si>
  <si>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</si>
  <si>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</si>
  <si>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</si>
  <si>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</si>
  <si>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</si>
  <si>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</si>
  <si>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</si>
  <si>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</si>
  <si>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</si>
  <si>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</si>
  <si>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</si>
  <si>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</si>
  <si>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</si>
  <si>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</si>
  <si>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</si>
  <si>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</si>
  <si>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</si>
  <si>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</si>
  <si>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</si>
  <si>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</si>
  <si>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</si>
  <si>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</si>
  <si>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</si>
  <si>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</si>
  <si>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</si>
  <si>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</si>
  <si>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</si>
  <si>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</si>
  <si>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</si>
  <si>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</si>
  <si>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</si>
  <si>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</si>
  <si>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</si>
  <si>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</si>
  <si>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</si>
  <si>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</si>
  <si>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</si>
  <si>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</si>
  <si>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</si>
  <si>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</si>
  <si>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</si>
  <si>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</si>
  <si>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</si>
  <si>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</si>
  <si>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</si>
  <si>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</si>
  <si>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</si>
  <si>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</si>
  <si>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</si>
  <si>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</si>
  <si>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</si>
  <si>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</si>
  <si>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</si>
  <si>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</si>
  <si>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</si>
  <si>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</si>
  <si>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</si>
  <si>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</si>
  <si>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</si>
  <si>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</si>
  <si>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</si>
  <si>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</si>
  <si>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</si>
  <si>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</si>
  <si>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</si>
  <si>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</si>
  <si>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</si>
  <si>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</si>
  <si>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</si>
  <si>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</si>
  <si>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</si>
  <si>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</si>
  <si>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</si>
  <si>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</si>
  <si>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</si>
  <si>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</si>
  <si>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</si>
  <si>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</si>
  <si>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</si>
  <si>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</si>
  <si>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</si>
  <si>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</si>
  <si>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</si>
  <si>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</si>
  <si>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</si>
  <si>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</si>
  <si>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</si>
  <si>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</si>
  <si>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</si>
  <si>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</si>
  <si>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</si>
  <si>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</si>
  <si>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</si>
  <si>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</si>
  <si>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</si>
  <si>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</si>
  <si>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</si>
  <si>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</si>
  <si>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</si>
  <si>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</si>
  <si>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</si>
  <si>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</si>
  <si>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</si>
  <si>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</si>
  <si>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</si>
  <si>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</si>
  <si>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</si>
  <si>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</si>
  <si>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</si>
  <si>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</si>
  <si>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</si>
  <si>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</si>
  <si>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</si>
  <si>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</si>
  <si>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</si>
  <si>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</si>
  <si>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</si>
  <si>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</si>
  <si>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</si>
  <si>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</si>
  <si>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</si>
  <si>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</si>
  <si>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</si>
  <si>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</si>
  <si>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</si>
  <si>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</si>
  <si>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</si>
  <si>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</si>
  <si>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</si>
  <si>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</si>
  <si>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</si>
  <si>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</si>
  <si>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</si>
  <si>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</si>
  <si>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</si>
  <si>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</si>
  <si>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</si>
  <si>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</si>
  <si>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</si>
  <si>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</si>
  <si>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</si>
  <si>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</si>
  <si>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</si>
  <si>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</si>
  <si>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</si>
  <si>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</si>
  <si>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</si>
  <si>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</si>
  <si>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</si>
  <si>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</si>
  <si>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</si>
  <si>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</si>
  <si>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</si>
  <si>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</si>
  <si>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</si>
  <si>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</si>
  <si>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</si>
  <si>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</si>
  <si>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</si>
  <si>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</si>
  <si>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</si>
  <si>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</si>
  <si>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</si>
  <si>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</si>
  <si>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</si>
  <si>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</si>
  <si>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</si>
  <si>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</si>
  <si>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</si>
  <si>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</si>
  <si>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</si>
  <si>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</si>
  <si>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</si>
  <si>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</si>
  <si>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</si>
  <si>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</si>
  <si>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</si>
  <si>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</si>
  <si>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</si>
  <si>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</si>
  <si>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</si>
  <si>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</si>
  <si>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</si>
  <si>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</si>
  <si>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</si>
  <si>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</si>
  <si>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</si>
  <si>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</si>
  <si>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</si>
  <si>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Pend Oreille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</si>
</sst>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zoomScaleNormal="100" workbookViewId="0">
      <selection activeCell="A23" sqref="A23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D18" sqref="D18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Pend Oreille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193766</v>
      </c>
      <c r="E9" s="55">
        <v>200611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107653</v>
      </c>
      <c r="E11" s="52">
        <v>138632</v>
      </c>
    </row>
    <row r="12" spans="1:5" x14ac:dyDescent="0.25">
      <c r="A12" s="10" t="s">
        <v>176</v>
      </c>
      <c r="B12" s="17" t="s">
        <v>200</v>
      </c>
      <c r="C12" s="10"/>
      <c r="D12" s="52">
        <v>762162</v>
      </c>
      <c r="E12" s="52">
        <v>727569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35911</v>
      </c>
      <c r="E14" s="52">
        <v>33097</v>
      </c>
    </row>
    <row r="15" spans="1:5" x14ac:dyDescent="0.25">
      <c r="A15" s="10" t="s">
        <v>178</v>
      </c>
      <c r="B15" s="17" t="s">
        <v>142</v>
      </c>
      <c r="C15" s="10"/>
      <c r="D15" s="52">
        <v>329750</v>
      </c>
      <c r="E15" s="52">
        <v>328338</v>
      </c>
    </row>
    <row r="16" spans="1:5" x14ac:dyDescent="0.25">
      <c r="A16" s="10">
        <v>4</v>
      </c>
      <c r="B16" s="17" t="s">
        <v>271</v>
      </c>
      <c r="C16" s="10" t="s">
        <v>144</v>
      </c>
      <c r="D16" s="52">
        <v>468631</v>
      </c>
      <c r="E16" s="52">
        <v>-8712</v>
      </c>
    </row>
    <row r="17" spans="1:5" x14ac:dyDescent="0.25">
      <c r="A17" s="10">
        <v>5</v>
      </c>
      <c r="B17" s="17" t="s">
        <v>270</v>
      </c>
      <c r="C17" s="10" t="s">
        <v>144</v>
      </c>
      <c r="D17" s="52">
        <v>0</v>
      </c>
      <c r="E17" s="52">
        <v>1562611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201068</v>
      </c>
      <c r="E18" s="52">
        <v>245307</v>
      </c>
    </row>
    <row r="19" spans="1:5" x14ac:dyDescent="0.25">
      <c r="A19" s="10">
        <v>7</v>
      </c>
      <c r="B19" s="17" t="s">
        <v>163</v>
      </c>
      <c r="C19" s="11"/>
      <c r="D19" s="53">
        <v>120</v>
      </c>
      <c r="E19" s="53"/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2099061</v>
      </c>
      <c r="E20" s="35">
        <f>E9+E11+E12+E14+E15+E16++E17+E18+E19</f>
        <v>3227453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2099061</v>
      </c>
      <c r="E21" s="37">
        <f>IncomeStmtSummary!D10</f>
        <v>3227453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J34" sqref="J34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Pend Oreille Telephone Company</v>
      </c>
      <c r="B3" s="66"/>
    </row>
    <row r="6" spans="1:5" x14ac:dyDescent="0.25">
      <c r="A6" s="9" t="s">
        <v>259</v>
      </c>
      <c r="B6" s="9" t="s">
        <v>212</v>
      </c>
      <c r="C6" s="6"/>
      <c r="D6" s="122" t="s">
        <v>186</v>
      </c>
      <c r="E6" s="123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/>
      <c r="B10" s="17"/>
      <c r="C10" s="17"/>
      <c r="D10" s="114"/>
      <c r="E10" s="114"/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D24" sqref="D24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Pend Oreille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260</v>
      </c>
      <c r="D7" s="121" t="s">
        <v>261</v>
      </c>
    </row>
    <row r="8" spans="1:4" x14ac:dyDescent="0.25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2190692</v>
      </c>
      <c r="D10" s="81">
        <f>C10</f>
        <v>2190692</v>
      </c>
    </row>
    <row r="11" spans="1:4" x14ac:dyDescent="0.25">
      <c r="A11" s="74">
        <v>2</v>
      </c>
      <c r="B11" s="78" t="s">
        <v>170</v>
      </c>
      <c r="C11" s="93">
        <f>'RateBase '!E15</f>
        <v>2256959</v>
      </c>
      <c r="D11" s="93">
        <f>C11</f>
        <v>2256959</v>
      </c>
    </row>
    <row r="12" spans="1:4" x14ac:dyDescent="0.25">
      <c r="A12" s="74">
        <v>3</v>
      </c>
      <c r="B12" s="89" t="s">
        <v>171</v>
      </c>
      <c r="C12" s="79">
        <f>(C10+C11)/2</f>
        <v>2223825.5</v>
      </c>
      <c r="D12" s="79">
        <f>(D10+D11)/2</f>
        <v>2223825.5</v>
      </c>
    </row>
    <row r="13" spans="1:4" x14ac:dyDescent="0.25">
      <c r="A13" s="74">
        <v>4</v>
      </c>
      <c r="B13" s="78" t="s">
        <v>172</v>
      </c>
      <c r="C13" s="58">
        <f>IncomeStmtSummary!D29</f>
        <v>736038</v>
      </c>
      <c r="D13" s="58">
        <f>C13</f>
        <v>736038</v>
      </c>
    </row>
    <row r="14" spans="1:4" x14ac:dyDescent="0.25">
      <c r="A14" s="74">
        <v>5</v>
      </c>
      <c r="B14" s="78" t="s">
        <v>262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736038</v>
      </c>
      <c r="D15" s="79">
        <f>D13+D14</f>
        <v>736038</v>
      </c>
    </row>
    <row r="16" spans="1:4" x14ac:dyDescent="0.25">
      <c r="A16" s="74">
        <v>7</v>
      </c>
      <c r="B16" s="89" t="s">
        <v>173</v>
      </c>
      <c r="C16" s="80">
        <f>C15/C12</f>
        <v>0.3309783074256501</v>
      </c>
      <c r="D16" s="80">
        <f>D15/D12</f>
        <v>0.3309783074256501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85" zoomScaleNormal="85" workbookViewId="0">
      <selection activeCell="B3" sqref="B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1008470</v>
      </c>
      <c r="C10" s="54"/>
      <c r="D10" s="58">
        <f>SUM(B10:C10)</f>
        <v>1008470</v>
      </c>
      <c r="E10" s="17"/>
      <c r="F10" s="17" t="s">
        <v>77</v>
      </c>
      <c r="G10" s="52">
        <v>182640</v>
      </c>
      <c r="H10" s="54"/>
      <c r="I10" s="58">
        <f>SUM(G10:H10)</f>
        <v>182640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>
        <v>245213</v>
      </c>
      <c r="H12" s="54"/>
      <c r="I12" s="58">
        <f t="shared" si="0"/>
        <v>245213</v>
      </c>
    </row>
    <row r="13" spans="1:9" x14ac:dyDescent="0.25">
      <c r="A13" s="17" t="s">
        <v>43</v>
      </c>
      <c r="B13" s="52">
        <v>0</v>
      </c>
      <c r="C13" s="54"/>
      <c r="D13" s="58">
        <f>SUM(B13:C13)</f>
        <v>0</v>
      </c>
      <c r="E13" s="17"/>
      <c r="F13" s="17" t="s">
        <v>81</v>
      </c>
      <c r="G13" s="52">
        <v>5880</v>
      </c>
      <c r="H13" s="54"/>
      <c r="I13" s="58">
        <f t="shared" si="0"/>
        <v>5880</v>
      </c>
    </row>
    <row r="14" spans="1:9" x14ac:dyDescent="0.25">
      <c r="A14" s="17" t="s">
        <v>46</v>
      </c>
      <c r="B14" s="52">
        <v>171601</v>
      </c>
      <c r="C14" s="54"/>
      <c r="D14" s="58">
        <f>SUM(B14:C14)</f>
        <v>171601</v>
      </c>
      <c r="E14" s="17"/>
      <c r="F14" s="17" t="s">
        <v>82</v>
      </c>
      <c r="G14" s="52">
        <v>171457</v>
      </c>
      <c r="H14" s="54"/>
      <c r="I14" s="58">
        <f t="shared" si="0"/>
        <v>171457</v>
      </c>
    </row>
    <row r="15" spans="1:9" x14ac:dyDescent="0.25">
      <c r="A15" s="17" t="s">
        <v>44</v>
      </c>
      <c r="B15" s="52">
        <v>84039</v>
      </c>
      <c r="C15" s="54"/>
      <c r="D15" s="58">
        <f t="shared" ref="D15" si="1">SUM(B15:C15)</f>
        <v>84039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41103</v>
      </c>
      <c r="C17" s="54"/>
      <c r="D17" s="58">
        <f>SUM(B17:C17)</f>
        <v>41103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221039</v>
      </c>
      <c r="C18" s="54"/>
      <c r="D18" s="58">
        <f t="shared" ref="D18:D24" si="2">SUM(B18:C18)</f>
        <v>221039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>
        <v>0</v>
      </c>
      <c r="C19" s="54"/>
      <c r="D19" s="58">
        <f t="shared" si="2"/>
        <v>0</v>
      </c>
      <c r="E19" s="17"/>
      <c r="F19" s="17" t="s">
        <v>87</v>
      </c>
      <c r="G19" s="53">
        <v>64078</v>
      </c>
      <c r="H19" s="111"/>
      <c r="I19" s="59">
        <f t="shared" si="0"/>
        <v>64078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669268</v>
      </c>
      <c r="H20" s="58">
        <f>SUM(H10:H19)</f>
        <v>0</v>
      </c>
      <c r="I20" s="58">
        <f t="shared" ref="I20" si="3">SUM(I10:I19)</f>
        <v>669268</v>
      </c>
    </row>
    <row r="21" spans="1:9" x14ac:dyDescent="0.25">
      <c r="A21" s="17" t="s">
        <v>48</v>
      </c>
      <c r="B21" s="52">
        <v>223710</v>
      </c>
      <c r="C21" s="54">
        <v>-7895</v>
      </c>
      <c r="D21" s="58">
        <f t="shared" si="2"/>
        <v>215815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>
        <v>999177</v>
      </c>
      <c r="H22" s="54"/>
      <c r="I22" s="58">
        <f>SUM(G22:H22)</f>
        <v>999177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70867</v>
      </c>
      <c r="C24" s="111"/>
      <c r="D24" s="59">
        <f t="shared" si="2"/>
        <v>70867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1820829</v>
      </c>
      <c r="C25" s="58">
        <f>C10+C11+C13+C14+C15+C17+C18+C19+C20+C21+C22+C23+C24</f>
        <v>-7895</v>
      </c>
      <c r="D25" s="58">
        <f t="shared" ref="D25" si="5">D10+D11+D13+D14+D15+D17+D18+D19+D20+D21+D22+D23+D24</f>
        <v>1812934</v>
      </c>
      <c r="E25" s="17"/>
      <c r="F25" s="17" t="s">
        <v>93</v>
      </c>
      <c r="G25" s="52">
        <v>266965</v>
      </c>
      <c r="H25" s="54"/>
      <c r="I25" s="58">
        <f t="shared" si="4"/>
        <v>266965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1266142</v>
      </c>
      <c r="H32" s="119">
        <f>SUM(H22:H31)</f>
        <v>0</v>
      </c>
      <c r="I32" s="119">
        <f>SUM(I22:I31)</f>
        <v>1266142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>
        <v>252958</v>
      </c>
      <c r="C34" s="54"/>
      <c r="D34" s="58">
        <f t="shared" ref="D34:D38" si="7">SUM(B34:C34)</f>
        <v>252958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/>
      <c r="C35" s="69">
        <f>-1*(C25+C30+C31+C33+C34+C36+C37+C38+C47)</f>
        <v>68392</v>
      </c>
      <c r="D35" s="58">
        <f t="shared" si="7"/>
        <v>68392</v>
      </c>
      <c r="E35" s="17"/>
      <c r="F35" s="18" t="s">
        <v>216</v>
      </c>
      <c r="G35" s="52">
        <v>381721</v>
      </c>
      <c r="H35" s="52">
        <v>-3791</v>
      </c>
      <c r="I35" s="58">
        <f>SUM(G35:H35)</f>
        <v>377930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780</v>
      </c>
      <c r="C37" s="54"/>
      <c r="D37" s="58">
        <f t="shared" si="7"/>
        <v>780</v>
      </c>
      <c r="E37" s="17"/>
      <c r="F37" s="17" t="s">
        <v>263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381721</v>
      </c>
      <c r="H38" s="58">
        <f>SUM(H34:H37)</f>
        <v>-3791</v>
      </c>
      <c r="I38" s="58">
        <f>SUM(I34:I37)</f>
        <v>377930</v>
      </c>
    </row>
    <row r="39" spans="1:9" x14ac:dyDescent="0.25">
      <c r="A39" s="17" t="s">
        <v>64</v>
      </c>
      <c r="B39" s="58">
        <f>B30+B31+B33+B34+B35+B36+B37+B38</f>
        <v>253738</v>
      </c>
      <c r="C39" s="58">
        <f>C30+C31+C33+C34+C35+C36+C37+C38</f>
        <v>68392</v>
      </c>
      <c r="D39" s="58">
        <f>D30+D31+D33+D34+D35+D36+D37+D38</f>
        <v>322130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2666346</v>
      </c>
      <c r="H40" s="22"/>
      <c r="I40" s="58">
        <f>SUM(G40:H40)</f>
        <v>2666346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17386766</v>
      </c>
      <c r="C42" s="52">
        <v>-172656</v>
      </c>
      <c r="D42" s="58">
        <f>SUM(B42:C42)</f>
        <v>17214110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>
        <v>1250</v>
      </c>
      <c r="C43" s="52">
        <v>-1250</v>
      </c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187714</v>
      </c>
      <c r="C44" s="52"/>
      <c r="D44" s="58">
        <f t="shared" si="10"/>
        <v>187714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-14974712</v>
      </c>
      <c r="C46" s="53">
        <v>113409</v>
      </c>
      <c r="D46" s="59">
        <f t="shared" si="10"/>
        <v>-14861303</v>
      </c>
      <c r="E46" s="17"/>
      <c r="F46" s="17" t="s">
        <v>223</v>
      </c>
      <c r="G46" s="53">
        <v>-307892</v>
      </c>
      <c r="H46" s="94">
        <f>-1*(H20+H32+H38)</f>
        <v>3791</v>
      </c>
      <c r="I46" s="59">
        <f t="shared" si="9"/>
        <v>-304101</v>
      </c>
    </row>
    <row r="47" spans="1:9" x14ac:dyDescent="0.25">
      <c r="A47" s="17" t="s">
        <v>70</v>
      </c>
      <c r="B47" s="58">
        <f>B42+B43+B44+B45+B46</f>
        <v>2601018</v>
      </c>
      <c r="C47" s="58">
        <f t="shared" ref="C47:D47" si="11">C42+C43+C44+C45+C46</f>
        <v>-60497</v>
      </c>
      <c r="D47" s="58">
        <f t="shared" si="11"/>
        <v>2540521</v>
      </c>
      <c r="E47" s="17"/>
      <c r="F47" s="17" t="s">
        <v>224</v>
      </c>
      <c r="G47" s="58">
        <f>SUM(G40:G46)</f>
        <v>2358454</v>
      </c>
      <c r="H47" s="61">
        <f t="shared" ref="H47:I47" si="12">SUM(H40:H46)</f>
        <v>3791</v>
      </c>
      <c r="I47" s="58">
        <f t="shared" si="12"/>
        <v>2362245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4675585</v>
      </c>
      <c r="C49" s="60">
        <f>C25+C39+C47</f>
        <v>0</v>
      </c>
      <c r="D49" s="60">
        <f>D25+D39+D47</f>
        <v>4675585</v>
      </c>
      <c r="E49" s="19"/>
      <c r="F49" s="82" t="s">
        <v>228</v>
      </c>
      <c r="G49" s="60">
        <f>G20+G32+G38+G47</f>
        <v>4675585</v>
      </c>
      <c r="H49" s="60">
        <f>H20+H32+H38+H47</f>
        <v>0</v>
      </c>
      <c r="I49" s="60">
        <f>I20+I32+I38+I47</f>
        <v>4675585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="85" zoomScaleNormal="85" workbookViewId="0">
      <selection activeCell="B33" sqref="B3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Pend Oreille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1309923</v>
      </c>
      <c r="C10" s="54"/>
      <c r="D10" s="58">
        <f>SUM(B10:C10)</f>
        <v>1309923</v>
      </c>
      <c r="E10" s="17"/>
      <c r="F10" s="17" t="s">
        <v>77</v>
      </c>
      <c r="G10" s="52">
        <v>268919</v>
      </c>
      <c r="H10" s="54"/>
      <c r="I10" s="58">
        <f>SUM(G10:H10)</f>
        <v>268919</v>
      </c>
    </row>
    <row r="11" spans="1:9" x14ac:dyDescent="0.25">
      <c r="A11" s="17" t="s">
        <v>129</v>
      </c>
      <c r="B11" s="52">
        <v>865</v>
      </c>
      <c r="C11" s="54"/>
      <c r="D11" s="58">
        <f>SUM(B11:C11)</f>
        <v>865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>
        <v>287151</v>
      </c>
      <c r="H12" s="54"/>
      <c r="I12" s="58">
        <f t="shared" si="0"/>
        <v>287151</v>
      </c>
    </row>
    <row r="13" spans="1:9" x14ac:dyDescent="0.25">
      <c r="A13" s="17" t="s">
        <v>43</v>
      </c>
      <c r="B13" s="52">
        <v>0</v>
      </c>
      <c r="C13" s="54"/>
      <c r="D13" s="58">
        <f>SUM(B13:C13)</f>
        <v>0</v>
      </c>
      <c r="E13" s="17"/>
      <c r="F13" s="17" t="s">
        <v>81</v>
      </c>
      <c r="G13" s="52">
        <v>4850</v>
      </c>
      <c r="H13" s="54"/>
      <c r="I13" s="58">
        <f t="shared" si="0"/>
        <v>4850</v>
      </c>
    </row>
    <row r="14" spans="1:9" x14ac:dyDescent="0.25">
      <c r="A14" s="17" t="s">
        <v>46</v>
      </c>
      <c r="B14" s="52">
        <v>810957</v>
      </c>
      <c r="C14" s="54"/>
      <c r="D14" s="58">
        <f t="shared" ref="D14:D15" si="1">SUM(B14:C14)</f>
        <v>810957</v>
      </c>
      <c r="E14" s="17"/>
      <c r="F14" s="17" t="s">
        <v>82</v>
      </c>
      <c r="G14" s="52">
        <v>180391</v>
      </c>
      <c r="H14" s="54"/>
      <c r="I14" s="58">
        <f t="shared" si="0"/>
        <v>180391</v>
      </c>
    </row>
    <row r="15" spans="1:9" x14ac:dyDescent="0.25">
      <c r="A15" s="17" t="s">
        <v>44</v>
      </c>
      <c r="B15" s="52">
        <v>85735</v>
      </c>
      <c r="C15" s="54"/>
      <c r="D15" s="58">
        <f t="shared" si="1"/>
        <v>85735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35663</v>
      </c>
      <c r="C17" s="54"/>
      <c r="D17" s="58">
        <f>SUM(B17:C17)</f>
        <v>35663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252218</v>
      </c>
      <c r="C18" s="54"/>
      <c r="D18" s="58">
        <f t="shared" ref="D18:D24" si="2">SUM(B18:C18)</f>
        <v>252218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60516</v>
      </c>
      <c r="H19" s="111"/>
      <c r="I19" s="59">
        <f t="shared" si="0"/>
        <v>60516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801827</v>
      </c>
      <c r="H20" s="58">
        <f>SUM(H10:H19)</f>
        <v>0</v>
      </c>
      <c r="I20" s="58">
        <f t="shared" ref="I20" si="3">SUM(I10:I19)</f>
        <v>801827</v>
      </c>
    </row>
    <row r="21" spans="1:9" x14ac:dyDescent="0.25">
      <c r="A21" s="17" t="s">
        <v>48</v>
      </c>
      <c r="B21" s="52">
        <v>227782</v>
      </c>
      <c r="C21" s="54"/>
      <c r="D21" s="58">
        <f t="shared" si="2"/>
        <v>227782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11492</v>
      </c>
      <c r="C22" s="54"/>
      <c r="D22" s="58">
        <f t="shared" si="2"/>
        <v>11492</v>
      </c>
      <c r="E22" s="17"/>
      <c r="F22" s="17" t="s">
        <v>90</v>
      </c>
      <c r="G22" s="52">
        <v>890488</v>
      </c>
      <c r="H22" s="54"/>
      <c r="I22" s="58">
        <f>SUM(G22:H22)</f>
        <v>890488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67322</v>
      </c>
      <c r="C24" s="111"/>
      <c r="D24" s="59">
        <f t="shared" si="2"/>
        <v>67322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2801957</v>
      </c>
      <c r="C25" s="58">
        <f>C10+C11+C13+C14+C15+C17+C18+C19+C20+C21+C22+C23+C24</f>
        <v>0</v>
      </c>
      <c r="D25" s="58">
        <f t="shared" ref="D25" si="5">D10+D11+D13+D14+D15+D17+D18+D19+D20+D21+D22+D23+D24</f>
        <v>2801957</v>
      </c>
      <c r="E25" s="17"/>
      <c r="F25" s="17" t="s">
        <v>93</v>
      </c>
      <c r="G25" s="52">
        <v>195085</v>
      </c>
      <c r="H25" s="54"/>
      <c r="I25" s="58">
        <f t="shared" si="4"/>
        <v>195085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1085573</v>
      </c>
      <c r="H32" s="81">
        <f>SUM(H22:H31)</f>
        <v>0</v>
      </c>
      <c r="I32" s="58">
        <f>SUM(I22:I31)</f>
        <v>1085573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>
        <v>232647</v>
      </c>
      <c r="C34" s="54"/>
      <c r="D34" s="58">
        <f t="shared" ref="D34:D38" si="7">SUM(B34:C34)</f>
        <v>232647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15872</v>
      </c>
      <c r="C35" s="69">
        <f>-1*(C25+C30+C31+C33+C34+C36+C37+C38+C47)</f>
        <v>-56065</v>
      </c>
      <c r="D35" s="58">
        <f t="shared" si="7"/>
        <v>-40193</v>
      </c>
      <c r="E35" s="17"/>
      <c r="F35" s="18" t="s">
        <v>216</v>
      </c>
      <c r="G35" s="52">
        <v>231579</v>
      </c>
      <c r="H35" s="52">
        <v>36477</v>
      </c>
      <c r="I35" s="58">
        <f>SUM(G35:H35)</f>
        <v>268056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610</v>
      </c>
      <c r="C37" s="54"/>
      <c r="D37" s="58">
        <f t="shared" si="7"/>
        <v>610</v>
      </c>
      <c r="E37" s="17"/>
      <c r="F37" s="17" t="s">
        <v>263</v>
      </c>
      <c r="G37" s="53">
        <v>205953</v>
      </c>
      <c r="H37" s="118"/>
      <c r="I37" s="59">
        <f t="shared" si="8"/>
        <v>205953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437532</v>
      </c>
      <c r="H38" s="58">
        <f>SUM(H34:H37)</f>
        <v>36477</v>
      </c>
      <c r="I38" s="58">
        <f>SUM(I34:I37)</f>
        <v>474009</v>
      </c>
    </row>
    <row r="39" spans="1:11" x14ac:dyDescent="0.25">
      <c r="A39" s="17" t="s">
        <v>64</v>
      </c>
      <c r="B39" s="58">
        <f>B30+B31+B33+B34+B35+B36+B37+B38</f>
        <v>249129</v>
      </c>
      <c r="C39" s="58">
        <f>C30+C31+C33+C34+C35+C36+C37+C38</f>
        <v>-56065</v>
      </c>
      <c r="D39" s="58">
        <f t="shared" ref="D39" si="9">D30+D31+D33+D34+D35+D36+D37+D38</f>
        <v>193064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2666346</v>
      </c>
      <c r="H40" s="22"/>
      <c r="I40" s="58">
        <f>SUM(G40:H40)</f>
        <v>2666346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17689008</v>
      </c>
      <c r="C42" s="52">
        <f>-B42+17661528</f>
        <v>-27480</v>
      </c>
      <c r="D42" s="58">
        <f>SUM(B42:C42)</f>
        <v>17661528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>
        <v>1250</v>
      </c>
      <c r="C43" s="52">
        <v>-1250</v>
      </c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70337</v>
      </c>
      <c r="C44" s="52"/>
      <c r="D44" s="58">
        <f t="shared" si="11"/>
        <v>70337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>
        <v>72321</v>
      </c>
      <c r="C45" s="52"/>
      <c r="D45" s="58">
        <f t="shared" si="11"/>
        <v>72321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-15449090</v>
      </c>
      <c r="C46" s="53">
        <v>84795</v>
      </c>
      <c r="D46" s="59">
        <f t="shared" si="11"/>
        <v>-15364295</v>
      </c>
      <c r="E46" s="17"/>
      <c r="F46" s="17" t="s">
        <v>223</v>
      </c>
      <c r="G46" s="53">
        <v>443634</v>
      </c>
      <c r="H46" s="94">
        <f>-1*(H20+H32+H38)</f>
        <v>-36477</v>
      </c>
      <c r="I46" s="59">
        <f t="shared" si="10"/>
        <v>407157</v>
      </c>
    </row>
    <row r="47" spans="1:11" x14ac:dyDescent="0.25">
      <c r="A47" s="17" t="s">
        <v>70</v>
      </c>
      <c r="B47" s="58">
        <f>B42+B43+B44+B45+B46</f>
        <v>2383826</v>
      </c>
      <c r="C47" s="58">
        <f t="shared" ref="C47:D47" si="12">C42+C43+C44+C45+C46</f>
        <v>56065</v>
      </c>
      <c r="D47" s="58">
        <f t="shared" si="12"/>
        <v>2439891</v>
      </c>
      <c r="E47" s="17"/>
      <c r="F47" s="17" t="s">
        <v>224</v>
      </c>
      <c r="G47" s="58">
        <f>SUM(G40:G46)</f>
        <v>3109980</v>
      </c>
      <c r="H47" s="61">
        <f t="shared" ref="H47:I47" si="13">SUM(H40:H46)</f>
        <v>-36477</v>
      </c>
      <c r="I47" s="58">
        <f t="shared" si="13"/>
        <v>3073503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5434912</v>
      </c>
      <c r="C49" s="60">
        <f t="shared" ref="C49:D49" si="14">C25+C39+C47</f>
        <v>0</v>
      </c>
      <c r="D49" s="60">
        <f t="shared" si="14"/>
        <v>5434912</v>
      </c>
      <c r="E49" s="19"/>
      <c r="F49" s="82" t="s">
        <v>227</v>
      </c>
      <c r="G49" s="60">
        <f>G20+G32+G38+G47</f>
        <v>5434912</v>
      </c>
      <c r="H49" s="60">
        <f>H20+H32+H38+H47</f>
        <v>0</v>
      </c>
      <c r="I49" s="60">
        <f>I20+I32+I38+I47</f>
        <v>5434912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zoomScale="85" zoomScaleNormal="85" workbookViewId="0">
      <selection activeCell="A17" sqref="A17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Pend Oreille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1008470</v>
      </c>
      <c r="C10" s="32">
        <f>'CurrentYearBalanceSheet '!D10</f>
        <v>1309923</v>
      </c>
      <c r="D10" s="17"/>
      <c r="E10" s="17" t="s">
        <v>77</v>
      </c>
      <c r="F10" s="32">
        <f>PriorYearBalanceSheet!I10</f>
        <v>182640</v>
      </c>
      <c r="G10" s="32">
        <f>'CurrentYearBalanceSheet '!I10</f>
        <v>268919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865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245213</v>
      </c>
      <c r="G12" s="32">
        <f>'CurrentYearBalanceSheet '!I12</f>
        <v>287151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5880</v>
      </c>
      <c r="G13" s="32">
        <f>'CurrentYearBalanceSheet '!I13</f>
        <v>4850</v>
      </c>
    </row>
    <row r="14" spans="1:7" x14ac:dyDescent="0.25">
      <c r="A14" s="17" t="s">
        <v>46</v>
      </c>
      <c r="B14" s="32">
        <f>PriorYearBalanceSheet!D14</f>
        <v>171601</v>
      </c>
      <c r="C14" s="32">
        <f>'CurrentYearBalanceSheet '!D14</f>
        <v>810957</v>
      </c>
      <c r="D14" s="17"/>
      <c r="E14" s="17" t="s">
        <v>82</v>
      </c>
      <c r="F14" s="32">
        <f>PriorYearBalanceSheet!I14</f>
        <v>171457</v>
      </c>
      <c r="G14" s="32">
        <f>'CurrentYearBalanceSheet '!I14</f>
        <v>180391</v>
      </c>
    </row>
    <row r="15" spans="1:7" x14ac:dyDescent="0.25">
      <c r="A15" s="17" t="s">
        <v>44</v>
      </c>
      <c r="B15" s="32">
        <f>PriorYearBalanceSheet!D15</f>
        <v>84039</v>
      </c>
      <c r="C15" s="32">
        <f>'CurrentYearBalanceSheet '!D15</f>
        <v>85735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41103</v>
      </c>
      <c r="C17" s="32">
        <f>'CurrentYearBalanceSheet '!D17</f>
        <v>35663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46</v>
      </c>
      <c r="B18" s="32">
        <f>PriorYearBalanceSheet!D18</f>
        <v>221039</v>
      </c>
      <c r="C18" s="32">
        <f>'CurrentYearBalanceSheet '!D18</f>
        <v>252218</v>
      </c>
      <c r="D18" s="17"/>
      <c r="E18" s="17" t="s">
        <v>86</v>
      </c>
      <c r="F18" s="32">
        <f>PriorYearBalanceSheet!I18</f>
        <v>0</v>
      </c>
      <c r="G18" s="32">
        <f>'CurrentYearBalanceSheet '!I18</f>
        <v>0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64078</v>
      </c>
      <c r="G19" s="32">
        <f>'CurrentYearBalanceSheet '!I19</f>
        <v>60516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669268</v>
      </c>
      <c r="G20" s="35">
        <f>SUM(G10:G19)</f>
        <v>801827</v>
      </c>
    </row>
    <row r="21" spans="1:7" x14ac:dyDescent="0.25">
      <c r="A21" s="17" t="s">
        <v>48</v>
      </c>
      <c r="B21" s="32">
        <f>PriorYearBalanceSheet!D21</f>
        <v>215815</v>
      </c>
      <c r="C21" s="32">
        <f>'CurrentYearBalanceSheet '!D21</f>
        <v>227782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11492</v>
      </c>
      <c r="D22" s="17"/>
      <c r="E22" s="17" t="s">
        <v>90</v>
      </c>
      <c r="F22" s="32">
        <f>PriorYearBalanceSheet!I22</f>
        <v>999177</v>
      </c>
      <c r="G22" s="32">
        <f>'CurrentYearBalanceSheet '!I22</f>
        <v>890488</v>
      </c>
    </row>
    <row r="23" spans="1:7" x14ac:dyDescent="0.25">
      <c r="A23" s="17" t="s">
        <v>50</v>
      </c>
      <c r="B23" s="32">
        <f>PriorYearBalanceSheet!D23</f>
        <v>0</v>
      </c>
      <c r="C23" s="32">
        <f>'CurrentYearBalanceSheet '!D23</f>
        <v>0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70867</v>
      </c>
      <c r="C24" s="33">
        <f>'CurrentYearBalanceSheet '!D24</f>
        <v>67322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1812934</v>
      </c>
      <c r="C25" s="32">
        <f>C10+C11+C13+C14+C15+C17+C18+C19+C20+C21+C22+C23+C24</f>
        <v>2801957</v>
      </c>
      <c r="D25" s="17"/>
      <c r="E25" s="17" t="s">
        <v>93</v>
      </c>
      <c r="F25" s="32">
        <f>PriorYearBalanceSheet!I25</f>
        <v>266965</v>
      </c>
      <c r="G25" s="32">
        <f>'CurrentYearBalanceSheet '!I25</f>
        <v>195085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1266142</v>
      </c>
      <c r="G32" s="32">
        <f>SUM(G22:G31)</f>
        <v>1085573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252958</v>
      </c>
      <c r="C34" s="32">
        <f>'CurrentYearBalanceSheet '!D34</f>
        <v>232647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68392</v>
      </c>
      <c r="C35" s="32">
        <f>'CurrentYearBalanceSheet '!D35</f>
        <v>-40193</v>
      </c>
      <c r="D35" s="17"/>
      <c r="E35" s="18" t="s">
        <v>216</v>
      </c>
      <c r="F35" s="32">
        <f>PriorYearBalanceSheet!I35</f>
        <v>377930</v>
      </c>
      <c r="G35" s="32">
        <f>'CurrentYearBalanceSheet '!I35</f>
        <v>268056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780</v>
      </c>
      <c r="C37" s="32">
        <f>'CurrentYearBalanceSheet '!D37</f>
        <v>610</v>
      </c>
      <c r="D37" s="17"/>
      <c r="E37" s="17" t="s">
        <v>263</v>
      </c>
      <c r="F37" s="33">
        <f>PriorYearBalanceSheet!I37</f>
        <v>0</v>
      </c>
      <c r="G37" s="33">
        <f>'CurrentYearBalanceSheet '!I37</f>
        <v>205953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377930</v>
      </c>
      <c r="G38" s="32">
        <f>SUM(G34:G37)</f>
        <v>474009</v>
      </c>
    </row>
    <row r="39" spans="1:7" x14ac:dyDescent="0.25">
      <c r="A39" s="17" t="s">
        <v>64</v>
      </c>
      <c r="B39" s="32">
        <f>B30+B31+B33+B34+B35+B36+B37+B38</f>
        <v>322130</v>
      </c>
      <c r="C39" s="32">
        <f>C30+C31+C33+C34+C35+C36+C37+C38</f>
        <v>193064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2666346</v>
      </c>
      <c r="G40" s="32">
        <f>'CurrentYearBalanceSheet '!I40</f>
        <v>2666346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17214110</v>
      </c>
      <c r="C42" s="32">
        <f>'CurrentYearBalanceSheet '!D42</f>
        <v>17661528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187714</v>
      </c>
      <c r="C44" s="32">
        <f>'CurrentYearBalanceSheet '!D44</f>
        <v>70337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72321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-14861303</v>
      </c>
      <c r="C46" s="33">
        <f>'CurrentYearBalanceSheet '!D46</f>
        <v>-15364295</v>
      </c>
      <c r="D46" s="17"/>
      <c r="E46" s="17" t="s">
        <v>232</v>
      </c>
      <c r="F46" s="33">
        <f>PriorYearBalanceSheet!I46</f>
        <v>-304101</v>
      </c>
      <c r="G46" s="33">
        <f>'CurrentYearBalanceSheet '!I46</f>
        <v>407157</v>
      </c>
    </row>
    <row r="47" spans="1:7" x14ac:dyDescent="0.25">
      <c r="A47" s="17" t="s">
        <v>70</v>
      </c>
      <c r="B47" s="32">
        <f>SUM(B42:B46)</f>
        <v>2540521</v>
      </c>
      <c r="C47" s="32">
        <f>SUM(C42:C46)</f>
        <v>2439891</v>
      </c>
      <c r="D47" s="17"/>
      <c r="E47" s="17" t="s">
        <v>224</v>
      </c>
      <c r="F47" s="32">
        <f>SUM(F40:F46)</f>
        <v>2362245</v>
      </c>
      <c r="G47" s="32">
        <f>SUM(G40:G46)</f>
        <v>3073503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4675585</v>
      </c>
      <c r="C49" s="34">
        <f>C25+C39+C47</f>
        <v>5434912</v>
      </c>
      <c r="D49" s="17"/>
      <c r="E49" s="21" t="s">
        <v>225</v>
      </c>
      <c r="F49" s="34">
        <f>F20+F32+F38+F47</f>
        <v>4675585</v>
      </c>
      <c r="G49" s="34">
        <f>G20+G32+G38+G47</f>
        <v>5434912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E14" sqref="E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265</v>
      </c>
      <c r="C10" s="10">
        <v>18</v>
      </c>
      <c r="D10" s="58">
        <f>'BalanceSheet(Summary)'!B42</f>
        <v>17214110</v>
      </c>
      <c r="E10" s="58">
        <f>'BalanceSheet(Summary)'!C42</f>
        <v>17661528</v>
      </c>
      <c r="F10" s="58">
        <f>(D10+E10)/2</f>
        <v>17437819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-14861303</v>
      </c>
      <c r="E12" s="58">
        <f>'BalanceSheet(Summary)'!C46</f>
        <v>-15364295</v>
      </c>
      <c r="F12" s="58">
        <f t="shared" ref="F12:F15" si="0">(D12+E12)/2</f>
        <v>-15112799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215815</v>
      </c>
      <c r="E13" s="58">
        <f>'BalanceSheet(Summary)'!C21</f>
        <v>227782</v>
      </c>
      <c r="F13" s="58">
        <f t="shared" si="0"/>
        <v>221798.5</v>
      </c>
    </row>
    <row r="14" spans="1:6" x14ac:dyDescent="0.25">
      <c r="A14" s="10">
        <v>5</v>
      </c>
      <c r="B14" s="17" t="s">
        <v>257</v>
      </c>
      <c r="C14" s="11"/>
      <c r="D14" s="52">
        <v>-377930</v>
      </c>
      <c r="E14" s="52">
        <v>-268056</v>
      </c>
      <c r="F14" s="58">
        <f t="shared" si="0"/>
        <v>-322993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2190692</v>
      </c>
      <c r="E15" s="62">
        <f>SUM(E10:E14)</f>
        <v>2256959</v>
      </c>
      <c r="F15" s="63">
        <f t="shared" si="0"/>
        <v>2223825.5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249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256</v>
      </c>
      <c r="B20" t="s">
        <v>250</v>
      </c>
      <c r="C20" s="65"/>
      <c r="D20" s="65"/>
      <c r="E20" s="65"/>
      <c r="F20" s="65"/>
    </row>
    <row r="21" spans="1:6" x14ac:dyDescent="0.25">
      <c r="B21" t="s">
        <v>252</v>
      </c>
      <c r="C21" s="65"/>
      <c r="D21" s="65"/>
      <c r="E21" s="65"/>
      <c r="F21" s="65"/>
    </row>
    <row r="22" spans="1:6" x14ac:dyDescent="0.25">
      <c r="B22" t="s">
        <v>253</v>
      </c>
      <c r="C22" s="65"/>
      <c r="D22" s="65"/>
      <c r="E22" s="65"/>
      <c r="F22" s="65"/>
    </row>
    <row r="23" spans="1:6" x14ac:dyDescent="0.25">
      <c r="B23" t="s">
        <v>251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1" sqref="D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1129</v>
      </c>
      <c r="D10" s="52">
        <v>1095</v>
      </c>
      <c r="E10" s="32">
        <f>D10-C10</f>
        <v>-34</v>
      </c>
      <c r="F10" s="38">
        <f>E10/C10</f>
        <v>-3.0115146147032774E-2</v>
      </c>
    </row>
    <row r="11" spans="1:6" x14ac:dyDescent="0.25">
      <c r="A11" s="10">
        <v>2</v>
      </c>
      <c r="B11" s="19" t="s">
        <v>122</v>
      </c>
      <c r="C11" s="52">
        <v>327</v>
      </c>
      <c r="D11" s="52">
        <v>329</v>
      </c>
      <c r="E11" s="32">
        <f>D11-C11</f>
        <v>2</v>
      </c>
      <c r="F11" s="38">
        <f t="shared" ref="F11:F12" si="0">E11/C11</f>
        <v>6.1162079510703364E-3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1456</v>
      </c>
      <c r="D12" s="34">
        <f t="shared" ref="D12:E12" si="1">SUM(D10:D11)</f>
        <v>1424</v>
      </c>
      <c r="E12" s="34">
        <f t="shared" si="1"/>
        <v>-32</v>
      </c>
      <c r="F12" s="39">
        <f t="shared" si="0"/>
        <v>-2.197802197802198E-2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="85" zoomScaleNormal="85" workbookViewId="0">
      <selection activeCell="D42" sqref="D4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55">
        <v>419794</v>
      </c>
      <c r="D9" s="52"/>
      <c r="E9" s="58">
        <f>SUM(C9:D9)</f>
        <v>419794</v>
      </c>
    </row>
    <row r="10" spans="1:6" x14ac:dyDescent="0.25">
      <c r="A10" s="10">
        <v>2</v>
      </c>
      <c r="B10" s="14" t="s">
        <v>2</v>
      </c>
      <c r="C10" s="52">
        <v>2099061</v>
      </c>
      <c r="D10" s="52"/>
      <c r="E10" s="58">
        <f t="shared" ref="E10:E14" si="0">SUM(C10:D10)</f>
        <v>2099061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>
        <v>30682</v>
      </c>
      <c r="D13" s="52"/>
      <c r="E13" s="58">
        <f t="shared" si="0"/>
        <v>30682</v>
      </c>
    </row>
    <row r="14" spans="1:6" x14ac:dyDescent="0.25">
      <c r="A14" s="10">
        <v>6</v>
      </c>
      <c r="B14" s="14" t="s">
        <v>133</v>
      </c>
      <c r="C14" s="52">
        <v>-33780</v>
      </c>
      <c r="D14" s="52"/>
      <c r="E14" s="58">
        <f t="shared" si="0"/>
        <v>-33780</v>
      </c>
    </row>
    <row r="15" spans="1:6" x14ac:dyDescent="0.25">
      <c r="A15" s="10">
        <v>7</v>
      </c>
      <c r="B15" s="88" t="s">
        <v>132</v>
      </c>
      <c r="C15" s="96">
        <f>SUM(C9:C14)</f>
        <v>2515757</v>
      </c>
      <c r="D15" s="96">
        <f t="shared" ref="D15:E15" si="1">SUM(D9:D14)</f>
        <v>0</v>
      </c>
      <c r="E15" s="96">
        <f t="shared" si="1"/>
        <v>2515757</v>
      </c>
      <c r="F15" s="1"/>
    </row>
    <row r="16" spans="1:6" x14ac:dyDescent="0.25">
      <c r="A16" s="10">
        <v>8</v>
      </c>
      <c r="B16" s="14" t="s">
        <v>6</v>
      </c>
      <c r="C16" s="52">
        <v>673453</v>
      </c>
      <c r="D16" s="52">
        <v>-11337</v>
      </c>
      <c r="E16" s="41">
        <f>SUM(C16:D16)</f>
        <v>662116</v>
      </c>
    </row>
    <row r="17" spans="1:6" x14ac:dyDescent="0.25">
      <c r="A17" s="10">
        <v>9</v>
      </c>
      <c r="B17" s="14" t="s">
        <v>39</v>
      </c>
      <c r="C17" s="52">
        <v>228911</v>
      </c>
      <c r="D17" s="52">
        <v>5664</v>
      </c>
      <c r="E17" s="41">
        <f t="shared" ref="E17:E21" si="2">SUM(C17:D17)</f>
        <v>234575</v>
      </c>
    </row>
    <row r="18" spans="1:6" x14ac:dyDescent="0.25">
      <c r="A18" s="10">
        <v>10</v>
      </c>
      <c r="B18" s="14" t="s">
        <v>7</v>
      </c>
      <c r="C18" s="52">
        <v>397932</v>
      </c>
      <c r="D18" s="52">
        <v>-2701</v>
      </c>
      <c r="E18" s="41">
        <f t="shared" si="2"/>
        <v>395231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175398</v>
      </c>
      <c r="D20" s="52">
        <v>-5738</v>
      </c>
      <c r="E20" s="41">
        <f t="shared" si="2"/>
        <v>169660</v>
      </c>
    </row>
    <row r="21" spans="1:6" x14ac:dyDescent="0.25">
      <c r="A21" s="10">
        <v>13</v>
      </c>
      <c r="B21" s="14" t="s">
        <v>10</v>
      </c>
      <c r="C21" s="52">
        <v>835335</v>
      </c>
      <c r="D21" s="52">
        <v>-13323</v>
      </c>
      <c r="E21" s="41">
        <f t="shared" si="2"/>
        <v>822012</v>
      </c>
    </row>
    <row r="22" spans="1:6" x14ac:dyDescent="0.25">
      <c r="A22" s="10">
        <v>14</v>
      </c>
      <c r="B22" s="83" t="s">
        <v>237</v>
      </c>
      <c r="C22" s="96">
        <f>C16+C17+C18+C19+C20+C21</f>
        <v>2311029</v>
      </c>
      <c r="D22" s="96">
        <f>D16+D17+D18+D19+D20+D21</f>
        <v>-27435</v>
      </c>
      <c r="E22" s="97">
        <f>E16+E17+E18+E19+E20+E21</f>
        <v>2283594</v>
      </c>
      <c r="F22" s="1"/>
    </row>
    <row r="23" spans="1:6" x14ac:dyDescent="0.25">
      <c r="A23" s="10">
        <v>15</v>
      </c>
      <c r="B23" s="14" t="s">
        <v>14</v>
      </c>
      <c r="C23" s="58">
        <f>C15-C22</f>
        <v>204728</v>
      </c>
      <c r="D23" s="58">
        <f>D15-D22</f>
        <v>27435</v>
      </c>
      <c r="E23" s="58">
        <f>E15-E22</f>
        <v>232163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2"/>
      <c r="E25" s="58">
        <f t="shared" ref="E25:E27" si="3">SUM(C25:D25)</f>
        <v>0</v>
      </c>
    </row>
    <row r="26" spans="1:6" x14ac:dyDescent="0.25">
      <c r="A26" s="10">
        <v>18</v>
      </c>
      <c r="B26" s="14" t="s">
        <v>191</v>
      </c>
      <c r="C26" s="52">
        <v>64573</v>
      </c>
      <c r="D26" s="54">
        <v>-27391</v>
      </c>
      <c r="E26" s="58">
        <f t="shared" si="3"/>
        <v>37182</v>
      </c>
    </row>
    <row r="27" spans="1:6" x14ac:dyDescent="0.25">
      <c r="A27" s="10">
        <v>19</v>
      </c>
      <c r="B27" s="14" t="s">
        <v>13</v>
      </c>
      <c r="C27" s="52">
        <v>56646</v>
      </c>
      <c r="D27" s="112">
        <v>-217</v>
      </c>
      <c r="E27" s="58">
        <f t="shared" si="3"/>
        <v>56429</v>
      </c>
    </row>
    <row r="28" spans="1:6" x14ac:dyDescent="0.25">
      <c r="A28" s="10">
        <v>20</v>
      </c>
      <c r="B28" s="88" t="s">
        <v>12</v>
      </c>
      <c r="C28" s="79">
        <f>SUM(C25:C27)</f>
        <v>121219</v>
      </c>
      <c r="D28" s="79">
        <f t="shared" ref="D28:E28" si="4">SUM(D25:D27)</f>
        <v>-27608</v>
      </c>
      <c r="E28" s="98">
        <f t="shared" si="4"/>
        <v>93611</v>
      </c>
    </row>
    <row r="29" spans="1:6" x14ac:dyDescent="0.25">
      <c r="A29" s="10">
        <v>21</v>
      </c>
      <c r="B29" s="88" t="s">
        <v>22</v>
      </c>
      <c r="C29" s="79">
        <f>C23+C24-C28</f>
        <v>83509</v>
      </c>
      <c r="D29" s="79">
        <f>D23+D24-D28</f>
        <v>55043</v>
      </c>
      <c r="E29" s="98">
        <f>E23+E24-E28</f>
        <v>138552</v>
      </c>
    </row>
    <row r="30" spans="1:6" x14ac:dyDescent="0.25">
      <c r="A30" s="10">
        <v>22</v>
      </c>
      <c r="B30" s="14" t="s">
        <v>15</v>
      </c>
      <c r="C30" s="52">
        <v>67744</v>
      </c>
      <c r="D30" s="54">
        <v>-25946</v>
      </c>
      <c r="E30" s="58">
        <f>SUM(C30:D30)</f>
        <v>41798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2947</v>
      </c>
      <c r="D32" s="54">
        <v>-450</v>
      </c>
      <c r="E32" s="58">
        <f t="shared" si="5"/>
        <v>2497</v>
      </c>
    </row>
    <row r="33" spans="1:10" x14ac:dyDescent="0.25">
      <c r="A33" s="10">
        <v>25</v>
      </c>
      <c r="B33" s="14" t="s">
        <v>268</v>
      </c>
      <c r="C33" s="52">
        <v>-6688</v>
      </c>
      <c r="D33" s="54"/>
      <c r="E33" s="59">
        <f t="shared" si="5"/>
        <v>-6688</v>
      </c>
    </row>
    <row r="34" spans="1:10" x14ac:dyDescent="0.25">
      <c r="A34" s="10">
        <v>26</v>
      </c>
      <c r="B34" s="88" t="s">
        <v>267</v>
      </c>
      <c r="C34" s="79">
        <f>SUM(C30:C33)</f>
        <v>64003</v>
      </c>
      <c r="D34" s="99">
        <f t="shared" ref="D34" si="6">SUM(D30:D33)</f>
        <v>-26396</v>
      </c>
      <c r="E34" s="79">
        <f>SUM(E30:E33)</f>
        <v>37607</v>
      </c>
    </row>
    <row r="35" spans="1:10" x14ac:dyDescent="0.25">
      <c r="A35" s="10">
        <v>27</v>
      </c>
      <c r="B35" s="14" t="s">
        <v>18</v>
      </c>
      <c r="C35" s="52">
        <v>3436</v>
      </c>
      <c r="D35" s="54"/>
      <c r="E35" s="32">
        <f>SUM(C35:D35)</f>
        <v>3436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118892</v>
      </c>
      <c r="D38" s="69">
        <f>-1*(D29-D34)</f>
        <v>-81439</v>
      </c>
      <c r="E38" s="32">
        <f t="shared" si="7"/>
        <v>37453</v>
      </c>
    </row>
    <row r="39" spans="1:10" x14ac:dyDescent="0.25">
      <c r="A39" s="10">
        <v>31</v>
      </c>
      <c r="B39" s="88" t="s">
        <v>21</v>
      </c>
      <c r="C39" s="79">
        <f>C29-C34+C35+C36+C37+C38</f>
        <v>141834</v>
      </c>
      <c r="D39" s="79">
        <f t="shared" ref="D39:E39" si="8">D29-D34+D35+D36+D37+D38</f>
        <v>0</v>
      </c>
      <c r="E39" s="79">
        <f t="shared" si="8"/>
        <v>141834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-199719</v>
      </c>
      <c r="D41" s="54"/>
      <c r="E41" s="58">
        <f t="shared" ref="E41:E46" si="9">SUM(C41:D41)</f>
        <v>-199719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>
        <v>250007</v>
      </c>
      <c r="D43" s="54"/>
      <c r="E43" s="58">
        <f t="shared" si="9"/>
        <v>250007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-307892</v>
      </c>
      <c r="D47" s="99">
        <f t="shared" ref="D47:E47" si="10">(D39+D41+D42)-(D43+D44+D45+D46)</f>
        <v>0</v>
      </c>
      <c r="E47" s="98">
        <f t="shared" si="10"/>
        <v>-307892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161085</v>
      </c>
      <c r="D52" s="101"/>
      <c r="E52" s="32">
        <f>C52</f>
        <v>161085</v>
      </c>
    </row>
    <row r="53" spans="1:7" x14ac:dyDescent="0.25">
      <c r="A53" s="10">
        <v>45</v>
      </c>
      <c r="B53" s="14" t="s">
        <v>35</v>
      </c>
      <c r="C53" s="102">
        <f>((C22+C28-C18-C19)/C15)</f>
        <v>0.80862976829638156</v>
      </c>
      <c r="D53" s="102" t="e">
        <f>((D22+D28-D18-D19)/D15)</f>
        <v>#DIV/0!</v>
      </c>
      <c r="E53" s="102">
        <f>((E22+E28-E18-E19)/E15)</f>
        <v>0.78782410224834909</v>
      </c>
    </row>
    <row r="54" spans="1:7" x14ac:dyDescent="0.25">
      <c r="A54" s="10">
        <v>46</v>
      </c>
      <c r="B54" s="14" t="s">
        <v>36</v>
      </c>
      <c r="C54" s="102">
        <f>((C22+C28+C34)/C15)</f>
        <v>0.99224646895546753</v>
      </c>
      <c r="D54" s="102" t="e">
        <f>((D22+D28+D34)/D15)</f>
        <v>#DIV/0!</v>
      </c>
      <c r="E54" s="102">
        <f>((E22+E28+E34)/E15)</f>
        <v>0.95987490047727186</v>
      </c>
    </row>
    <row r="55" spans="1:7" x14ac:dyDescent="0.25">
      <c r="A55" s="10">
        <v>47</v>
      </c>
      <c r="B55" s="14" t="s">
        <v>37</v>
      </c>
      <c r="C55" s="102">
        <f>((C39+C34)/C34)</f>
        <v>3.216052372545037</v>
      </c>
      <c r="D55" s="102">
        <f t="shared" ref="D55:E55" si="13">((D39+D34)/D34)</f>
        <v>1</v>
      </c>
      <c r="E55" s="102">
        <f t="shared" si="13"/>
        <v>4.7714787140691897</v>
      </c>
    </row>
    <row r="56" spans="1:7" x14ac:dyDescent="0.25">
      <c r="A56" s="10">
        <v>48</v>
      </c>
      <c r="B56" s="14" t="s">
        <v>38</v>
      </c>
      <c r="C56" s="102">
        <f>(C39+C34+C18+C19)/C52</f>
        <v>3.7481391811776392</v>
      </c>
      <c r="D56" s="102" t="e">
        <f>(D39+D34+D18+D19)/D52</f>
        <v>#DIV/0!</v>
      </c>
      <c r="E56" s="102">
        <f>(E39+E34+E18+E19)/E52</f>
        <v>3.5675078374771085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="70" zoomScaleNormal="70" workbookViewId="0">
      <selection activeCell="D17" sqref="D1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55">
        <v>422422</v>
      </c>
      <c r="D9" s="52"/>
      <c r="E9" s="32">
        <f>SUM(C9:D9)</f>
        <v>422422</v>
      </c>
    </row>
    <row r="10" spans="1:6" x14ac:dyDescent="0.25">
      <c r="A10" s="10">
        <v>2</v>
      </c>
      <c r="B10" s="17" t="s">
        <v>2</v>
      </c>
      <c r="C10" s="52">
        <v>3227453</v>
      </c>
      <c r="D10" s="52"/>
      <c r="E10" s="32">
        <f t="shared" ref="E10:E14" si="0">SUM(C10:D10)</f>
        <v>3227453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/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>
        <v>19940</v>
      </c>
      <c r="D13" s="52">
        <v>-9892</v>
      </c>
      <c r="E13" s="32">
        <f t="shared" si="0"/>
        <v>10048</v>
      </c>
    </row>
    <row r="14" spans="1:6" x14ac:dyDescent="0.25">
      <c r="A14" s="10">
        <v>6</v>
      </c>
      <c r="B14" s="17" t="s">
        <v>133</v>
      </c>
      <c r="C14" s="52">
        <v>-79196</v>
      </c>
      <c r="D14" s="52"/>
      <c r="E14" s="32">
        <f t="shared" si="0"/>
        <v>-79196</v>
      </c>
    </row>
    <row r="15" spans="1:6" x14ac:dyDescent="0.25">
      <c r="A15" s="10">
        <v>7</v>
      </c>
      <c r="B15" s="83" t="s">
        <v>132</v>
      </c>
      <c r="C15" s="40">
        <f>SUM(C9:C14)</f>
        <v>3590619</v>
      </c>
      <c r="D15" s="40">
        <f t="shared" ref="D15:E15" si="1">SUM(D9:D14)</f>
        <v>-9892</v>
      </c>
      <c r="E15" s="40">
        <f t="shared" si="1"/>
        <v>3580727</v>
      </c>
      <c r="F15" s="1"/>
    </row>
    <row r="16" spans="1:6" x14ac:dyDescent="0.25">
      <c r="A16" s="10">
        <v>8</v>
      </c>
      <c r="B16" s="17" t="s">
        <v>6</v>
      </c>
      <c r="C16" s="52">
        <v>638843</v>
      </c>
      <c r="D16" s="52">
        <v>-8035</v>
      </c>
      <c r="E16" s="41">
        <f>SUM(C16:D16)</f>
        <v>630808</v>
      </c>
    </row>
    <row r="17" spans="1:6" x14ac:dyDescent="0.25">
      <c r="A17" s="10">
        <v>9</v>
      </c>
      <c r="B17" s="17" t="s">
        <v>39</v>
      </c>
      <c r="C17" s="52">
        <v>362420</v>
      </c>
      <c r="D17" s="52">
        <v>-45946</v>
      </c>
      <c r="E17" s="41">
        <f t="shared" ref="E17:E21" si="2">SUM(C17:D17)</f>
        <v>316474</v>
      </c>
    </row>
    <row r="18" spans="1:6" x14ac:dyDescent="0.25">
      <c r="A18" s="10">
        <v>10</v>
      </c>
      <c r="B18" s="17" t="s">
        <v>7</v>
      </c>
      <c r="C18" s="52">
        <v>474380</v>
      </c>
      <c r="D18" s="52">
        <v>-1856</v>
      </c>
      <c r="E18" s="41">
        <f t="shared" si="2"/>
        <v>472524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164821</v>
      </c>
      <c r="D20" s="52">
        <v>-3362</v>
      </c>
      <c r="E20" s="41">
        <f t="shared" si="2"/>
        <v>161459</v>
      </c>
    </row>
    <row r="21" spans="1:6" x14ac:dyDescent="0.25">
      <c r="A21" s="10">
        <v>13</v>
      </c>
      <c r="B21" s="17" t="s">
        <v>10</v>
      </c>
      <c r="C21" s="52">
        <v>824192</v>
      </c>
      <c r="D21" s="52">
        <v>-8323</v>
      </c>
      <c r="E21" s="41">
        <f t="shared" si="2"/>
        <v>815869</v>
      </c>
    </row>
    <row r="22" spans="1:6" x14ac:dyDescent="0.25">
      <c r="A22" s="10">
        <v>14</v>
      </c>
      <c r="B22" s="83" t="s">
        <v>237</v>
      </c>
      <c r="C22" s="40">
        <f>C16+C17+C18+C19+C20+C21</f>
        <v>2464656</v>
      </c>
      <c r="D22" s="40">
        <f>D16+D17+D18+D19+D20+D21</f>
        <v>-67522</v>
      </c>
      <c r="E22" s="42">
        <f>E16+E17+E18+E19+E20+E21</f>
        <v>2397134</v>
      </c>
      <c r="F22" s="1"/>
    </row>
    <row r="23" spans="1:6" x14ac:dyDescent="0.25">
      <c r="A23" s="10">
        <v>15</v>
      </c>
      <c r="B23" s="17" t="s">
        <v>14</v>
      </c>
      <c r="C23" s="32">
        <f>C15-C22</f>
        <v>1125963</v>
      </c>
      <c r="D23" s="32">
        <f>D15-D22</f>
        <v>57630</v>
      </c>
      <c r="E23" s="32">
        <f>E15-E22</f>
        <v>1183593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2"/>
      <c r="E25" s="32">
        <f t="shared" ref="E25:E27" si="3">SUM(C25:D25)</f>
        <v>0</v>
      </c>
    </row>
    <row r="26" spans="1:6" x14ac:dyDescent="0.25">
      <c r="A26" s="10">
        <v>18</v>
      </c>
      <c r="B26" s="17" t="s">
        <v>191</v>
      </c>
      <c r="C26" s="52">
        <v>377425</v>
      </c>
      <c r="D26" s="54">
        <v>-23029</v>
      </c>
      <c r="E26" s="32">
        <f t="shared" si="3"/>
        <v>354396</v>
      </c>
    </row>
    <row r="27" spans="1:6" x14ac:dyDescent="0.25">
      <c r="A27" s="10">
        <v>19</v>
      </c>
      <c r="B27" s="17" t="s">
        <v>13</v>
      </c>
      <c r="C27" s="52">
        <v>93308</v>
      </c>
      <c r="D27" s="112">
        <v>-149</v>
      </c>
      <c r="E27" s="32">
        <f t="shared" si="3"/>
        <v>93159</v>
      </c>
    </row>
    <row r="28" spans="1:6" x14ac:dyDescent="0.25">
      <c r="A28" s="10">
        <v>20</v>
      </c>
      <c r="B28" s="83" t="s">
        <v>12</v>
      </c>
      <c r="C28" s="37">
        <f>SUM(C25:C27)</f>
        <v>470733</v>
      </c>
      <c r="D28" s="37">
        <f t="shared" ref="D28:E28" si="4">SUM(D25:D27)</f>
        <v>-23178</v>
      </c>
      <c r="E28" s="43">
        <f t="shared" si="4"/>
        <v>447555</v>
      </c>
    </row>
    <row r="29" spans="1:6" x14ac:dyDescent="0.25">
      <c r="A29" s="10">
        <v>21</v>
      </c>
      <c r="B29" s="83" t="s">
        <v>22</v>
      </c>
      <c r="C29" s="37">
        <f>C23+C24-C28</f>
        <v>655230</v>
      </c>
      <c r="D29" s="37">
        <f>D23+D24-D28</f>
        <v>80808</v>
      </c>
      <c r="E29" s="43">
        <f>E23+E24-E28</f>
        <v>736038</v>
      </c>
    </row>
    <row r="30" spans="1:6" x14ac:dyDescent="0.25">
      <c r="A30" s="10">
        <v>22</v>
      </c>
      <c r="B30" s="17" t="s">
        <v>15</v>
      </c>
      <c r="C30" s="52">
        <v>68907</v>
      </c>
      <c r="D30" s="54">
        <v>-24743</v>
      </c>
      <c r="E30" s="32">
        <f>SUM(C30:D30)</f>
        <v>44164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1762</v>
      </c>
      <c r="D32" s="54">
        <v>-1762</v>
      </c>
      <c r="E32" s="32">
        <f t="shared" si="5"/>
        <v>0</v>
      </c>
    </row>
    <row r="33" spans="1:5" x14ac:dyDescent="0.25">
      <c r="A33" s="10">
        <v>25</v>
      </c>
      <c r="B33" s="17" t="s">
        <v>268</v>
      </c>
      <c r="C33" s="52">
        <v>-4923</v>
      </c>
      <c r="D33" s="54"/>
      <c r="E33" s="33">
        <f t="shared" si="5"/>
        <v>-4923</v>
      </c>
    </row>
    <row r="34" spans="1:5" x14ac:dyDescent="0.25">
      <c r="A34" s="10">
        <v>26</v>
      </c>
      <c r="B34" s="83" t="s">
        <v>267</v>
      </c>
      <c r="C34" s="37">
        <f>SUM(C30:C33)</f>
        <v>65746</v>
      </c>
      <c r="D34" s="64">
        <f t="shared" ref="D34" si="6">SUM(D30:D33)</f>
        <v>-26505</v>
      </c>
      <c r="E34" s="37">
        <f>SUM(E30:E33)</f>
        <v>39241</v>
      </c>
    </row>
    <row r="35" spans="1:5" x14ac:dyDescent="0.25">
      <c r="A35" s="10">
        <v>27</v>
      </c>
      <c r="B35" s="17" t="s">
        <v>18</v>
      </c>
      <c r="C35" s="52">
        <v>13834</v>
      </c>
      <c r="D35" s="54"/>
      <c r="E35" s="32">
        <f>SUM(C35:D35)</f>
        <v>13834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148208</v>
      </c>
      <c r="D38" s="69">
        <f>-1*(D29-D34)</f>
        <v>-107313</v>
      </c>
      <c r="E38" s="32">
        <f t="shared" si="7"/>
        <v>40895</v>
      </c>
    </row>
    <row r="39" spans="1:5" x14ac:dyDescent="0.25">
      <c r="A39" s="10">
        <v>31</v>
      </c>
      <c r="B39" s="83" t="s">
        <v>21</v>
      </c>
      <c r="C39" s="37">
        <f>C29-C34+C35+C36+C37+C38</f>
        <v>751526</v>
      </c>
      <c r="D39" s="37">
        <f t="shared" ref="D39:E39" si="8">D29-D34+D35+D36+D37+D38</f>
        <v>0</v>
      </c>
      <c r="E39" s="37">
        <f t="shared" si="8"/>
        <v>751526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-307892</v>
      </c>
      <c r="D41" s="54"/>
      <c r="E41" s="32">
        <f t="shared" ref="E41:E46" si="9">SUM(C41:D41)</f>
        <v>-307892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443634</v>
      </c>
      <c r="D47" s="64">
        <f t="shared" ref="D47:E47" si="10">(D39+D41+D42)-(D43+D44+D45+D46)</f>
        <v>0</v>
      </c>
      <c r="E47" s="43">
        <f t="shared" si="10"/>
        <v>443634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250288</v>
      </c>
      <c r="D52" s="95"/>
      <c r="E52" s="32">
        <f>C52</f>
        <v>250288</v>
      </c>
    </row>
    <row r="53" spans="1:7" x14ac:dyDescent="0.25">
      <c r="A53" s="10">
        <v>45</v>
      </c>
      <c r="B53" s="17" t="s">
        <v>35</v>
      </c>
      <c r="C53" s="46">
        <f>((C22+C28-C18-C19)/C15)</f>
        <v>0.68539964836146638</v>
      </c>
      <c r="D53" s="46">
        <f>((D22+D28-D18-D19)/D15)</f>
        <v>8.9813991103922355</v>
      </c>
      <c r="E53" s="46">
        <f>((E22+E28-E18-E19)/E15)</f>
        <v>0.6624813899523756</v>
      </c>
    </row>
    <row r="54" spans="1:7" x14ac:dyDescent="0.25">
      <c r="A54" s="10">
        <v>46</v>
      </c>
      <c r="B54" s="17" t="s">
        <v>36</v>
      </c>
      <c r="C54" s="46">
        <f>((C22+C28+C34)/C15)</f>
        <v>0.83582663602014029</v>
      </c>
      <c r="D54" s="46">
        <f>((D22+D28+D34)/D15)</f>
        <v>11.848463404771532</v>
      </c>
      <c r="E54" s="46">
        <f>((E22+E28+E34)/E15)</f>
        <v>0.80540348370596249</v>
      </c>
    </row>
    <row r="55" spans="1:7" x14ac:dyDescent="0.25">
      <c r="A55" s="10">
        <v>47</v>
      </c>
      <c r="B55" s="17" t="s">
        <v>37</v>
      </c>
      <c r="C55" s="46">
        <f>((C39+C34)/C34)</f>
        <v>12.430748638700454</v>
      </c>
      <c r="D55" s="46">
        <f t="shared" ref="D55:E55" si="13">((D39+D34)/D34)</f>
        <v>1</v>
      </c>
      <c r="E55" s="46">
        <f t="shared" si="13"/>
        <v>20.151550674039907</v>
      </c>
    </row>
    <row r="56" spans="1:7" x14ac:dyDescent="0.25">
      <c r="A56" s="10">
        <v>48</v>
      </c>
      <c r="B56" s="17" t="s">
        <v>38</v>
      </c>
      <c r="C56" s="46">
        <f>(C39+C34+C18+C19)/C52</f>
        <v>5.1606629163203985</v>
      </c>
      <c r="D56" s="46" t="e">
        <f>(D39+D34+D18+D19)/D52</f>
        <v>#DIV/0!</v>
      </c>
      <c r="E56" s="46">
        <f>(E39+E34+E18+E19)/E52</f>
        <v>5.047349453429649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22" zoomScaleNormal="100" workbookViewId="0">
      <selection activeCell="C60" sqref="C60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Pend Oreille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2016</v>
      </c>
      <c r="D8" s="5">
        <v>2017</v>
      </c>
    </row>
    <row r="9" spans="1:5" x14ac:dyDescent="0.25">
      <c r="A9" s="9">
        <v>1</v>
      </c>
      <c r="B9" s="6" t="s">
        <v>1</v>
      </c>
      <c r="C9" s="36">
        <f>PriorYearIncomeStmt!E9</f>
        <v>419794</v>
      </c>
      <c r="D9" s="41">
        <f>'CurrentYearIncomeStmt '!E9</f>
        <v>422422</v>
      </c>
    </row>
    <row r="10" spans="1:5" x14ac:dyDescent="0.25">
      <c r="A10" s="10">
        <v>2</v>
      </c>
      <c r="B10" s="17" t="s">
        <v>2</v>
      </c>
      <c r="C10" s="32">
        <f>PriorYearIncomeStmt!E10</f>
        <v>2099061</v>
      </c>
      <c r="D10" s="41">
        <f>'CurrentYearIncomeStmt '!E10</f>
        <v>3227453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30682</v>
      </c>
      <c r="D13" s="41">
        <f>'CurrentYearIncomeStmt '!E13</f>
        <v>10048</v>
      </c>
    </row>
    <row r="14" spans="1:5" x14ac:dyDescent="0.25">
      <c r="A14" s="10">
        <v>6</v>
      </c>
      <c r="B14" s="17" t="s">
        <v>133</v>
      </c>
      <c r="C14" s="32">
        <f>PriorYearIncomeStmt!E14</f>
        <v>-33780</v>
      </c>
      <c r="D14" s="41">
        <f>'CurrentYearIncomeStmt '!E14</f>
        <v>-79196</v>
      </c>
    </row>
    <row r="15" spans="1:5" x14ac:dyDescent="0.25">
      <c r="A15" s="10">
        <v>7</v>
      </c>
      <c r="B15" s="83" t="s">
        <v>132</v>
      </c>
      <c r="C15" s="40">
        <f>SUM(C9:C14)</f>
        <v>2515757</v>
      </c>
      <c r="D15" s="42">
        <f t="shared" ref="D15" si="0">SUM(D9:D14)</f>
        <v>3580727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662116</v>
      </c>
      <c r="D16" s="41">
        <f>'CurrentYearIncomeStmt '!E16</f>
        <v>630808</v>
      </c>
    </row>
    <row r="17" spans="1:5" x14ac:dyDescent="0.25">
      <c r="A17" s="10">
        <v>9</v>
      </c>
      <c r="B17" s="17" t="s">
        <v>39</v>
      </c>
      <c r="C17" s="32">
        <f>PriorYearIncomeStmt!E17</f>
        <v>234575</v>
      </c>
      <c r="D17" s="41">
        <f>'CurrentYearIncomeStmt '!E17</f>
        <v>316474</v>
      </c>
    </row>
    <row r="18" spans="1:5" x14ac:dyDescent="0.25">
      <c r="A18" s="10">
        <v>10</v>
      </c>
      <c r="B18" s="17" t="s">
        <v>7</v>
      </c>
      <c r="C18" s="32">
        <f>PriorYearIncomeStmt!E18</f>
        <v>395231</v>
      </c>
      <c r="D18" s="41">
        <f>'CurrentYearIncomeStmt '!E18</f>
        <v>472524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169660</v>
      </c>
      <c r="D20" s="41">
        <f>'CurrentYearIncomeStmt '!E20</f>
        <v>161459</v>
      </c>
    </row>
    <row r="21" spans="1:5" x14ac:dyDescent="0.25">
      <c r="A21" s="10">
        <v>13</v>
      </c>
      <c r="B21" s="17" t="s">
        <v>10</v>
      </c>
      <c r="C21" s="32">
        <f>PriorYearIncomeStmt!E21</f>
        <v>822012</v>
      </c>
      <c r="D21" s="41">
        <f>'CurrentYearIncomeStmt '!E21</f>
        <v>815869</v>
      </c>
    </row>
    <row r="22" spans="1:5" x14ac:dyDescent="0.25">
      <c r="A22" s="10">
        <v>14</v>
      </c>
      <c r="B22" s="83" t="s">
        <v>237</v>
      </c>
      <c r="C22" s="40">
        <f>C16+C17+C18+C19+C20+C21</f>
        <v>2283594</v>
      </c>
      <c r="D22" s="42">
        <f>D16+D17+D18+D19+D20+D21</f>
        <v>2397134</v>
      </c>
      <c r="E22" s="1"/>
    </row>
    <row r="23" spans="1:5" x14ac:dyDescent="0.25">
      <c r="A23" s="10">
        <v>15</v>
      </c>
      <c r="B23" s="17" t="s">
        <v>14</v>
      </c>
      <c r="C23" s="32">
        <f>C15-C22</f>
        <v>232163</v>
      </c>
      <c r="D23" s="41">
        <f>D15-D22</f>
        <v>1183593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181</v>
      </c>
      <c r="C26" s="32">
        <f>PriorYearIncomeStmt!E26</f>
        <v>37182</v>
      </c>
      <c r="D26" s="41">
        <f>'CurrentYearIncomeStmt '!E26</f>
        <v>354396</v>
      </c>
    </row>
    <row r="27" spans="1:5" x14ac:dyDescent="0.25">
      <c r="A27" s="10">
        <v>19</v>
      </c>
      <c r="B27" s="17" t="s">
        <v>13</v>
      </c>
      <c r="C27" s="32">
        <f>PriorYearIncomeStmt!E27</f>
        <v>56429</v>
      </c>
      <c r="D27" s="41">
        <f>'CurrentYearIncomeStmt '!E27</f>
        <v>93159</v>
      </c>
    </row>
    <row r="28" spans="1:5" x14ac:dyDescent="0.25">
      <c r="A28" s="10">
        <v>20</v>
      </c>
      <c r="B28" s="83" t="s">
        <v>12</v>
      </c>
      <c r="C28" s="37">
        <f>SUM(C25:C27)</f>
        <v>93611</v>
      </c>
      <c r="D28" s="43">
        <f t="shared" ref="D28" si="1">SUM(D25:D27)</f>
        <v>447555</v>
      </c>
    </row>
    <row r="29" spans="1:5" x14ac:dyDescent="0.25">
      <c r="A29" s="10">
        <v>21</v>
      </c>
      <c r="B29" s="83" t="s">
        <v>22</v>
      </c>
      <c r="C29" s="37">
        <f>C23+C24-C28</f>
        <v>138552</v>
      </c>
      <c r="D29" s="43">
        <f>D23+D24-D28</f>
        <v>736038</v>
      </c>
    </row>
    <row r="30" spans="1:5" x14ac:dyDescent="0.25">
      <c r="A30" s="10">
        <v>22</v>
      </c>
      <c r="B30" s="17" t="s">
        <v>15</v>
      </c>
      <c r="C30" s="32">
        <f>PriorYearIncomeStmt!E30</f>
        <v>41798</v>
      </c>
      <c r="D30" s="41">
        <f>'CurrentYearIncomeStmt '!E30</f>
        <v>44164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2497</v>
      </c>
      <c r="D32" s="41">
        <f>'CurrentYearIncomeStmt '!E32</f>
        <v>0</v>
      </c>
    </row>
    <row r="33" spans="1:4" x14ac:dyDescent="0.25">
      <c r="A33" s="10">
        <v>25</v>
      </c>
      <c r="B33" s="17" t="s">
        <v>269</v>
      </c>
      <c r="C33" s="32">
        <f>PriorYearIncomeStmt!E33</f>
        <v>-6688</v>
      </c>
      <c r="D33" s="41">
        <f>'CurrentYearIncomeStmt '!E33</f>
        <v>-4923</v>
      </c>
    </row>
    <row r="34" spans="1:4" x14ac:dyDescent="0.25">
      <c r="A34" s="10">
        <v>26</v>
      </c>
      <c r="B34" s="83" t="s">
        <v>267</v>
      </c>
      <c r="C34" s="37">
        <f>SUM(C30:C33)</f>
        <v>37607</v>
      </c>
      <c r="D34" s="43">
        <f t="shared" ref="D34" si="2">SUM(D30:D33)</f>
        <v>39241</v>
      </c>
    </row>
    <row r="35" spans="1:4" x14ac:dyDescent="0.25">
      <c r="A35" s="10">
        <v>27</v>
      </c>
      <c r="B35" s="17" t="s">
        <v>18</v>
      </c>
      <c r="C35" s="32">
        <f>PriorYearIncomeStmt!E35</f>
        <v>3436</v>
      </c>
      <c r="D35" s="41">
        <f>'CurrentYearIncomeStmt '!E35</f>
        <v>13834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37453</v>
      </c>
      <c r="D38" s="41">
        <f>'CurrentYearIncomeStmt '!E38</f>
        <v>40895</v>
      </c>
    </row>
    <row r="39" spans="1:4" x14ac:dyDescent="0.25">
      <c r="A39" s="10">
        <v>31</v>
      </c>
      <c r="B39" s="83" t="s">
        <v>21</v>
      </c>
      <c r="C39" s="37">
        <f>C29-C34+C35+C36+C37+C38</f>
        <v>141834</v>
      </c>
      <c r="D39" s="43">
        <f t="shared" ref="D39" si="3">D29-D34+D35+D36+D37+D38</f>
        <v>751526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-199719</v>
      </c>
      <c r="D41" s="41">
        <f>'CurrentYearIncomeStmt '!E41</f>
        <v>-307892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250007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-307892</v>
      </c>
      <c r="D47" s="43">
        <f t="shared" ref="D47" si="4">(D39+D41+D42)-(D43+D44+D45+D46)</f>
        <v>443634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161085</v>
      </c>
      <c r="D52" s="41">
        <f>'CurrentYearIncomeStmt '!E52</f>
        <v>250288</v>
      </c>
    </row>
    <row r="53" spans="1:8" x14ac:dyDescent="0.25">
      <c r="A53" s="10">
        <v>45</v>
      </c>
      <c r="B53" s="17" t="s">
        <v>35</v>
      </c>
      <c r="C53" s="49">
        <f>((C22+C28-C18-C19)/C15)</f>
        <v>0.78782410224834909</v>
      </c>
      <c r="D53" s="49">
        <f>((D22+D28-D18-D19)/D15)</f>
        <v>0.6624813899523756</v>
      </c>
    </row>
    <row r="54" spans="1:8" x14ac:dyDescent="0.25">
      <c r="A54" s="10">
        <v>46</v>
      </c>
      <c r="B54" s="17" t="s">
        <v>36</v>
      </c>
      <c r="C54" s="49">
        <f>((C22+C28+C34)/C15)</f>
        <v>0.95987490047727186</v>
      </c>
      <c r="D54" s="49">
        <f>((D22+D28+D34)/D15)</f>
        <v>0.80540348370596249</v>
      </c>
    </row>
    <row r="55" spans="1:8" x14ac:dyDescent="0.25">
      <c r="A55" s="10">
        <v>47</v>
      </c>
      <c r="B55" s="17" t="s">
        <v>37</v>
      </c>
      <c r="C55" s="49">
        <f>((C39+C34)/C34)</f>
        <v>4.7714787140691897</v>
      </c>
      <c r="D55" s="49">
        <f t="shared" ref="D55" si="6">((D39+D34)/D34)</f>
        <v>20.151550674039907</v>
      </c>
    </row>
    <row r="56" spans="1:8" x14ac:dyDescent="0.25">
      <c r="A56" s="10">
        <v>48</v>
      </c>
      <c r="B56" s="17" t="s">
        <v>38</v>
      </c>
      <c r="C56" s="45">
        <f>(C39+C34+C18+C19)/C52</f>
        <v>3.5675078374771085</v>
      </c>
      <c r="D56" s="49">
        <f>(D39+D34+D18+D19)/D52</f>
        <v>5.047349453429649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D8491B3B0CBA48A0DE9653B765E187" ma:contentTypeVersion="68" ma:contentTypeDescription="" ma:contentTypeScope="" ma:versionID="03261da861445087818497effa543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2018-08-01T07:00:00+00:00</OpenedDate>
    <SignificantOrder xmlns="dc463f71-b30c-4ab2-9473-d307f9d35888">false</SignificantOrder>
    <Date1 xmlns="dc463f71-b30c-4ab2-9473-d307f9d35888">2018-09-19T07:00:00+00:00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180657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B8D2E5-3822-4445-873D-80780A19CFC6}"/>
</file>

<file path=customXml/itemProps2.xml><?xml version="1.0" encoding="utf-8"?>
<ds:datastoreItem xmlns:ds="http://schemas.openxmlformats.org/officeDocument/2006/customXml" ds:itemID="{8B200AF8-0F10-4EA7-9148-123C3B10E564}"/>
</file>

<file path=customXml/itemProps3.xml><?xml version="1.0" encoding="utf-8"?>
<ds:datastoreItem xmlns:ds="http://schemas.openxmlformats.org/officeDocument/2006/customXml" ds:itemID="{E83F6677-43AE-4A70-B55A-67C56587D0CA}"/>
</file>

<file path=customXml/itemProps4.xml><?xml version="1.0" encoding="utf-8"?>
<ds:datastoreItem xmlns:ds="http://schemas.openxmlformats.org/officeDocument/2006/customXml" ds:itemID="{73E0E16F-2BFB-446F-B45C-FD76C6ED0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Chad Holzer</cp:lastModifiedBy>
  <cp:lastPrinted>2017-11-21T19:20:02Z</cp:lastPrinted>
  <dcterms:created xsi:type="dcterms:W3CDTF">2014-05-21T17:51:51Z</dcterms:created>
  <dcterms:modified xsi:type="dcterms:W3CDTF">2018-09-18T20:28:52Z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WA PUC Annual Report</vt:lpwstr>
  </property>
  <property fmtid="{D5CDD505-2E9C-101B-9397-08002B2CF9AE}" pid="4" name="tabIndex">
    <vt:lpwstr>12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0x0101006E56B4D1795A2E4DB2F0B01679ED314A00B5D8491B3B0CBA48A0DE9653B765E187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