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70" windowWidth="18615" windowHeight="756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s>
  <externalReferences>
    <externalReference r:id="rId9"/>
    <externalReference r:id="rId10"/>
    <externalReference r:id="rId11"/>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Lynnwood_SF'!$A$1:$P$75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40"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<sst xmlns="http://schemas.openxmlformats.org/spreadsheetml/2006/main" count="239" uniqueCount="103">
  <si>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</si>
  <si>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</si>
  <si>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</si>
  <si>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</si>
  <si>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</si>
  <si>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</si>
  <si>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</si>
  <si>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</si>
  <si>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</si>
  <si>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</si>
  <si>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</si>
  <si>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</si>
  <si>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</si>
  <si>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</si>
  <si>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</si>
  <si>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</si>
  <si>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</si>
  <si>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</si>
  <si>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</si>
  <si>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</si>
  <si>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</si>
  <si>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</si>
  <si>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</si>
  <si>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</si>
  <si>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</si>
  <si>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</si>
  <si>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</si>
  <si>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</si>
  <si>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</si>
  <si>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</si>
  <si>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</si>
  <si>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</si>
  <si>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</si>
  <si>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</si>
  <si>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</si>
  <si>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</si>
  <si>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</si>
  <si>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</si>
  <si>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</si>
  <si>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</si>
  <si>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</si>
  <si>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</si>
  <si>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</si>
  <si>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</si>
  <si>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</si>
  <si>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</si>
  <si>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</si>
  <si>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</si>
  <si>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</si>
  <si>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</si>
  <si>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</si>
  <si>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</si>
  <si>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</si>
  <si>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</si>
  <si>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</si>
  <si>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</si>
  <si>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</si>
  <si>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</si>
  <si>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</si>
  <si>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</si>
  <si>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</si>
  <si>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</si>
  <si>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</si>
  <si>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</si>
  <si>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</si>
  <si>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</si>
  <si>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</si>
  <si>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</si>
  <si>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</si>
  <si>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</si>
  <si>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</si>
  <si>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</si>
  <si>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</si>
  <si>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</si>
  <si>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</si>
  <si>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</si>
  <si>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</si>
  <si>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</si>
  <si>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</si>
  <si>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</si>
  <si>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70% of per Ton Value</t>
  </si>
  <si>
    <t>Rabanco Ltd (dba Allied Waste of Lynnwood)</t>
  </si>
  <si>
    <t>Total Additional Passback</t>
  </si>
  <si>
    <t>Single-Family Revenue</t>
  </si>
  <si>
    <t>Multi-Family Revenue</t>
  </si>
  <si>
    <t>Single-Family Additional Passback</t>
  </si>
  <si>
    <t>Single-Family Additional Credit</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</si>
  <si>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</si>
  <si>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</si>
  <si>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</si>
  <si>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</si>
  <si>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</si>
  <si>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</si>
  <si>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</si>
  <si>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</si>
  <si>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Prior Plan B Total</t>
  </si>
  <si>
    <t>Plan A Total</t>
  </si>
  <si>
    <t>% Passed Back</t>
  </si>
  <si>
    <t>Lynnwood SF</t>
  </si>
  <si>
    <t>Avg of last 6 months plan year</t>
  </si>
  <si>
    <t>November 2017 - April 2018</t>
  </si>
  <si>
    <t>2017/2018 Monthly True-up Charge</t>
  </si>
  <si>
    <t>Total Passback at end of plan year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</si>
</sst>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s>
  <fonts count="61">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pplyAlignment="1">
      <alignment horizontal="center"/>
      <protection/>
    </xf>
    <xf numFmtId="167" fontId="7" fillId="0" borderId="0" xfId="59" applyNumberFormat="1" applyFont="1" applyBorder="1" applyAlignment="1">
      <alignment horizontal="center"/>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2"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0" fontId="7" fillId="0" borderId="0" xfId="59" applyFont="1" applyBorder="1">
      <alignment/>
      <protection/>
    </xf>
    <xf numFmtId="168" fontId="9" fillId="0" borderId="17" xfId="59" applyNumberFormat="1" applyFont="1" applyBorder="1">
      <alignment/>
      <protection/>
    </xf>
    <xf numFmtId="165" fontId="7" fillId="0" borderId="0" xfId="62" applyNumberFormat="1" applyFont="1" applyAlignment="1">
      <alignment/>
    </xf>
    <xf numFmtId="172" fontId="7" fillId="32" borderId="7" xfId="60"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59" applyNumberFormat="1" applyFont="1" applyFill="1" applyBorder="1">
      <alignment/>
      <protection/>
    </xf>
    <xf numFmtId="167" fontId="7" fillId="35" borderId="11" xfId="59"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7" fontId="7" fillId="36" borderId="0" xfId="59" applyNumberFormat="1" applyFont="1" applyFill="1">
      <alignment/>
      <protection/>
    </xf>
    <xf numFmtId="165" fontId="7" fillId="36" borderId="19" xfId="62" applyNumberFormat="1" applyFont="1" applyFill="1" applyBorder="1" applyAlignment="1">
      <alignment/>
    </xf>
    <xf numFmtId="165" fontId="58" fillId="37" borderId="20" xfId="62" applyNumberFormat="1" applyFont="1" applyFill="1" applyBorder="1" applyAlignment="1">
      <alignment horizontal="center"/>
    </xf>
    <xf numFmtId="41" fontId="7" fillId="35" borderId="0" xfId="59" applyNumberFormat="1" applyFont="1" applyFill="1" applyBorder="1">
      <alignment/>
      <protection/>
    </xf>
    <xf numFmtId="167" fontId="59" fillId="37" borderId="20" xfId="59" applyNumberFormat="1" applyFont="1" applyFill="1" applyBorder="1" applyAlignment="1">
      <alignment horizontal="center"/>
      <protection/>
    </xf>
    <xf numFmtId="41" fontId="60" fillId="37" borderId="20" xfId="59" applyNumberFormat="1" applyFont="1" applyFill="1" applyBorder="1" applyAlignment="1">
      <alignment horizontal="center"/>
      <protection/>
    </xf>
    <xf numFmtId="41" fontId="60" fillId="37" borderId="20" xfId="59" applyNumberFormat="1" applyFont="1" applyFill="1" applyBorder="1">
      <alignment/>
      <protection/>
    </xf>
    <xf numFmtId="168" fontId="7" fillId="36" borderId="15" xfId="59" applyNumberFormat="1" applyFont="1" applyFill="1" applyBorder="1">
      <alignment/>
      <protection/>
    </xf>
    <xf numFmtId="172" fontId="60" fillId="37" borderId="20" xfId="44" applyNumberFormat="1" applyFont="1" applyFill="1" applyBorder="1" applyAlignment="1">
      <alignment/>
    </xf>
    <xf numFmtId="172" fontId="60" fillId="37" borderId="20" xfId="6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istrict\Accounting\WUTC%20Files\RSA\2015-2017%20Plan%20Year\2014-2015%20Additional%20passback%20to%20customer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9"/>
  <sheetViews>
    <sheetView showGridLines="0" tabSelected="1" zoomScalePageLayoutView="0" workbookViewId="0" topLeftCell="A1">
      <pane ySplit="4" topLeftCell="A29" activePane="bottomLeft" state="frozen"/>
      <selection pane="topLeft" activeCell="G56" sqref="G56"/>
      <selection pane="bottomLeft" activeCell="F37" sqref="F37"/>
    </sheetView>
  </sheetViews>
  <sheetFormatPr defaultColWidth="9.140625" defaultRowHeight="12.75"/>
  <cols>
    <col min="1" max="1" width="24.5742187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3" width="9.57421875" style="5" customWidth="1"/>
    <col min="14"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81</v>
      </c>
      <c r="B1" s="2"/>
      <c r="C1" s="2"/>
      <c r="D1" s="2"/>
      <c r="E1" s="2"/>
      <c r="F1" s="2"/>
      <c r="G1" s="3"/>
      <c r="H1" s="2"/>
      <c r="I1" s="2"/>
      <c r="J1" s="1" t="s">
        <v>87</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20"/>
      <c r="M5" s="120"/>
      <c r="N5" s="145"/>
      <c r="O5" s="140" t="str">
        <f>"Total "&amp;F5</f>
        <v>Total Commodity</v>
      </c>
      <c r="P5" s="145"/>
      <c r="Q5" s="145"/>
      <c r="R5" s="145"/>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41" t="str">
        <f>+F6</f>
        <v>Revenue</v>
      </c>
      <c r="P6" s="111"/>
      <c r="Q6" s="111"/>
      <c r="R6" s="111"/>
    </row>
    <row r="7" spans="1:18" s="16" customFormat="1" ht="11.25">
      <c r="A7" s="15" t="s">
        <v>5</v>
      </c>
      <c r="B7" s="167" t="s">
        <v>6</v>
      </c>
      <c r="C7" s="12"/>
      <c r="D7" s="12" t="s">
        <v>3</v>
      </c>
      <c r="E7" s="12"/>
      <c r="F7" s="12" t="s">
        <v>7</v>
      </c>
      <c r="G7" s="12"/>
      <c r="H7" s="12"/>
      <c r="I7" s="12"/>
      <c r="J7" s="12" t="s">
        <v>6</v>
      </c>
      <c r="K7" s="12"/>
      <c r="L7" s="111"/>
      <c r="M7" s="111"/>
      <c r="N7" s="111"/>
      <c r="O7" s="141" t="str">
        <f>+F7</f>
        <v>per Customer</v>
      </c>
      <c r="P7" s="111"/>
      <c r="Q7" s="111"/>
      <c r="R7" s="111"/>
    </row>
    <row r="8" spans="1:18" s="16" customFormat="1" ht="11.25">
      <c r="A8" s="127">
        <f>'Single Family'!$C$6</f>
        <v>42856</v>
      </c>
      <c r="B8" s="168">
        <v>17979</v>
      </c>
      <c r="C8" s="112"/>
      <c r="D8" s="113">
        <f>Value!O6</f>
        <v>16008.634570239996</v>
      </c>
      <c r="E8" s="112"/>
      <c r="F8" s="16">
        <f>ROUND(D8/B8,2)</f>
        <v>0.89</v>
      </c>
      <c r="G8" s="112"/>
      <c r="H8" s="112"/>
      <c r="I8" s="112"/>
      <c r="J8" s="14">
        <f>+B8</f>
        <v>17979</v>
      </c>
      <c r="K8" s="13">
        <f>YEAR(A8)</f>
        <v>2017</v>
      </c>
      <c r="L8" s="111"/>
      <c r="M8" s="111"/>
      <c r="N8" s="111"/>
      <c r="O8" s="142">
        <f>VLOOKUP(A8,Value!$A$6:$O$17,13,FALSE)</f>
        <v>32017.26914047999</v>
      </c>
      <c r="P8" s="111"/>
      <c r="Q8" s="111"/>
      <c r="R8" s="111"/>
    </row>
    <row r="9" spans="1:18" s="16" customFormat="1" ht="11.25">
      <c r="A9" s="17">
        <f>EOMONTH(A8,1)</f>
        <v>42916</v>
      </c>
      <c r="B9" s="169">
        <v>18024</v>
      </c>
      <c r="C9" s="20"/>
      <c r="D9" s="113">
        <f>Value!O7</f>
        <v>19761.043748564996</v>
      </c>
      <c r="E9" s="14"/>
      <c r="F9" s="16">
        <f>ROUND(D9/B9,2)</f>
        <v>1.1</v>
      </c>
      <c r="G9" s="14"/>
      <c r="H9" s="14"/>
      <c r="I9" s="14"/>
      <c r="J9" s="14">
        <f>+B9</f>
        <v>18024</v>
      </c>
      <c r="K9" s="13">
        <f>YEAR(A9)</f>
        <v>2017</v>
      </c>
      <c r="L9" s="111"/>
      <c r="M9" s="111"/>
      <c r="N9" s="111"/>
      <c r="O9" s="142">
        <f>VLOOKUP(A9,Value!$A$6:$O$17,13,FALSE)</f>
        <v>39522.08749712999</v>
      </c>
      <c r="P9" s="111"/>
      <c r="Q9" s="111"/>
      <c r="R9" s="111"/>
    </row>
    <row r="10" spans="1:18" s="16" customFormat="1" ht="11.25">
      <c r="A10" s="17">
        <f>EOMONTH(A9,1)</f>
        <v>42947</v>
      </c>
      <c r="B10" s="169">
        <v>18065</v>
      </c>
      <c r="C10" s="14"/>
      <c r="D10" s="113">
        <f>Value!O8</f>
        <v>20845.233040374995</v>
      </c>
      <c r="E10" s="14"/>
      <c r="F10" s="16">
        <f>ROUND(D10/B10,2)</f>
        <v>1.15</v>
      </c>
      <c r="G10" s="14"/>
      <c r="H10" s="14"/>
      <c r="I10" s="14"/>
      <c r="J10" s="14">
        <f>+B10</f>
        <v>18065</v>
      </c>
      <c r="K10" s="13">
        <f>YEAR(A10)</f>
        <v>2017</v>
      </c>
      <c r="L10" s="111"/>
      <c r="M10" s="111"/>
      <c r="N10" s="111"/>
      <c r="O10" s="142">
        <f>VLOOKUP(A10,Value!$A$6:$O$17,13,FALSE)</f>
        <v>41690.46608074999</v>
      </c>
      <c r="P10" s="111"/>
      <c r="Q10" s="111"/>
      <c r="R10" s="111"/>
    </row>
    <row r="11" spans="1:18" s="16" customFormat="1" ht="11.25">
      <c r="A11" s="17"/>
      <c r="B11" s="14"/>
      <c r="C11" s="14"/>
      <c r="E11" s="14"/>
      <c r="G11" s="14"/>
      <c r="H11" s="14"/>
      <c r="I11" s="14"/>
      <c r="J11" s="14"/>
      <c r="K11" s="13"/>
      <c r="L11" s="111"/>
      <c r="M11" s="111"/>
      <c r="N11" s="111"/>
      <c r="O11" s="142"/>
      <c r="P11" s="111"/>
      <c r="Q11" s="111"/>
      <c r="R11" s="111"/>
    </row>
    <row r="12" spans="1:18" s="16" customFormat="1" ht="11.25">
      <c r="A12" s="17" t="s">
        <v>95</v>
      </c>
      <c r="B12" s="21">
        <f>SUM(B8:B11)</f>
        <v>54068</v>
      </c>
      <c r="C12" s="20" t="s">
        <v>8</v>
      </c>
      <c r="D12" s="22">
        <f>SUM(D8:D11)</f>
        <v>56614.91135917998</v>
      </c>
      <c r="E12" s="14"/>
      <c r="G12" s="14"/>
      <c r="H12" s="14"/>
      <c r="I12" s="14"/>
      <c r="J12" s="14"/>
      <c r="K12" s="13"/>
      <c r="L12" s="111"/>
      <c r="M12" s="111"/>
      <c r="N12" s="111"/>
      <c r="O12" s="142"/>
      <c r="P12" s="111"/>
      <c r="Q12" s="111"/>
      <c r="R12" s="111"/>
    </row>
    <row r="13" spans="1:18" s="16" customFormat="1" ht="11.25">
      <c r="A13" s="17"/>
      <c r="B13" s="14"/>
      <c r="C13" s="14"/>
      <c r="E13" s="14"/>
      <c r="G13" s="14"/>
      <c r="H13" s="14"/>
      <c r="I13" s="14"/>
      <c r="J13" s="14"/>
      <c r="K13" s="13"/>
      <c r="L13" s="111"/>
      <c r="M13" s="111"/>
      <c r="N13" s="111"/>
      <c r="O13" s="142"/>
      <c r="P13" s="111"/>
      <c r="Q13" s="111"/>
      <c r="R13" s="111"/>
    </row>
    <row r="14" spans="1:18" s="16" customFormat="1" ht="11.25">
      <c r="A14" s="17">
        <f>EOMONTH(A10,1)</f>
        <v>42978</v>
      </c>
      <c r="B14" s="169">
        <v>18193</v>
      </c>
      <c r="C14" s="14"/>
      <c r="D14" s="113">
        <f>Value!O9</f>
        <v>20075.22693066499</v>
      </c>
      <c r="E14" s="14"/>
      <c r="F14" s="16">
        <f aca="true" t="shared" si="0" ref="F14:F22">ROUND(D14/B14,2)</f>
        <v>1.1</v>
      </c>
      <c r="G14" s="23"/>
      <c r="H14" s="23"/>
      <c r="I14" s="14"/>
      <c r="J14" s="14">
        <f aca="true" t="shared" si="1" ref="J14:J22">+B14</f>
        <v>18193</v>
      </c>
      <c r="K14" s="13">
        <f aca="true" t="shared" si="2" ref="K14:K22">YEAR(A14)</f>
        <v>2017</v>
      </c>
      <c r="L14" s="111"/>
      <c r="M14" s="111"/>
      <c r="N14" s="111"/>
      <c r="O14" s="142">
        <f>VLOOKUP(A14,Value!$A$6:$O$17,13,FALSE)</f>
        <v>40150.45386132998</v>
      </c>
      <c r="P14" s="111"/>
      <c r="Q14" s="111"/>
      <c r="R14" s="111"/>
    </row>
    <row r="15" spans="1:18" s="16" customFormat="1" ht="11.25">
      <c r="A15" s="17">
        <f aca="true" t="shared" si="3" ref="A15:A22">EOMONTH(A14,1)</f>
        <v>43008</v>
      </c>
      <c r="B15" s="169">
        <v>18116</v>
      </c>
      <c r="C15" s="14"/>
      <c r="D15" s="113">
        <f>Value!O10</f>
        <v>13746.224634789995</v>
      </c>
      <c r="E15" s="14"/>
      <c r="F15" s="16">
        <f t="shared" si="0"/>
        <v>0.76</v>
      </c>
      <c r="G15" s="23"/>
      <c r="H15" s="23"/>
      <c r="I15" s="14"/>
      <c r="J15" s="14">
        <f t="shared" si="1"/>
        <v>18116</v>
      </c>
      <c r="K15" s="13">
        <f t="shared" si="2"/>
        <v>2017</v>
      </c>
      <c r="L15" s="111"/>
      <c r="M15" s="111"/>
      <c r="N15" s="111"/>
      <c r="O15" s="142">
        <f>VLOOKUP(A15,Value!$A$6:$O$17,13,FALSE)</f>
        <v>27492.44926957999</v>
      </c>
      <c r="P15" s="111"/>
      <c r="Q15" s="111"/>
      <c r="R15" s="111"/>
    </row>
    <row r="16" spans="1:18" s="16" customFormat="1" ht="11.25">
      <c r="A16" s="17">
        <f t="shared" si="3"/>
        <v>43039</v>
      </c>
      <c r="B16" s="169">
        <v>18171</v>
      </c>
      <c r="C16" s="14"/>
      <c r="D16" s="113">
        <f>Value!O11</f>
        <v>12105.436992649997</v>
      </c>
      <c r="E16" s="14"/>
      <c r="F16" s="16">
        <f t="shared" si="0"/>
        <v>0.67</v>
      </c>
      <c r="G16" s="23"/>
      <c r="H16" s="23"/>
      <c r="I16" s="14"/>
      <c r="J16" s="14">
        <f t="shared" si="1"/>
        <v>18171</v>
      </c>
      <c r="K16" s="13">
        <f t="shared" si="2"/>
        <v>2017</v>
      </c>
      <c r="L16" s="111"/>
      <c r="M16" s="111"/>
      <c r="N16" s="111"/>
      <c r="O16" s="142">
        <f>VLOOKUP(A16,Value!$A$6:$O$17,13,FALSE)</f>
        <v>24210.873985299993</v>
      </c>
      <c r="P16" s="111"/>
      <c r="Q16" s="111"/>
      <c r="R16" s="111"/>
    </row>
    <row r="17" spans="1:18" s="16" customFormat="1" ht="11.25">
      <c r="A17" s="17">
        <f t="shared" si="3"/>
        <v>43069</v>
      </c>
      <c r="B17" s="169">
        <v>18392</v>
      </c>
      <c r="C17" s="14"/>
      <c r="D17" s="113">
        <f>Value!O12</f>
        <v>15160.167238719998</v>
      </c>
      <c r="E17" s="14"/>
      <c r="F17" s="16">
        <f t="shared" si="0"/>
        <v>0.82</v>
      </c>
      <c r="G17" s="23"/>
      <c r="H17" s="23"/>
      <c r="I17" s="14"/>
      <c r="J17" s="14">
        <f t="shared" si="1"/>
        <v>18392</v>
      </c>
      <c r="K17" s="13">
        <f t="shared" si="2"/>
        <v>2017</v>
      </c>
      <c r="L17" s="111"/>
      <c r="M17" s="111"/>
      <c r="N17" s="111"/>
      <c r="O17" s="142">
        <f>VLOOKUP(A17,Value!$A$6:$O$17,13,FALSE)</f>
        <v>30320.334477439996</v>
      </c>
      <c r="P17" s="111"/>
      <c r="Q17" s="111"/>
      <c r="R17" s="111"/>
    </row>
    <row r="18" spans="1:18" s="16" customFormat="1" ht="11.25">
      <c r="A18" s="17">
        <f t="shared" si="3"/>
        <v>43100</v>
      </c>
      <c r="B18" s="169">
        <v>18201</v>
      </c>
      <c r="C18" s="14"/>
      <c r="D18" s="113">
        <f>Value!O13</f>
        <v>14255.608821524991</v>
      </c>
      <c r="E18" s="14"/>
      <c r="F18" s="16">
        <f t="shared" si="0"/>
        <v>0.78</v>
      </c>
      <c r="G18" s="23"/>
      <c r="H18" s="23"/>
      <c r="I18" s="14"/>
      <c r="J18" s="14">
        <f t="shared" si="1"/>
        <v>18201</v>
      </c>
      <c r="K18" s="13">
        <f t="shared" si="2"/>
        <v>2017</v>
      </c>
      <c r="L18" s="111"/>
      <c r="M18" s="111"/>
      <c r="N18" s="111"/>
      <c r="O18" s="142">
        <f>VLOOKUP(A18,Value!$A$6:$O$17,13,FALSE)</f>
        <v>28511.217643049982</v>
      </c>
      <c r="P18" s="111"/>
      <c r="Q18" s="111"/>
      <c r="R18" s="111"/>
    </row>
    <row r="19" spans="1:26" s="16" customFormat="1" ht="11.25">
      <c r="A19" s="17">
        <f t="shared" si="3"/>
        <v>43131</v>
      </c>
      <c r="B19" s="169">
        <v>18283</v>
      </c>
      <c r="C19" s="14"/>
      <c r="D19" s="113">
        <f>Value!O14</f>
        <v>12999.583981334992</v>
      </c>
      <c r="E19" s="14"/>
      <c r="F19" s="16">
        <f t="shared" si="0"/>
        <v>0.71</v>
      </c>
      <c r="G19" s="23"/>
      <c r="H19" s="23"/>
      <c r="I19" s="14"/>
      <c r="J19" s="14">
        <f t="shared" si="1"/>
        <v>18283</v>
      </c>
      <c r="K19" s="13">
        <f t="shared" si="2"/>
        <v>2018</v>
      </c>
      <c r="L19" s="111"/>
      <c r="M19" s="111"/>
      <c r="N19" s="111"/>
      <c r="O19" s="142">
        <f>VLOOKUP(A19,Value!$A$6:$O$17,13,FALSE)</f>
        <v>25999.167962669984</v>
      </c>
      <c r="P19" s="111"/>
      <c r="Q19" s="111"/>
      <c r="R19" s="111"/>
      <c r="Y19" s="14"/>
      <c r="Z19" s="14"/>
    </row>
    <row r="20" spans="1:28" s="16" customFormat="1" ht="11.25">
      <c r="A20" s="17">
        <f t="shared" si="3"/>
        <v>43159</v>
      </c>
      <c r="B20" s="169">
        <v>18200</v>
      </c>
      <c r="C20" s="14"/>
      <c r="D20" s="113">
        <f>Value!O15</f>
        <v>963.7130675099959</v>
      </c>
      <c r="E20" s="14"/>
      <c r="F20" s="16">
        <f t="shared" si="0"/>
        <v>0.05</v>
      </c>
      <c r="G20" s="23"/>
      <c r="H20" s="23"/>
      <c r="I20" s="14"/>
      <c r="J20" s="14">
        <f t="shared" si="1"/>
        <v>18200</v>
      </c>
      <c r="K20" s="13">
        <f t="shared" si="2"/>
        <v>2018</v>
      </c>
      <c r="L20" s="35"/>
      <c r="M20" s="111"/>
      <c r="N20" s="111"/>
      <c r="O20" s="142">
        <f>VLOOKUP(A20,Value!$A$6:$O$17,13,FALSE)</f>
        <v>1927.4261350199918</v>
      </c>
      <c r="P20" s="35"/>
      <c r="Q20" s="35"/>
      <c r="R20" s="35"/>
      <c r="S20" s="14"/>
      <c r="T20" s="14"/>
      <c r="U20" s="14"/>
      <c r="V20" s="14"/>
      <c r="W20" s="14"/>
      <c r="X20" s="14"/>
      <c r="Z20" s="14"/>
      <c r="AB20" s="14"/>
    </row>
    <row r="21" spans="1:18" s="16" customFormat="1" ht="11.25">
      <c r="A21" s="17">
        <f t="shared" si="3"/>
        <v>43190</v>
      </c>
      <c r="B21" s="169">
        <v>18318</v>
      </c>
      <c r="C21" s="14"/>
      <c r="D21" s="113">
        <f>Value!O16</f>
        <v>1133.6454480999955</v>
      </c>
      <c r="E21" s="14"/>
      <c r="F21" s="16">
        <f t="shared" si="0"/>
        <v>0.06</v>
      </c>
      <c r="G21" s="23"/>
      <c r="H21" s="23"/>
      <c r="I21" s="14"/>
      <c r="J21" s="14">
        <f t="shared" si="1"/>
        <v>18318</v>
      </c>
      <c r="K21" s="13">
        <f t="shared" si="2"/>
        <v>2018</v>
      </c>
      <c r="L21" s="111"/>
      <c r="M21" s="111"/>
      <c r="N21" s="111"/>
      <c r="O21" s="142">
        <f>VLOOKUP(A21,Value!$A$6:$O$17,13,FALSE)</f>
        <v>2267.290896199991</v>
      </c>
      <c r="P21" s="111"/>
      <c r="Q21" s="111"/>
      <c r="R21" s="111"/>
    </row>
    <row r="22" spans="1:18" s="16" customFormat="1" ht="11.25">
      <c r="A22" s="17">
        <f t="shared" si="3"/>
        <v>43220</v>
      </c>
      <c r="B22" s="169">
        <v>18372</v>
      </c>
      <c r="C22" s="14"/>
      <c r="D22" s="113">
        <f>Value!O17</f>
        <v>1040.5794083299947</v>
      </c>
      <c r="E22" s="14"/>
      <c r="F22" s="16">
        <f t="shared" si="0"/>
        <v>0.06</v>
      </c>
      <c r="G22" s="23"/>
      <c r="H22" s="23"/>
      <c r="I22" s="14"/>
      <c r="J22" s="14">
        <f t="shared" si="1"/>
        <v>18372</v>
      </c>
      <c r="K22" s="13">
        <f t="shared" si="2"/>
        <v>2018</v>
      </c>
      <c r="L22" s="111"/>
      <c r="M22" s="111"/>
      <c r="N22" s="111"/>
      <c r="O22" s="142">
        <f>VLOOKUP(A22,Value!$A$6:$O$17,13,FALSE)</f>
        <v>2081.1588166599895</v>
      </c>
      <c r="P22" s="111"/>
      <c r="Q22" s="111"/>
      <c r="R22" s="111"/>
    </row>
    <row r="23" spans="1:18" s="16" customFormat="1" ht="11.25">
      <c r="A23" s="17"/>
      <c r="B23" s="14"/>
      <c r="C23" s="14"/>
      <c r="E23" s="14"/>
      <c r="G23" s="14"/>
      <c r="H23" s="14"/>
      <c r="I23" s="14"/>
      <c r="J23" s="14"/>
      <c r="K23" s="13"/>
      <c r="L23" s="111"/>
      <c r="M23" s="111"/>
      <c r="N23" s="111"/>
      <c r="O23" s="143"/>
      <c r="Q23" s="111"/>
      <c r="R23" s="111"/>
    </row>
    <row r="24" spans="1:18" s="16" customFormat="1" ht="11.25">
      <c r="A24" s="17" t="s">
        <v>96</v>
      </c>
      <c r="B24" s="21">
        <f>SUM(B13:B23)</f>
        <v>164246</v>
      </c>
      <c r="C24" s="20" t="s">
        <v>9</v>
      </c>
      <c r="D24" s="22">
        <f>SUM(D13:D23)</f>
        <v>91480.18652362494</v>
      </c>
      <c r="E24" s="14"/>
      <c r="G24" s="14"/>
      <c r="H24" s="14"/>
      <c r="I24" s="14"/>
      <c r="J24" s="14"/>
      <c r="K24" s="13"/>
      <c r="L24" s="111"/>
      <c r="M24" s="111"/>
      <c r="N24" s="111"/>
      <c r="O24" s="143"/>
      <c r="P24" s="144" t="s">
        <v>89</v>
      </c>
      <c r="Q24" s="111"/>
      <c r="R24" s="111"/>
    </row>
    <row r="25" spans="4:18" ht="12.75">
      <c r="D25" s="25"/>
      <c r="L25" s="120"/>
      <c r="M25" s="120"/>
      <c r="N25" s="120"/>
      <c r="O25" s="143">
        <f>SUM(O8:O24)</f>
        <v>296190.1957656098</v>
      </c>
      <c r="P25" s="120"/>
      <c r="Q25" s="120"/>
      <c r="R25" s="120"/>
    </row>
    <row r="26" spans="1:18" s="16" customFormat="1" ht="12" thickBot="1">
      <c r="A26" s="26"/>
      <c r="B26" s="27">
        <f>+B12+B24</f>
        <v>218314</v>
      </c>
      <c r="C26" s="20"/>
      <c r="D26" s="28">
        <f>+D12+D24</f>
        <v>148095.09788280493</v>
      </c>
      <c r="E26" s="20" t="s">
        <v>10</v>
      </c>
      <c r="F26" s="23">
        <f>ROUND(D26/B26,3)</f>
        <v>0.678</v>
      </c>
      <c r="H26" s="20"/>
      <c r="I26" s="14"/>
      <c r="J26" s="27">
        <f>SUM(J8:J25)</f>
        <v>218314</v>
      </c>
      <c r="K26" s="20" t="s">
        <v>12</v>
      </c>
      <c r="L26" s="111"/>
      <c r="M26" s="111"/>
      <c r="N26" s="111"/>
      <c r="O26" s="146">
        <f>ROUND(O25/J26,3)</f>
        <v>1.357</v>
      </c>
      <c r="P26" s="111" t="s">
        <v>88</v>
      </c>
      <c r="Q26" s="111"/>
      <c r="R26" s="111"/>
    </row>
    <row r="27" spans="2:18" s="16" customFormat="1" ht="12" thickTop="1">
      <c r="B27" s="14"/>
      <c r="C27" s="14"/>
      <c r="D27" s="14"/>
      <c r="E27" s="14"/>
      <c r="F27" s="14"/>
      <c r="G27" s="14"/>
      <c r="H27" s="14"/>
      <c r="I27" s="14"/>
      <c r="J27" s="14"/>
      <c r="K27" s="14"/>
      <c r="L27" s="111"/>
      <c r="M27" s="111"/>
      <c r="N27" s="111"/>
      <c r="O27" s="153">
        <f>+J22</f>
        <v>18372</v>
      </c>
      <c r="P27" s="111" t="s">
        <v>90</v>
      </c>
      <c r="Q27" s="111"/>
      <c r="R27" s="111"/>
    </row>
    <row r="28" spans="1:18" s="16" customFormat="1" ht="11.25">
      <c r="A28" s="16" t="s">
        <v>99</v>
      </c>
      <c r="B28" s="14">
        <f>SUM(B17:B22)</f>
        <v>109766</v>
      </c>
      <c r="C28" s="14"/>
      <c r="D28" s="14">
        <f>SUM(D17:D22)</f>
        <v>45553.29796551997</v>
      </c>
      <c r="E28" s="14"/>
      <c r="F28" s="23">
        <f>D28/B28</f>
        <v>0.41500371668385444</v>
      </c>
      <c r="G28" s="20" t="s">
        <v>11</v>
      </c>
      <c r="H28" s="14"/>
      <c r="I28" s="14"/>
      <c r="J28" s="14"/>
      <c r="K28" s="14"/>
      <c r="L28" s="111"/>
      <c r="M28" s="111"/>
      <c r="N28" s="111"/>
      <c r="O28" s="166"/>
      <c r="P28" s="111"/>
      <c r="Q28" s="111"/>
      <c r="R28" s="111"/>
    </row>
    <row r="29" spans="1:18" s="16" customFormat="1" ht="11.25">
      <c r="A29" s="16" t="s">
        <v>100</v>
      </c>
      <c r="B29" s="14"/>
      <c r="C29" s="14"/>
      <c r="D29" s="14"/>
      <c r="E29" s="14"/>
      <c r="F29" s="14"/>
      <c r="G29" s="14"/>
      <c r="H29" s="14"/>
      <c r="I29" s="14"/>
      <c r="J29" s="14"/>
      <c r="K29" s="14"/>
      <c r="L29" s="111"/>
      <c r="M29" s="111"/>
      <c r="N29" s="111"/>
      <c r="O29" s="166"/>
      <c r="P29" s="111"/>
      <c r="Q29" s="111"/>
      <c r="R29" s="111"/>
    </row>
    <row r="30" spans="2:18" s="16" customFormat="1" ht="11.25">
      <c r="B30" s="14"/>
      <c r="C30" s="14"/>
      <c r="D30" s="14"/>
      <c r="E30" s="14"/>
      <c r="F30" s="14"/>
      <c r="G30" s="14"/>
      <c r="H30" s="14"/>
      <c r="I30" s="14"/>
      <c r="J30" s="14"/>
      <c r="K30" s="14"/>
      <c r="L30" s="111"/>
      <c r="M30" s="111"/>
      <c r="N30" s="111"/>
      <c r="O30" s="166"/>
      <c r="P30" s="111"/>
      <c r="Q30" s="111"/>
      <c r="R30" s="111"/>
    </row>
    <row r="31" spans="2:18" s="16" customFormat="1" ht="11.25">
      <c r="B31" s="14"/>
      <c r="C31" s="14"/>
      <c r="D31" s="14"/>
      <c r="E31" s="14"/>
      <c r="F31" s="14"/>
      <c r="G31" s="14"/>
      <c r="H31" s="14"/>
      <c r="I31" s="14"/>
      <c r="J31" s="14"/>
      <c r="K31" s="14"/>
      <c r="L31" s="111"/>
      <c r="M31" s="111"/>
      <c r="N31" s="111"/>
      <c r="O31" s="111"/>
      <c r="P31" s="111" t="s">
        <v>91</v>
      </c>
      <c r="Q31" s="111"/>
      <c r="R31" s="111"/>
    </row>
    <row r="32" spans="2:18" s="16" customFormat="1" ht="12" thickBot="1">
      <c r="B32" s="29" t="s">
        <v>13</v>
      </c>
      <c r="C32" s="30"/>
      <c r="D32" s="30"/>
      <c r="E32" s="30"/>
      <c r="F32" s="14"/>
      <c r="G32" s="14"/>
      <c r="H32" s="14"/>
      <c r="I32" s="14"/>
      <c r="J32" s="14"/>
      <c r="K32" s="14"/>
      <c r="L32" s="111"/>
      <c r="M32" s="111"/>
      <c r="N32" s="111"/>
      <c r="O32" s="111"/>
      <c r="P32" s="111"/>
      <c r="Q32" s="111"/>
      <c r="R32" s="111"/>
    </row>
    <row r="33" spans="1:25" s="16" customFormat="1" ht="12" thickTop="1">
      <c r="A33" s="6"/>
      <c r="B33" s="31"/>
      <c r="C33" s="14"/>
      <c r="D33" s="14"/>
      <c r="E33" s="14"/>
      <c r="F33" s="14"/>
      <c r="G33" s="14"/>
      <c r="H33" s="14"/>
      <c r="I33" s="14"/>
      <c r="J33" s="14"/>
      <c r="K33" s="14"/>
      <c r="X33" s="14"/>
      <c r="Y33" s="14"/>
    </row>
    <row r="34" spans="1:11" s="16" customFormat="1" ht="11.25">
      <c r="A34" s="8"/>
      <c r="B34" s="31"/>
      <c r="C34" s="14"/>
      <c r="D34" s="14"/>
      <c r="E34" s="14"/>
      <c r="F34" s="32" t="s">
        <v>14</v>
      </c>
      <c r="G34" s="14">
        <f>ROUND(D26,0)</f>
        <v>148095</v>
      </c>
      <c r="H34" s="20" t="s">
        <v>10</v>
      </c>
      <c r="I34" s="14"/>
      <c r="J34" s="14"/>
      <c r="K34" s="14"/>
    </row>
    <row r="35" spans="1:27" s="13" customFormat="1" ht="11.25">
      <c r="A35" s="33"/>
      <c r="B35" s="31"/>
      <c r="C35" s="14"/>
      <c r="D35" s="14"/>
      <c r="E35" s="14"/>
      <c r="F35" s="14"/>
      <c r="G35" s="14"/>
      <c r="H35" s="20"/>
      <c r="I35" s="14"/>
      <c r="J35" s="14"/>
      <c r="K35" s="14"/>
      <c r="O35" s="16">
        <f>6*O27*O26</f>
        <v>149584.824</v>
      </c>
      <c r="P35" s="13" t="s">
        <v>93</v>
      </c>
      <c r="W35" s="14"/>
      <c r="X35" s="16"/>
      <c r="Y35" s="16"/>
      <c r="AA35" s="14"/>
    </row>
    <row r="36" spans="2:16" s="16" customFormat="1" ht="11.25">
      <c r="B36" s="14" t="s">
        <v>15</v>
      </c>
      <c r="C36" s="14"/>
      <c r="D36" s="14"/>
      <c r="E36" s="14"/>
      <c r="F36" s="34">
        <v>0.85</v>
      </c>
      <c r="G36" s="14"/>
      <c r="H36" s="14"/>
      <c r="I36" s="14"/>
      <c r="J36" s="14"/>
      <c r="K36" s="14"/>
      <c r="O36" s="16">
        <f>6*O27*G59</f>
        <v>45746.68969749466</v>
      </c>
      <c r="P36" s="16" t="s">
        <v>94</v>
      </c>
    </row>
    <row r="37" spans="2:15" s="16" customFormat="1" ht="11.25">
      <c r="B37" s="14"/>
      <c r="C37" s="14" t="str">
        <f>"Customers from "&amp;TEXT($A$8,"mm/yy")&amp;" - "&amp;TEXT($A$10,"mm/yy")</f>
        <v>Customers from 05/17 - 07/17</v>
      </c>
      <c r="D37" s="14"/>
      <c r="E37" s="14"/>
      <c r="F37" s="35">
        <f>+B12</f>
        <v>54068</v>
      </c>
      <c r="G37" s="20" t="s">
        <v>8</v>
      </c>
      <c r="H37" s="14"/>
      <c r="I37" s="14"/>
      <c r="J37" s="14"/>
      <c r="K37" s="14"/>
      <c r="O37" s="147">
        <f>+O36/O35</f>
        <v>0.3058244043359282</v>
      </c>
    </row>
    <row r="38" spans="2:11" s="16" customFormat="1" ht="11.25">
      <c r="B38" s="14"/>
      <c r="C38" s="14" t="s">
        <v>16</v>
      </c>
      <c r="D38" s="14"/>
      <c r="E38" s="14"/>
      <c r="F38" s="21">
        <f>ROUND(F36*F37,0)</f>
        <v>45958</v>
      </c>
      <c r="G38" s="20"/>
      <c r="H38" s="14"/>
      <c r="I38" s="14"/>
      <c r="J38" s="14"/>
      <c r="K38" s="14"/>
    </row>
    <row r="39" spans="2:11" s="16" customFormat="1" ht="11.25">
      <c r="B39" s="14"/>
      <c r="C39" s="14"/>
      <c r="D39" s="14"/>
      <c r="E39" s="14"/>
      <c r="F39" s="35"/>
      <c r="G39" s="20"/>
      <c r="H39" s="14"/>
      <c r="I39" s="14"/>
      <c r="J39" s="14"/>
      <c r="K39" s="14"/>
    </row>
    <row r="40" spans="2:11" s="16" customFormat="1" ht="11.25">
      <c r="B40" s="14" t="s">
        <v>15</v>
      </c>
      <c r="C40" s="14"/>
      <c r="D40" s="14"/>
      <c r="E40" s="14"/>
      <c r="F40" s="34">
        <v>1.035</v>
      </c>
      <c r="G40" s="14"/>
      <c r="H40" s="14"/>
      <c r="I40" s="14"/>
      <c r="J40" s="14"/>
      <c r="K40" s="14"/>
    </row>
    <row r="41" spans="2:11" s="16" customFormat="1" ht="11.25">
      <c r="B41" s="14"/>
      <c r="C41" s="14" t="str">
        <f>"Customers from "&amp;TEXT($A$14,"mm/yy")&amp;" - "&amp;TEXT($A$22,"mm/yy")</f>
        <v>Customers from 08/17 - 04/18</v>
      </c>
      <c r="D41" s="14"/>
      <c r="E41" s="14"/>
      <c r="F41" s="14">
        <f>+B24</f>
        <v>164246</v>
      </c>
      <c r="G41" s="20" t="s">
        <v>9</v>
      </c>
      <c r="H41" s="14"/>
      <c r="I41" s="14"/>
      <c r="J41" s="14"/>
      <c r="K41" s="14"/>
    </row>
    <row r="42" spans="2:11" s="16" customFormat="1" ht="11.25">
      <c r="B42" s="14"/>
      <c r="C42" s="14" t="s">
        <v>16</v>
      </c>
      <c r="D42" s="14"/>
      <c r="E42" s="14"/>
      <c r="F42" s="21">
        <f>ROUND(F40*F41,0)</f>
        <v>169995</v>
      </c>
      <c r="G42" s="20"/>
      <c r="H42" s="14"/>
      <c r="I42" s="14"/>
      <c r="J42" s="14"/>
      <c r="K42" s="14"/>
    </row>
    <row r="43" spans="2:11" s="16" customFormat="1" ht="11.25">
      <c r="B43" s="14"/>
      <c r="C43" s="14"/>
      <c r="D43" s="14"/>
      <c r="E43" s="14"/>
      <c r="F43" s="36"/>
      <c r="G43" s="20"/>
      <c r="H43" s="14"/>
      <c r="I43" s="14"/>
      <c r="J43" s="14"/>
      <c r="K43" s="14"/>
    </row>
    <row r="44" spans="2:11" s="16" customFormat="1" ht="12" thickBot="1">
      <c r="B44" s="14"/>
      <c r="C44" s="14" t="s">
        <v>17</v>
      </c>
      <c r="D44" s="14"/>
      <c r="E44" s="14"/>
      <c r="F44" s="27">
        <f>+F38+F42</f>
        <v>215953</v>
      </c>
      <c r="G44" s="37">
        <f>+F44</f>
        <v>215953</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32" t="s">
        <v>18</v>
      </c>
      <c r="G47" s="38">
        <f>+G34-G44</f>
        <v>-67858</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9" t="str">
        <f>$K$22+1&amp;" Recycle Adjustment Calculation"</f>
        <v>2019 Recycle Adjustment Calculation</v>
      </c>
      <c r="C50" s="30"/>
      <c r="D50" s="30"/>
      <c r="E50" s="30"/>
      <c r="F50" s="30"/>
      <c r="G50" s="14"/>
      <c r="H50" s="14"/>
      <c r="I50" s="14"/>
      <c r="J50" s="14"/>
      <c r="K50" s="14"/>
    </row>
    <row r="51" spans="2:27" s="16" customFormat="1" ht="12" thickTop="1">
      <c r="B51" s="31"/>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tr">
        <f>$K$10&amp;"/"&amp;$K$22&amp;" True-up Computation"</f>
        <v>2017/2018 True-up Computation</v>
      </c>
      <c r="C52" s="14"/>
      <c r="D52" s="14"/>
      <c r="E52" s="14"/>
      <c r="F52" s="14"/>
      <c r="G52" s="14"/>
      <c r="H52" s="14"/>
      <c r="I52" s="14"/>
      <c r="J52" s="14"/>
      <c r="K52" s="14"/>
    </row>
    <row r="53" spans="2:11" s="16" customFormat="1" ht="11.25">
      <c r="B53" s="14"/>
      <c r="C53" s="14"/>
      <c r="D53" s="14"/>
      <c r="E53" s="14"/>
      <c r="F53" s="32" t="s">
        <v>20</v>
      </c>
      <c r="G53" s="14">
        <f>+J26</f>
        <v>218314</v>
      </c>
      <c r="H53" s="20" t="s">
        <v>12</v>
      </c>
      <c r="I53" s="14"/>
      <c r="J53" s="14"/>
      <c r="K53" s="14"/>
    </row>
    <row r="54" spans="2:11" s="16" customFormat="1" ht="11.25">
      <c r="B54" s="14"/>
      <c r="C54" s="14"/>
      <c r="D54" s="14"/>
      <c r="E54" s="14"/>
      <c r="F54" s="32" t="s">
        <v>18</v>
      </c>
      <c r="G54" s="14">
        <f>G47</f>
        <v>-67858</v>
      </c>
      <c r="H54" s="14"/>
      <c r="I54" s="14"/>
      <c r="J54" s="14"/>
      <c r="K54" s="14"/>
    </row>
    <row r="55" spans="2:11" s="16" customFormat="1" ht="11.25">
      <c r="B55" s="14"/>
      <c r="C55" s="14"/>
      <c r="D55" s="14"/>
      <c r="E55" s="14"/>
      <c r="F55" s="32"/>
      <c r="G55" s="14"/>
      <c r="H55" s="14"/>
      <c r="I55" s="14"/>
      <c r="J55" s="14"/>
      <c r="K55" s="14"/>
    </row>
    <row r="56" spans="2:11" s="16" customFormat="1" ht="12" thickBot="1">
      <c r="B56" s="14"/>
      <c r="C56" s="14"/>
      <c r="D56" s="14"/>
      <c r="E56" s="14"/>
      <c r="F56" s="32" t="s">
        <v>101</v>
      </c>
      <c r="G56" s="39">
        <f>ROUND(G54/G53,3)</f>
        <v>-0.311</v>
      </c>
      <c r="H56" s="14"/>
      <c r="I56" s="23">
        <f>+G56</f>
        <v>-0.311</v>
      </c>
      <c r="J56" s="14"/>
      <c r="K56" s="14"/>
    </row>
    <row r="57" spans="2:25" s="16" customFormat="1" ht="12" thickTop="1">
      <c r="B57" s="14"/>
      <c r="C57" s="14"/>
      <c r="D57" s="14"/>
      <c r="E57" s="14"/>
      <c r="F57" s="32"/>
      <c r="G57" s="14"/>
      <c r="H57" s="14"/>
      <c r="I57" s="23"/>
      <c r="J57" s="14"/>
      <c r="K57" s="14"/>
      <c r="Y57" s="14"/>
    </row>
    <row r="58" spans="2:13" s="16" customFormat="1" ht="11.25">
      <c r="B58" s="14" t="str">
        <f>$K$22+1&amp;" Projected Credit"</f>
        <v>2019 Projected Credit</v>
      </c>
      <c r="C58" s="14"/>
      <c r="D58" s="14"/>
      <c r="E58" s="14"/>
      <c r="F58" s="32"/>
      <c r="G58" s="14"/>
      <c r="H58" s="14"/>
      <c r="I58" s="23"/>
      <c r="J58" s="14"/>
      <c r="K58" s="14"/>
      <c r="M58" s="163" t="s">
        <v>92</v>
      </c>
    </row>
    <row r="59" spans="2:13" s="16" customFormat="1" ht="12" thickBot="1">
      <c r="B59" s="31"/>
      <c r="C59" s="14"/>
      <c r="D59" s="14"/>
      <c r="E59" s="14"/>
      <c r="F59" s="32" t="s">
        <v>79</v>
      </c>
      <c r="G59" s="170">
        <f>+F28/Value!P18*M59</f>
        <v>0.41500371668385455</v>
      </c>
      <c r="H59" s="14"/>
      <c r="I59" s="23">
        <f>+G59</f>
        <v>0.41500371668385455</v>
      </c>
      <c r="J59" s="20" t="s">
        <v>11</v>
      </c>
      <c r="K59" s="14"/>
      <c r="M59" s="164">
        <v>0.5</v>
      </c>
    </row>
    <row r="60" spans="2:25" s="14" customFormat="1" ht="12" thickTop="1">
      <c r="B60" s="31"/>
      <c r="I60" s="23"/>
      <c r="M60" s="14" t="s">
        <v>31</v>
      </c>
      <c r="X60" s="16"/>
      <c r="Y60" s="16"/>
    </row>
    <row r="61" spans="2:11" s="16" customFormat="1" ht="12" thickBot="1">
      <c r="B61" s="14"/>
      <c r="C61" s="14"/>
      <c r="D61" s="14"/>
      <c r="E61" s="14"/>
      <c r="F61" s="14"/>
      <c r="G61" s="32" t="str">
        <f>$K$22+1&amp;" Adjusted Credit"</f>
        <v>2019 Adjusted Credit</v>
      </c>
      <c r="H61" s="27"/>
      <c r="I61" s="39">
        <f>+I56+I59</f>
        <v>0.10400371668385455</v>
      </c>
      <c r="J61" s="14"/>
      <c r="K61" s="14"/>
    </row>
    <row r="62" s="16" customFormat="1" ht="12" thickTop="1">
      <c r="I62" s="23"/>
    </row>
    <row r="63" s="16" customFormat="1" ht="11.25"/>
    <row r="64" spans="2:9" s="16" customFormat="1" ht="11.25">
      <c r="B64" s="16" t="s">
        <v>102</v>
      </c>
      <c r="G64" s="138" t="s">
        <v>82</v>
      </c>
      <c r="I64" s="172">
        <f>'[2]2014-2015'!$C$14</f>
        <v>0</v>
      </c>
    </row>
    <row r="65" spans="1:6" s="16" customFormat="1" ht="11.25">
      <c r="A65" s="111"/>
      <c r="B65" s="111"/>
      <c r="C65" s="111"/>
      <c r="D65" s="111"/>
      <c r="E65" s="111"/>
      <c r="F65" s="111"/>
    </row>
    <row r="66" spans="1:9" s="16" customFormat="1" ht="11.25" hidden="1">
      <c r="A66" s="114"/>
      <c r="B66" s="115"/>
      <c r="C66" s="116"/>
      <c r="D66" s="47"/>
      <c r="E66" s="111"/>
      <c r="F66" s="111"/>
      <c r="G66" s="138" t="s">
        <v>83</v>
      </c>
      <c r="I66" s="148">
        <v>292961.99994565477</v>
      </c>
    </row>
    <row r="67" spans="1:9" s="16" customFormat="1" ht="11.25" hidden="1">
      <c r="A67" s="114"/>
      <c r="B67" s="115"/>
      <c r="C67" s="116"/>
      <c r="D67" s="47"/>
      <c r="E67" s="111"/>
      <c r="F67" s="111"/>
      <c r="G67" s="138" t="s">
        <v>84</v>
      </c>
      <c r="I67" s="148">
        <v>56929</v>
      </c>
    </row>
    <row r="68" spans="1:6" s="16" customFormat="1" ht="11.25">
      <c r="A68" s="114"/>
      <c r="B68" s="117"/>
      <c r="C68" s="118"/>
      <c r="D68" s="47"/>
      <c r="E68" s="111"/>
      <c r="F68" s="111"/>
    </row>
    <row r="69" spans="1:9" s="16" customFormat="1" ht="11.25">
      <c r="A69" s="114"/>
      <c r="B69" s="117"/>
      <c r="C69" s="35"/>
      <c r="D69" s="47"/>
      <c r="E69" s="111"/>
      <c r="F69" s="111"/>
      <c r="G69" s="138" t="s">
        <v>85</v>
      </c>
      <c r="I69" s="171"/>
    </row>
    <row r="70" spans="1:25" s="14" customFormat="1" ht="11.25">
      <c r="A70" s="114"/>
      <c r="B70" s="35"/>
      <c r="C70" s="35"/>
      <c r="D70" s="111"/>
      <c r="E70" s="35"/>
      <c r="F70" s="111"/>
      <c r="X70" s="16"/>
      <c r="Y70" s="16"/>
    </row>
    <row r="71" spans="1:9" s="16" customFormat="1" ht="11.25">
      <c r="A71" s="114"/>
      <c r="B71" s="35"/>
      <c r="C71" s="118"/>
      <c r="D71" s="111"/>
      <c r="E71" s="111"/>
      <c r="F71" s="111"/>
      <c r="G71" s="138" t="s">
        <v>86</v>
      </c>
      <c r="I71" s="22">
        <f>I69/(B17*12)</f>
        <v>0</v>
      </c>
    </row>
    <row r="72" spans="1:6" s="16" customFormat="1" ht="11.25">
      <c r="A72" s="114"/>
      <c r="B72" s="35"/>
      <c r="C72" s="35"/>
      <c r="D72" s="111"/>
      <c r="E72" s="111"/>
      <c r="F72" s="111"/>
    </row>
    <row r="73" spans="1:9" s="16" customFormat="1" ht="12" thickBot="1">
      <c r="A73" s="114"/>
      <c r="B73" s="117"/>
      <c r="C73" s="35"/>
      <c r="D73" s="111"/>
      <c r="E73" s="111"/>
      <c r="F73" s="111"/>
      <c r="G73" s="32" t="str">
        <f>$K$22+1&amp;" Net Credit"</f>
        <v>2019 Net Credit</v>
      </c>
      <c r="H73" s="27"/>
      <c r="I73" s="154">
        <f>+I61+I71</f>
        <v>0.10400371668385455</v>
      </c>
    </row>
    <row r="74" spans="1:6" s="16" customFormat="1" ht="12" thickTop="1">
      <c r="A74" s="114"/>
      <c r="B74" s="117"/>
      <c r="C74" s="35"/>
      <c r="D74" s="111"/>
      <c r="E74" s="111"/>
      <c r="F74" s="111"/>
    </row>
    <row r="75" spans="1:6" s="16" customFormat="1" ht="11.25">
      <c r="A75" s="114"/>
      <c r="B75" s="117"/>
      <c r="C75" s="35"/>
      <c r="D75" s="111"/>
      <c r="E75" s="111"/>
      <c r="F75" s="111"/>
    </row>
    <row r="76" spans="1:25" s="16" customFormat="1" ht="11.25">
      <c r="A76" s="114"/>
      <c r="B76" s="117"/>
      <c r="C76" s="35"/>
      <c r="D76" s="111"/>
      <c r="E76" s="111"/>
      <c r="F76" s="111"/>
      <c r="Y76" s="14"/>
    </row>
    <row r="77" spans="1:6" s="16" customFormat="1" ht="11.25">
      <c r="A77" s="114"/>
      <c r="B77" s="117"/>
      <c r="C77" s="35"/>
      <c r="D77" s="111"/>
      <c r="E77" s="111"/>
      <c r="F77" s="111"/>
    </row>
    <row r="78" spans="1:6" s="16" customFormat="1" ht="11.25">
      <c r="A78" s="114"/>
      <c r="B78" s="117"/>
      <c r="C78" s="35"/>
      <c r="D78" s="111"/>
      <c r="E78" s="111"/>
      <c r="F78" s="111"/>
    </row>
    <row r="79" spans="1:6" s="16" customFormat="1" ht="11.25">
      <c r="A79" s="114"/>
      <c r="B79" s="117"/>
      <c r="C79" s="35"/>
      <c r="D79" s="111"/>
      <c r="E79" s="111"/>
      <c r="F79" s="111"/>
    </row>
    <row r="80" spans="1:27" s="16" customFormat="1" ht="11.25">
      <c r="A80" s="114"/>
      <c r="B80" s="117"/>
      <c r="C80" s="35"/>
      <c r="D80" s="111"/>
      <c r="E80" s="119"/>
      <c r="F80" s="111"/>
      <c r="G80" s="14"/>
      <c r="H80" s="13"/>
      <c r="I80" s="14"/>
      <c r="J80" s="14"/>
      <c r="K80" s="13"/>
      <c r="L80" s="14"/>
      <c r="M80" s="14"/>
      <c r="N80" s="14"/>
      <c r="O80" s="14"/>
      <c r="P80" s="14"/>
      <c r="Q80" s="14"/>
      <c r="R80" s="14"/>
      <c r="S80" s="14"/>
      <c r="T80" s="14"/>
      <c r="U80" s="14"/>
      <c r="V80" s="13"/>
      <c r="W80" s="14"/>
      <c r="AA80" s="14"/>
    </row>
    <row r="81" spans="1:6" s="16" customFormat="1" ht="11.25">
      <c r="A81" s="114"/>
      <c r="B81" s="117"/>
      <c r="C81" s="35"/>
      <c r="D81" s="111"/>
      <c r="E81" s="111"/>
      <c r="F81" s="111"/>
    </row>
    <row r="82" spans="1:6" s="16" customFormat="1" ht="11.25">
      <c r="A82" s="114"/>
      <c r="B82" s="35"/>
      <c r="C82" s="35"/>
      <c r="D82" s="111"/>
      <c r="E82" s="111"/>
      <c r="F82" s="111"/>
    </row>
    <row r="83" spans="1:6" s="16" customFormat="1" ht="11.25">
      <c r="A83" s="114"/>
      <c r="B83" s="35"/>
      <c r="C83" s="118"/>
      <c r="D83" s="111"/>
      <c r="E83" s="111"/>
      <c r="F83" s="111"/>
    </row>
    <row r="84" spans="1:6" s="16" customFormat="1" ht="12.75">
      <c r="A84" s="120"/>
      <c r="B84" s="120"/>
      <c r="C84" s="120"/>
      <c r="D84" s="121"/>
      <c r="E84" s="111"/>
      <c r="F84" s="120"/>
    </row>
    <row r="85" spans="1:25" s="16" customFormat="1" ht="11.25">
      <c r="A85" s="122"/>
      <c r="B85" s="35"/>
      <c r="C85" s="118"/>
      <c r="D85" s="111"/>
      <c r="E85" s="111"/>
      <c r="F85" s="123"/>
      <c r="Y85" s="14"/>
    </row>
    <row r="86" s="16" customFormat="1" ht="11.25"/>
    <row r="87" s="16" customFormat="1" ht="11.25"/>
    <row r="88" s="16" customFormat="1" ht="11.25"/>
    <row r="89" s="16" customFormat="1" ht="11.25">
      <c r="B89" s="8"/>
    </row>
    <row r="90" spans="2:25" s="14" customFormat="1" ht="11.25">
      <c r="B90" s="31"/>
      <c r="X90" s="16"/>
      <c r="Y90" s="16"/>
    </row>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c r="A99" s="6"/>
    </row>
    <row r="100" s="16" customFormat="1" ht="12.75">
      <c r="AA100" s="5"/>
    </row>
    <row r="101" s="16" customFormat="1" ht="12.75">
      <c r="AA101" s="5"/>
    </row>
    <row r="102" s="16" customFormat="1" ht="12.75">
      <c r="AA102" s="5"/>
    </row>
    <row r="103" s="16" customFormat="1" ht="12.75">
      <c r="AA103" s="5"/>
    </row>
    <row r="104" spans="7:27" s="16" customFormat="1" ht="12.75">
      <c r="G104" s="56"/>
      <c r="I104" s="56"/>
      <c r="J104" s="56"/>
      <c r="L104" s="56"/>
      <c r="M104" s="56"/>
      <c r="N104" s="56"/>
      <c r="O104" s="56"/>
      <c r="P104" s="56"/>
      <c r="Q104" s="56"/>
      <c r="R104" s="56"/>
      <c r="S104" s="56"/>
      <c r="T104" s="56"/>
      <c r="U104" s="56"/>
      <c r="V104" s="56"/>
      <c r="W104" s="56"/>
      <c r="X104" s="56"/>
      <c r="Y104" s="56"/>
      <c r="AA104" s="5"/>
    </row>
    <row r="105" s="16" customFormat="1" ht="12.75">
      <c r="AA105" s="5"/>
    </row>
    <row r="106" spans="7:27" s="16" customFormat="1" ht="13.5" thickBot="1">
      <c r="G106" s="57"/>
      <c r="I106" s="57"/>
      <c r="J106" s="57"/>
      <c r="L106" s="57"/>
      <c r="M106" s="57"/>
      <c r="N106" s="57"/>
      <c r="O106" s="57"/>
      <c r="P106" s="57"/>
      <c r="Q106" s="57"/>
      <c r="R106" s="57"/>
      <c r="S106" s="57"/>
      <c r="T106" s="57"/>
      <c r="U106" s="57"/>
      <c r="V106" s="57"/>
      <c r="W106" s="57"/>
      <c r="X106" s="57"/>
      <c r="Y106" s="57"/>
      <c r="AA106" s="5"/>
    </row>
    <row r="107" ht="13.5" thickTop="1"/>
    <row r="108" spans="23:25" ht="12.75">
      <c r="W108" s="58"/>
      <c r="X108" s="58"/>
      <c r="Y108" s="58"/>
    </row>
    <row r="109" spans="23:27" ht="12.75">
      <c r="W109" s="58"/>
      <c r="AA109" s="58"/>
    </row>
  </sheetData>
  <sheetProtection/>
  <printOptions horizontalCentered="1"/>
  <pageMargins left="0" right="0" top="0.52" bottom="0.44" header="0" footer="0"/>
  <pageSetup fitToHeight="1" fitToWidth="1" orientation="portrait" scale="58"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D1">
      <selection activeCell="P18" sqref="P18"/>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46</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33</v>
      </c>
      <c r="F5" s="63" t="s">
        <v>23</v>
      </c>
      <c r="G5" s="63" t="s">
        <v>24</v>
      </c>
      <c r="H5" s="63" t="s">
        <v>25</v>
      </c>
      <c r="I5" s="63" t="s">
        <v>26</v>
      </c>
      <c r="J5" s="63" t="s">
        <v>27</v>
      </c>
      <c r="K5" s="63" t="s">
        <v>28</v>
      </c>
      <c r="L5" s="63" t="s">
        <v>29</v>
      </c>
      <c r="M5" s="63" t="s">
        <v>30</v>
      </c>
      <c r="O5" s="73" t="s">
        <v>30</v>
      </c>
      <c r="P5" s="63" t="s">
        <v>97</v>
      </c>
    </row>
    <row r="6" spans="1:17" ht="15.75" customHeight="1">
      <c r="A6" s="65">
        <f>+Pricing!A6</f>
        <v>42856</v>
      </c>
      <c r="B6" s="66"/>
      <c r="C6" s="71">
        <f>'Commodity Tonnages'!C6*Pricing!C6</f>
        <v>3809.5317299999997</v>
      </c>
      <c r="D6" s="74">
        <f>'Commodity Tonnages'!D6*Pricing!D6</f>
        <v>-1578.14268352</v>
      </c>
      <c r="E6" s="74">
        <f>'Commodity Tonnages'!E6*Pricing!E6</f>
        <v>0</v>
      </c>
      <c r="F6" s="74">
        <f>'Commodity Tonnages'!F6*Pricing!F6</f>
        <v>666.4229484</v>
      </c>
      <c r="G6" s="74">
        <f>'Commodity Tonnages'!G6*Pricing!G6</f>
        <v>7144.002839999999</v>
      </c>
      <c r="H6" s="74">
        <f>'Commodity Tonnages'!H6*Pricing!H6</f>
        <v>10857.83629408</v>
      </c>
      <c r="I6" s="74">
        <f>'Commodity Tonnages'!I6*Pricing!I6</f>
        <v>1165.19564348</v>
      </c>
      <c r="J6" s="74">
        <f>'Commodity Tonnages'!J6*Pricing!J6</f>
        <v>1165.19564348</v>
      </c>
      <c r="K6" s="74">
        <f>'Commodity Tonnages'!K6*Pricing!K6</f>
        <v>13264.991879039999</v>
      </c>
      <c r="L6" s="74">
        <f>'Commodity Tonnages'!L6*Pricing!L6</f>
        <v>-4477.76515448001</v>
      </c>
      <c r="M6" s="129">
        <f>SUM(C6:L6)</f>
        <v>32017.26914047999</v>
      </c>
      <c r="O6" s="97">
        <f>M6*P6</f>
        <v>16008.634570239996</v>
      </c>
      <c r="P6" s="165">
        <v>0.5</v>
      </c>
      <c r="Q6" s="130"/>
    </row>
    <row r="7" spans="1:17" ht="15.75" customHeight="1">
      <c r="A7" s="65">
        <f>+Pricing!A7</f>
        <v>42916</v>
      </c>
      <c r="B7" s="66"/>
      <c r="C7" s="71">
        <f>'Commodity Tonnages'!C7*Pricing!C7</f>
        <v>3666.5480565</v>
      </c>
      <c r="D7" s="74">
        <f>'Commodity Tonnages'!D7*Pricing!D7</f>
        <v>-618.5227776000002</v>
      </c>
      <c r="E7" s="74">
        <f>'Commodity Tonnages'!E7*Pricing!E7</f>
        <v>0</v>
      </c>
      <c r="F7" s="74">
        <f>'Commodity Tonnages'!F7*Pricing!F7</f>
        <v>623.0598066000001</v>
      </c>
      <c r="G7" s="74">
        <f>'Commodity Tonnages'!G7*Pricing!G7</f>
        <v>9066.787821</v>
      </c>
      <c r="H7" s="74">
        <f>'Commodity Tonnages'!H7*Pricing!H7</f>
        <v>13875.42852192</v>
      </c>
      <c r="I7" s="74">
        <f>'Commodity Tonnages'!I7*Pricing!I7</f>
        <v>866.3921511</v>
      </c>
      <c r="J7" s="74">
        <f>'Commodity Tonnages'!J7*Pricing!J7</f>
        <v>866.3921511</v>
      </c>
      <c r="K7" s="74">
        <f>'Commodity Tonnages'!K7*Pricing!K7</f>
        <v>15538.75801632</v>
      </c>
      <c r="L7" s="74">
        <f>'Commodity Tonnages'!L7*Pricing!L7</f>
        <v>-4362.75624981001</v>
      </c>
      <c r="M7" s="129">
        <f aca="true" t="shared" si="0" ref="M7:M17">SUM(C7:L7)</f>
        <v>39522.08749712999</v>
      </c>
      <c r="O7" s="97">
        <f aca="true" t="shared" si="1" ref="O7:O17">M7*P7</f>
        <v>19761.043748564996</v>
      </c>
      <c r="P7" s="165">
        <v>0.5</v>
      </c>
      <c r="Q7" s="130"/>
    </row>
    <row r="8" spans="1:17" ht="15.75" customHeight="1">
      <c r="A8" s="65">
        <f>+Pricing!A8</f>
        <v>42947</v>
      </c>
      <c r="B8" s="66"/>
      <c r="C8" s="71">
        <f>'Commodity Tonnages'!C8*Pricing!C8</f>
        <v>3417.7390725</v>
      </c>
      <c r="D8" s="74">
        <f>'Commodity Tonnages'!D8*Pricing!D8</f>
        <v>-611.3548282400001</v>
      </c>
      <c r="E8" s="74">
        <f>'Commodity Tonnages'!E8*Pricing!E8</f>
        <v>0</v>
      </c>
      <c r="F8" s="74">
        <f>'Commodity Tonnages'!F8*Pricing!F8</f>
        <v>583.75815135</v>
      </c>
      <c r="G8" s="74">
        <f>'Commodity Tonnages'!G8*Pricing!G8</f>
        <v>10054.140096000001</v>
      </c>
      <c r="H8" s="74">
        <f>'Commodity Tonnages'!H8*Pricing!H8</f>
        <v>15729.991784959999</v>
      </c>
      <c r="I8" s="74">
        <f>'Commodity Tonnages'!I8*Pricing!I8</f>
        <v>734.603994675</v>
      </c>
      <c r="J8" s="74">
        <f>'Commodity Tonnages'!J8*Pricing!J8</f>
        <v>734.603994675</v>
      </c>
      <c r="K8" s="74">
        <f>'Commodity Tonnages'!K8*Pricing!K8</f>
        <v>15222.18217014</v>
      </c>
      <c r="L8" s="74">
        <f>'Commodity Tonnages'!L8*Pricing!L8</f>
        <v>-4175.198355310009</v>
      </c>
      <c r="M8" s="129">
        <f t="shared" si="0"/>
        <v>41690.46608074999</v>
      </c>
      <c r="O8" s="97">
        <f t="shared" si="1"/>
        <v>20845.233040374995</v>
      </c>
      <c r="P8" s="165">
        <v>0.5</v>
      </c>
      <c r="Q8" s="130"/>
    </row>
    <row r="9" spans="1:17" ht="15.75" customHeight="1">
      <c r="A9" s="65">
        <f>+Pricing!A9</f>
        <v>42978</v>
      </c>
      <c r="B9" s="66"/>
      <c r="C9" s="71">
        <f>'Commodity Tonnages'!C9*Pricing!C9</f>
        <v>3906.3341579999997</v>
      </c>
      <c r="D9" s="74">
        <f>'Commodity Tonnages'!D9*Pricing!D9</f>
        <v>-441.42692048</v>
      </c>
      <c r="E9" s="74">
        <f>'Commodity Tonnages'!E9*Pricing!E9</f>
        <v>0</v>
      </c>
      <c r="F9" s="74">
        <f>'Commodity Tonnages'!F9*Pricing!F9</f>
        <v>741.4423813499999</v>
      </c>
      <c r="G9" s="74">
        <f>'Commodity Tonnages'!G9*Pricing!G9</f>
        <v>9157.3799265</v>
      </c>
      <c r="H9" s="74">
        <f>'Commodity Tonnages'!H9*Pricing!H9</f>
        <v>14293.757741619997</v>
      </c>
      <c r="I9" s="74">
        <f>'Commodity Tonnages'!I9*Pricing!I9</f>
        <v>1072.354079315</v>
      </c>
      <c r="J9" s="74">
        <f>'Commodity Tonnages'!J9*Pricing!J9</f>
        <v>1072.354079315</v>
      </c>
      <c r="K9" s="74">
        <f>'Commodity Tonnages'!K9*Pricing!K9</f>
        <v>14939.755484939998</v>
      </c>
      <c r="L9" s="74">
        <f>'Commodity Tonnages'!L9*Pricing!L9</f>
        <v>-4591.497069230009</v>
      </c>
      <c r="M9" s="129">
        <f t="shared" si="0"/>
        <v>40150.45386132998</v>
      </c>
      <c r="O9" s="97">
        <f t="shared" si="1"/>
        <v>20075.22693066499</v>
      </c>
      <c r="P9" s="165">
        <v>0.5</v>
      </c>
      <c r="Q9" s="130"/>
    </row>
    <row r="10" spans="1:17" ht="15.75" customHeight="1">
      <c r="A10" s="65">
        <f>+Pricing!A10</f>
        <v>43008</v>
      </c>
      <c r="B10" s="66"/>
      <c r="C10" s="71">
        <f>'Commodity Tonnages'!C10*Pricing!C10</f>
        <v>3675.5257484999997</v>
      </c>
      <c r="D10" s="74">
        <f>'Commodity Tonnages'!D10*Pricing!D10</f>
        <v>-509.98840464</v>
      </c>
      <c r="E10" s="74">
        <f>'Commodity Tonnages'!E10*Pricing!E10</f>
        <v>0</v>
      </c>
      <c r="F10" s="74">
        <f>'Commodity Tonnages'!F10*Pricing!F10</f>
        <v>734.1179241</v>
      </c>
      <c r="G10" s="74">
        <f>'Commodity Tonnages'!G10*Pricing!G10</f>
        <v>6318.706601999999</v>
      </c>
      <c r="H10" s="74">
        <f>'Commodity Tonnages'!H10*Pricing!H10</f>
        <v>9572.041723399998</v>
      </c>
      <c r="I10" s="74">
        <f>'Commodity Tonnages'!I10*Pricing!I10</f>
        <v>832.2748860999999</v>
      </c>
      <c r="J10" s="74">
        <f>'Commodity Tonnages'!J10*Pricing!J10</f>
        <v>832.2748860999999</v>
      </c>
      <c r="K10" s="74">
        <f>'Commodity Tonnages'!K10*Pricing!K10</f>
        <v>10141.262635680001</v>
      </c>
      <c r="L10" s="74">
        <f>'Commodity Tonnages'!L10*Pricing!L10</f>
        <v>-4103.766731660009</v>
      </c>
      <c r="M10" s="129">
        <f t="shared" si="0"/>
        <v>27492.44926957999</v>
      </c>
      <c r="O10" s="97">
        <f t="shared" si="1"/>
        <v>13746.224634789995</v>
      </c>
      <c r="P10" s="165">
        <v>0.5</v>
      </c>
      <c r="Q10" s="130"/>
    </row>
    <row r="11" spans="1:17" ht="15.75" customHeight="1">
      <c r="A11" s="65">
        <f>+Pricing!A11</f>
        <v>43039</v>
      </c>
      <c r="B11" s="66"/>
      <c r="C11" s="71">
        <f>'Commodity Tonnages'!C11*Pricing!C11</f>
        <v>3926.7138044999997</v>
      </c>
      <c r="D11" s="74">
        <f>'Commodity Tonnages'!D11*Pricing!D11</f>
        <v>-828.71301344</v>
      </c>
      <c r="E11" s="74">
        <f>'Commodity Tonnages'!E11*Pricing!E11</f>
        <v>0</v>
      </c>
      <c r="F11" s="74">
        <f>'Commodity Tonnages'!F11*Pricing!F11</f>
        <v>669.9889614</v>
      </c>
      <c r="G11" s="74">
        <f>'Commodity Tonnages'!G11*Pricing!G11</f>
        <v>6280.515891000001</v>
      </c>
      <c r="H11" s="74">
        <f>'Commodity Tonnages'!H11*Pricing!H11</f>
        <v>9486.583292559999</v>
      </c>
      <c r="I11" s="74">
        <f>'Commodity Tonnages'!I11*Pricing!I11</f>
        <v>578.76323153</v>
      </c>
      <c r="J11" s="74">
        <f>'Commodity Tonnages'!J11*Pricing!J11</f>
        <v>578.76323153</v>
      </c>
      <c r="K11" s="74">
        <f>'Commodity Tonnages'!K11*Pricing!K11</f>
        <v>7779.09507804</v>
      </c>
      <c r="L11" s="74">
        <f>'Commodity Tonnages'!L11*Pricing!L11</f>
        <v>-4260.8364918200095</v>
      </c>
      <c r="M11" s="129">
        <f t="shared" si="0"/>
        <v>24210.873985299993</v>
      </c>
      <c r="O11" s="97">
        <f t="shared" si="1"/>
        <v>12105.436992649997</v>
      </c>
      <c r="P11" s="165">
        <v>0.5</v>
      </c>
      <c r="Q11" s="130"/>
    </row>
    <row r="12" spans="1:17" ht="15.75" customHeight="1">
      <c r="A12" s="65">
        <f>+Pricing!A12</f>
        <v>43069</v>
      </c>
      <c r="B12" s="66"/>
      <c r="C12" s="71">
        <f>'Commodity Tonnages'!C12*Pricing!C12</f>
        <v>4200.048932999999</v>
      </c>
      <c r="D12" s="74">
        <f>'Commodity Tonnages'!D12*Pricing!D12</f>
        <v>-255.76124912</v>
      </c>
      <c r="E12" s="74">
        <f>'Commodity Tonnages'!E12*Pricing!E12</f>
        <v>0</v>
      </c>
      <c r="F12" s="74">
        <f>'Commodity Tonnages'!F12*Pricing!F12</f>
        <v>742.5103488</v>
      </c>
      <c r="G12" s="74">
        <f>'Commodity Tonnages'!G12*Pricing!G12</f>
        <v>7409.628759000001</v>
      </c>
      <c r="H12" s="74">
        <f>'Commodity Tonnages'!H12*Pricing!H12</f>
        <v>9801.8893042</v>
      </c>
      <c r="I12" s="74">
        <f>'Commodity Tonnages'!I12*Pricing!I12</f>
        <v>647.58859165</v>
      </c>
      <c r="J12" s="74">
        <f>'Commodity Tonnages'!J12*Pricing!J12</f>
        <v>647.58859165</v>
      </c>
      <c r="K12" s="74">
        <f>'Commodity Tonnages'!K12*Pricing!K12</f>
        <v>11726.718513840002</v>
      </c>
      <c r="L12" s="74">
        <f>'Commodity Tonnages'!L12*Pricing!L12</f>
        <v>-4599.87731558001</v>
      </c>
      <c r="M12" s="129">
        <f t="shared" si="0"/>
        <v>30320.334477439996</v>
      </c>
      <c r="O12" s="97">
        <f t="shared" si="1"/>
        <v>15160.167238719998</v>
      </c>
      <c r="P12" s="165">
        <v>0.5</v>
      </c>
      <c r="Q12" s="130"/>
    </row>
    <row r="13" spans="1:17" ht="15.75" customHeight="1">
      <c r="A13" s="65">
        <f>+Pricing!A13</f>
        <v>43100</v>
      </c>
      <c r="B13" s="66"/>
      <c r="C13" s="71">
        <f>'Commodity Tonnages'!C13*Pricing!C13</f>
        <v>4241.781209999999</v>
      </c>
      <c r="D13" s="74">
        <f>'Commodity Tonnages'!D13*Pricing!D13</f>
        <v>-971.8223944000001</v>
      </c>
      <c r="E13" s="74">
        <f>'Commodity Tonnages'!E13*Pricing!E13</f>
        <v>0</v>
      </c>
      <c r="F13" s="74">
        <f>'Commodity Tonnages'!F13*Pricing!F13</f>
        <v>849.53286825</v>
      </c>
      <c r="G13" s="74">
        <f>'Commodity Tonnages'!G13*Pricing!G13</f>
        <v>7216.379527499999</v>
      </c>
      <c r="H13" s="74">
        <f>'Commodity Tonnages'!H13*Pricing!H13</f>
        <v>9326.6566732</v>
      </c>
      <c r="I13" s="74">
        <f>'Commodity Tonnages'!I13*Pricing!I13</f>
        <v>674.013061075</v>
      </c>
      <c r="J13" s="74">
        <f>'Commodity Tonnages'!J13*Pricing!J13</f>
        <v>674.013061075</v>
      </c>
      <c r="K13" s="74">
        <f>'Commodity Tonnages'!K13*Pricing!K13</f>
        <v>11138.132342699997</v>
      </c>
      <c r="L13" s="74">
        <f>'Commodity Tonnages'!L13*Pricing!L13</f>
        <v>-4637.46870635001</v>
      </c>
      <c r="M13" s="129">
        <f t="shared" si="0"/>
        <v>28511.217643049982</v>
      </c>
      <c r="O13" s="97">
        <f t="shared" si="1"/>
        <v>14255.608821524991</v>
      </c>
      <c r="P13" s="165">
        <v>0.5</v>
      </c>
      <c r="Q13" s="130"/>
    </row>
    <row r="14" spans="1:17" ht="15.75" customHeight="1">
      <c r="A14" s="65">
        <f>+Pricing!A14</f>
        <v>43131</v>
      </c>
      <c r="B14" s="66"/>
      <c r="C14" s="71">
        <f>'Commodity Tonnages'!C14*Pricing!C14</f>
        <v>4775.3509545</v>
      </c>
      <c r="D14" s="74">
        <f>'Commodity Tonnages'!D14*Pricing!D14</f>
        <v>-1109.0185579200001</v>
      </c>
      <c r="E14" s="74">
        <f>'Commodity Tonnages'!E14*Pricing!E14</f>
        <v>0</v>
      </c>
      <c r="F14" s="74">
        <f>'Commodity Tonnages'!F14*Pricing!F14</f>
        <v>1067.7719051999998</v>
      </c>
      <c r="G14" s="74">
        <f>'Commodity Tonnages'!G14*Pricing!G14</f>
        <v>4878.02133</v>
      </c>
      <c r="H14" s="74">
        <f>'Commodity Tonnages'!H14*Pricing!H14</f>
        <v>8124.822522179999</v>
      </c>
      <c r="I14" s="74">
        <f>'Commodity Tonnages'!I14*Pricing!I14</f>
        <v>754.0650398399999</v>
      </c>
      <c r="J14" s="74">
        <f>'Commodity Tonnages'!J14*Pricing!J14</f>
        <v>754.0650398399999</v>
      </c>
      <c r="K14" s="74">
        <f>'Commodity Tonnages'!K14*Pricing!K14</f>
        <v>11770.50519414</v>
      </c>
      <c r="L14" s="74">
        <f>'Commodity Tonnages'!L14*Pricing!L14</f>
        <v>-5016.415465110012</v>
      </c>
      <c r="M14" s="129">
        <f t="shared" si="0"/>
        <v>25999.167962669984</v>
      </c>
      <c r="O14" s="97">
        <f t="shared" si="1"/>
        <v>12999.583981334992</v>
      </c>
      <c r="P14" s="165">
        <v>0.5</v>
      </c>
      <c r="Q14" s="130"/>
    </row>
    <row r="15" spans="1:17" ht="15.75" customHeight="1">
      <c r="A15" s="65">
        <f>+Pricing!A15</f>
        <v>43159</v>
      </c>
      <c r="B15" s="66"/>
      <c r="C15" s="71">
        <f>'Commodity Tonnages'!C15*Pricing!C15</f>
        <v>3566.5259385000004</v>
      </c>
      <c r="D15" s="74">
        <f>'Commodity Tonnages'!D15*Pricing!D15</f>
        <v>-681.4883649600001</v>
      </c>
      <c r="E15" s="74">
        <f>'Commodity Tonnages'!E15*Pricing!E15</f>
        <v>0</v>
      </c>
      <c r="F15" s="74">
        <f>'Commodity Tonnages'!F15*Pricing!F15</f>
        <v>736.2088536000001</v>
      </c>
      <c r="G15" s="74">
        <f>'Commodity Tonnages'!G15*Pricing!G15</f>
        <v>-1701.281127</v>
      </c>
      <c r="H15" s="74">
        <f>'Commodity Tonnages'!H15*Pricing!H15</f>
        <v>-3377.4223587599995</v>
      </c>
      <c r="I15" s="74">
        <f>'Commodity Tonnages'!I15*Pricing!I15</f>
        <v>921.8531833700001</v>
      </c>
      <c r="J15" s="74">
        <f>'Commodity Tonnages'!J15*Pricing!J15</f>
        <v>921.8531833700001</v>
      </c>
      <c r="K15" s="74">
        <f>'Commodity Tonnages'!K15*Pricing!K15</f>
        <v>5381.88363504</v>
      </c>
      <c r="L15" s="74">
        <f>'Commodity Tonnages'!L15*Pricing!L15</f>
        <v>-3840.706808140009</v>
      </c>
      <c r="M15" s="129">
        <f t="shared" si="0"/>
        <v>1927.4261350199918</v>
      </c>
      <c r="O15" s="97">
        <f t="shared" si="1"/>
        <v>963.7130675099959</v>
      </c>
      <c r="P15" s="165">
        <v>0.5</v>
      </c>
      <c r="Q15" s="130"/>
    </row>
    <row r="16" spans="1:17" ht="15.75" customHeight="1">
      <c r="A16" s="65">
        <f>+Pricing!A16</f>
        <v>43190</v>
      </c>
      <c r="B16" s="66"/>
      <c r="C16" s="71">
        <f>'Commodity Tonnages'!C16*Pricing!C16</f>
        <v>3865.6293344999995</v>
      </c>
      <c r="D16" s="74">
        <f>'Commodity Tonnages'!D16*Pricing!D16</f>
        <v>-838.657872</v>
      </c>
      <c r="E16" s="74">
        <f>'Commodity Tonnages'!E16*Pricing!E16</f>
        <v>0</v>
      </c>
      <c r="F16" s="74">
        <f>'Commodity Tonnages'!F16*Pricing!F16</f>
        <v>927.9154829999999</v>
      </c>
      <c r="G16" s="74">
        <f>'Commodity Tonnages'!G16*Pricing!G16</f>
        <v>-1668.0658409999999</v>
      </c>
      <c r="H16" s="74">
        <f>'Commodity Tonnages'!H16*Pricing!H16</f>
        <v>-3627.9131521199997</v>
      </c>
      <c r="I16" s="74">
        <f>'Commodity Tonnages'!I16*Pricing!I16</f>
        <v>1245.25198428</v>
      </c>
      <c r="J16" s="74">
        <f>'Commodity Tonnages'!J16*Pricing!J16</f>
        <v>1245.25198428</v>
      </c>
      <c r="K16" s="74">
        <f>'Commodity Tonnages'!K16*Pricing!K16</f>
        <v>5324.44339548</v>
      </c>
      <c r="L16" s="74">
        <f>'Commodity Tonnages'!L16*Pricing!L16</f>
        <v>-4206.564420220009</v>
      </c>
      <c r="M16" s="129">
        <f t="shared" si="0"/>
        <v>2267.290896199991</v>
      </c>
      <c r="O16" s="97">
        <f t="shared" si="1"/>
        <v>1133.6454480999955</v>
      </c>
      <c r="P16" s="165">
        <v>0.5</v>
      </c>
      <c r="Q16" s="130"/>
    </row>
    <row r="17" spans="1:17" ht="15.75" customHeight="1">
      <c r="A17" s="65">
        <f>+Pricing!A17</f>
        <v>43220</v>
      </c>
      <c r="B17" s="66"/>
      <c r="C17" s="71">
        <f>'Commodity Tonnages'!C17*Pricing!C17</f>
        <v>3950.1009817500003</v>
      </c>
      <c r="D17" s="74">
        <f>'Commodity Tonnages'!D17*Pricing!D17</f>
        <v>-962.3358544800002</v>
      </c>
      <c r="E17" s="74">
        <f>'Commodity Tonnages'!E17*Pricing!E17</f>
        <v>0</v>
      </c>
      <c r="F17" s="74">
        <f>'Commodity Tonnages'!F17*Pricing!F17</f>
        <v>961.4052640500001</v>
      </c>
      <c r="G17" s="74">
        <f>'Commodity Tonnages'!G17*Pricing!G17</f>
        <v>0</v>
      </c>
      <c r="H17" s="74">
        <f>'Commodity Tonnages'!H17*Pricing!H17</f>
        <v>-5661.710047840001</v>
      </c>
      <c r="I17" s="74">
        <f>'Commodity Tonnages'!I17*Pricing!I17</f>
        <v>1288.981874565</v>
      </c>
      <c r="J17" s="74">
        <f>'Commodity Tonnages'!J17*Pricing!J17</f>
        <v>1288.981874565</v>
      </c>
      <c r="K17" s="74">
        <f>'Commodity Tonnages'!K17*Pricing!K17</f>
        <v>5462.284891140001</v>
      </c>
      <c r="L17" s="74">
        <f>'Commodity Tonnages'!L17*Pricing!L17</f>
        <v>-4246.55016709001</v>
      </c>
      <c r="M17" s="129">
        <f t="shared" si="0"/>
        <v>2081.1588166599895</v>
      </c>
      <c r="O17" s="97">
        <f t="shared" si="1"/>
        <v>1040.5794083299947</v>
      </c>
      <c r="P17" s="165">
        <v>0.5</v>
      </c>
      <c r="Q17" s="130"/>
    </row>
    <row r="18" spans="1:18" ht="15.75" customHeight="1">
      <c r="A18" s="69" t="s">
        <v>32</v>
      </c>
      <c r="B18" s="66"/>
      <c r="C18" s="131">
        <f aca="true" t="shared" si="2" ref="C18:L18">SUM(C6:C17)</f>
        <v>47001.82992225</v>
      </c>
      <c r="D18" s="132">
        <f t="shared" si="2"/>
        <v>-9407.2329208</v>
      </c>
      <c r="E18" s="132">
        <f t="shared" si="2"/>
        <v>0</v>
      </c>
      <c r="F18" s="131">
        <f t="shared" si="2"/>
        <v>9304.134896099999</v>
      </c>
      <c r="G18" s="131">
        <f t="shared" si="2"/>
        <v>64156.21582500001</v>
      </c>
      <c r="H18" s="131">
        <f t="shared" si="2"/>
        <v>88401.96229939998</v>
      </c>
      <c r="I18" s="131">
        <f t="shared" si="2"/>
        <v>10781.337720979998</v>
      </c>
      <c r="J18" s="131">
        <f t="shared" si="2"/>
        <v>10781.337720979998</v>
      </c>
      <c r="K18" s="131">
        <f t="shared" si="2"/>
        <v>127690.0132365</v>
      </c>
      <c r="L18" s="132">
        <f t="shared" si="2"/>
        <v>-52519.40293480012</v>
      </c>
      <c r="M18" s="133">
        <f>SUM(C18:L18)</f>
        <v>296190.19576560985</v>
      </c>
      <c r="O18" s="134">
        <f>SUM(O6:O17)</f>
        <v>148095.0978828049</v>
      </c>
      <c r="P18" s="139">
        <f>+O18/M18</f>
        <v>0.4999999999999999</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F12" sqref="F12"/>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2017 through April 2018)</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28">
        <f>'Single Family'!$C$6</f>
        <v>42856</v>
      </c>
      <c r="B6" s="66" t="s">
        <v>67</v>
      </c>
      <c r="C6" s="107">
        <f>'Single Family'!C32</f>
        <v>4.2078</v>
      </c>
      <c r="D6" s="108">
        <f>'Single Family'!C34</f>
        <v>99.191872</v>
      </c>
      <c r="E6" s="107">
        <f>'Single Family'!C35</f>
        <v>0</v>
      </c>
      <c r="F6" s="107">
        <f>'Single Family'!C30</f>
        <v>9.25716</v>
      </c>
      <c r="G6" s="107">
        <f>'Single Family'!C27</f>
        <v>109.4028</v>
      </c>
      <c r="H6" s="107">
        <f>'Single Family'!C37</f>
        <v>180.54267199999998</v>
      </c>
      <c r="I6" s="107">
        <f>'Single Family'!C31/2</f>
        <v>12.595348</v>
      </c>
      <c r="J6" s="107">
        <f>'Single Family'!C31/2</f>
        <v>12.595348</v>
      </c>
      <c r="K6" s="107">
        <f>'Single Family'!C28</f>
        <v>99.97732799999999</v>
      </c>
      <c r="L6" s="107">
        <f>'Single Family'!C36</f>
        <v>33.26967200000007</v>
      </c>
      <c r="M6" s="64"/>
      <c r="N6" s="135">
        <f aca="true" t="shared" si="0" ref="N6:N17">SUM(C6:L6)</f>
        <v>561.04</v>
      </c>
      <c r="O6" s="75"/>
      <c r="P6" s="68"/>
    </row>
    <row r="7" spans="1:16" ht="15.75" customHeight="1">
      <c r="A7" s="65">
        <f aca="true" t="shared" si="1" ref="A7:A17">EOMONTH(A6,1)</f>
        <v>42916</v>
      </c>
      <c r="B7" s="66" t="s">
        <v>68</v>
      </c>
      <c r="C7" s="107">
        <f>'Single Family'!D32</f>
        <v>4.099724999999999</v>
      </c>
      <c r="D7" s="108">
        <f>'Single Family'!D34</f>
        <v>96.64418400000001</v>
      </c>
      <c r="E7" s="107">
        <f>'Single Family'!D35</f>
        <v>0</v>
      </c>
      <c r="F7" s="107">
        <f>'Single Family'!D30</f>
        <v>9.019395000000001</v>
      </c>
      <c r="G7" s="107">
        <f>'Single Family'!D27</f>
        <v>106.59285</v>
      </c>
      <c r="H7" s="107">
        <f>'Single Family'!D37</f>
        <v>175.905534</v>
      </c>
      <c r="I7" s="107">
        <f>'Single Family'!D31/2</f>
        <v>12.271843500000001</v>
      </c>
      <c r="J7" s="107">
        <f>'Single Family'!D31/2</f>
        <v>12.271843500000001</v>
      </c>
      <c r="K7" s="107">
        <f>'Single Family'!D28</f>
        <v>97.409466</v>
      </c>
      <c r="L7" s="107">
        <f>'Single Family'!D36</f>
        <v>32.415159000000074</v>
      </c>
      <c r="M7" s="64"/>
      <c r="N7" s="135">
        <f t="shared" si="0"/>
        <v>546.6300000000001</v>
      </c>
      <c r="P7" s="68"/>
    </row>
    <row r="8" spans="1:16" ht="15.75" customHeight="1">
      <c r="A8" s="65">
        <f t="shared" si="1"/>
        <v>42947</v>
      </c>
      <c r="B8" s="66" t="s">
        <v>69</v>
      </c>
      <c r="C8" s="107">
        <f>'Single Family'!E32</f>
        <v>3.923475</v>
      </c>
      <c r="D8" s="108">
        <f>'Single Family'!E34</f>
        <v>92.489384</v>
      </c>
      <c r="E8" s="107">
        <f>'Single Family'!E35</f>
        <v>0</v>
      </c>
      <c r="F8" s="107">
        <f>'Single Family'!E30</f>
        <v>8.631645</v>
      </c>
      <c r="G8" s="107">
        <f>'Single Family'!E27</f>
        <v>102.01035</v>
      </c>
      <c r="H8" s="107">
        <f>'Single Family'!E37</f>
        <v>168.343234</v>
      </c>
      <c r="I8" s="107">
        <f>'Single Family'!E31/2</f>
        <v>11.7442685</v>
      </c>
      <c r="J8" s="107">
        <f>'Single Family'!E31/2</f>
        <v>11.7442685</v>
      </c>
      <c r="K8" s="107">
        <f>'Single Family'!E28</f>
        <v>93.221766</v>
      </c>
      <c r="L8" s="107">
        <f>'Single Family'!E36</f>
        <v>31.02160900000007</v>
      </c>
      <c r="M8" s="64"/>
      <c r="N8" s="135">
        <f t="shared" si="0"/>
        <v>523.1300000000001</v>
      </c>
      <c r="P8" s="68"/>
    </row>
    <row r="9" spans="1:16" ht="15.75" customHeight="1">
      <c r="A9" s="65">
        <f t="shared" si="1"/>
        <v>42978</v>
      </c>
      <c r="B9" s="66" t="s">
        <v>70</v>
      </c>
      <c r="C9" s="107">
        <f>'Single Family'!F32</f>
        <v>4.314674999999999</v>
      </c>
      <c r="D9" s="108">
        <f>'Single Family'!F34</f>
        <v>101.711272</v>
      </c>
      <c r="E9" s="107">
        <f>'Single Family'!F35</f>
        <v>0</v>
      </c>
      <c r="F9" s="107">
        <f>'Single Family'!F30</f>
        <v>9.492284999999999</v>
      </c>
      <c r="G9" s="107">
        <f>'Single Family'!F27</f>
        <v>112.18155</v>
      </c>
      <c r="H9" s="107">
        <f>'Single Family'!F37</f>
        <v>185.12832199999997</v>
      </c>
      <c r="I9" s="107">
        <f>'Single Family'!F31/2</f>
        <v>12.9152605</v>
      </c>
      <c r="J9" s="107">
        <f>'Single Family'!F31/2</f>
        <v>12.9152605</v>
      </c>
      <c r="K9" s="107">
        <f>'Single Family'!F28</f>
        <v>102.516678</v>
      </c>
      <c r="L9" s="107">
        <f>'Single Family'!F36</f>
        <v>34.11469700000007</v>
      </c>
      <c r="M9" s="64"/>
      <c r="N9" s="135">
        <f t="shared" si="0"/>
        <v>575.29</v>
      </c>
      <c r="P9" s="68"/>
    </row>
    <row r="10" spans="1:16" ht="15.75" customHeight="1">
      <c r="A10" s="65">
        <f t="shared" si="1"/>
        <v>43008</v>
      </c>
      <c r="B10" s="66" t="s">
        <v>71</v>
      </c>
      <c r="C10" s="107">
        <f>'Single Family'!G32</f>
        <v>3.8563499999999995</v>
      </c>
      <c r="D10" s="108">
        <f>'Single Family'!G34</f>
        <v>90.90702399999999</v>
      </c>
      <c r="E10" s="107">
        <f>'Single Family'!G35</f>
        <v>0</v>
      </c>
      <c r="F10" s="107">
        <f>'Single Family'!G30</f>
        <v>8.48397</v>
      </c>
      <c r="G10" s="107">
        <f>'Single Family'!G27</f>
        <v>100.26509999999999</v>
      </c>
      <c r="H10" s="107">
        <f>'Single Family'!G37</f>
        <v>165.46312399999997</v>
      </c>
      <c r="I10" s="107">
        <f>'Single Family'!G31/2</f>
        <v>11.543341</v>
      </c>
      <c r="J10" s="107">
        <f>'Single Family'!G31/2</f>
        <v>11.543341</v>
      </c>
      <c r="K10" s="107">
        <f>'Single Family'!G28</f>
        <v>91.626876</v>
      </c>
      <c r="L10" s="107">
        <f>'Single Family'!G36</f>
        <v>30.490874000000066</v>
      </c>
      <c r="M10" s="64"/>
      <c r="N10" s="135">
        <f t="shared" si="0"/>
        <v>514.18</v>
      </c>
      <c r="P10" s="68"/>
    </row>
    <row r="11" spans="1:16" ht="15.75" customHeight="1">
      <c r="A11" s="65">
        <f t="shared" si="1"/>
        <v>43039</v>
      </c>
      <c r="B11" s="66" t="s">
        <v>72</v>
      </c>
      <c r="C11" s="107">
        <f>'Single Family'!H32</f>
        <v>4.00395</v>
      </c>
      <c r="D11" s="108">
        <f>'Single Family'!H34</f>
        <v>94.38644800000002</v>
      </c>
      <c r="E11" s="107">
        <f>'Single Family'!H35</f>
        <v>0</v>
      </c>
      <c r="F11" s="107">
        <f>'Single Family'!H30</f>
        <v>8.80869</v>
      </c>
      <c r="G11" s="107">
        <f>'Single Family'!H27</f>
        <v>104.10270000000001</v>
      </c>
      <c r="H11" s="107">
        <f>'Single Family'!H37</f>
        <v>171.796148</v>
      </c>
      <c r="I11" s="107">
        <f>'Single Family'!H31/2</f>
        <v>11.985157000000001</v>
      </c>
      <c r="J11" s="107">
        <f>'Single Family'!H31/2</f>
        <v>11.985157000000001</v>
      </c>
      <c r="K11" s="107">
        <f>'Single Family'!H28</f>
        <v>95.133852</v>
      </c>
      <c r="L11" s="107">
        <f>'Single Family'!H36</f>
        <v>31.65789800000007</v>
      </c>
      <c r="M11" s="64"/>
      <c r="N11" s="135">
        <f t="shared" si="0"/>
        <v>533.8600000000001</v>
      </c>
      <c r="P11" s="68"/>
    </row>
    <row r="12" spans="1:16" ht="15.75" customHeight="1">
      <c r="A12" s="65">
        <f t="shared" si="1"/>
        <v>43069</v>
      </c>
      <c r="B12" s="66" t="s">
        <v>73</v>
      </c>
      <c r="C12" s="107">
        <f>'Single Family'!I32</f>
        <v>4.32255</v>
      </c>
      <c r="D12" s="108">
        <f>'Single Family'!I34</f>
        <v>101.89691200000001</v>
      </c>
      <c r="E12" s="107">
        <f>'Single Family'!I35</f>
        <v>0</v>
      </c>
      <c r="F12" s="107">
        <f>'Single Family'!I30</f>
        <v>9.50961</v>
      </c>
      <c r="G12" s="107">
        <f>'Single Family'!I27</f>
        <v>112.3863</v>
      </c>
      <c r="H12" s="107">
        <f>'Single Family'!I37</f>
        <v>185.46621199999998</v>
      </c>
      <c r="I12" s="107">
        <f>'Single Family'!I31/2</f>
        <v>12.938833</v>
      </c>
      <c r="J12" s="107">
        <f>'Single Family'!I31/2</f>
        <v>12.938833</v>
      </c>
      <c r="K12" s="107">
        <f>'Single Family'!I28</f>
        <v>102.703788</v>
      </c>
      <c r="L12" s="107">
        <f>'Single Family'!I36</f>
        <v>34.176962000000074</v>
      </c>
      <c r="M12" s="64"/>
      <c r="N12" s="135">
        <f t="shared" si="0"/>
        <v>576.3400000000001</v>
      </c>
      <c r="P12" s="68"/>
    </row>
    <row r="13" spans="1:16" ht="15.75" customHeight="1">
      <c r="A13" s="65">
        <f t="shared" si="1"/>
        <v>43100</v>
      </c>
      <c r="B13" s="66" t="s">
        <v>74</v>
      </c>
      <c r="C13" s="107">
        <f>'Single Family'!J32</f>
        <v>4.357874999999999</v>
      </c>
      <c r="D13" s="108">
        <f>'Single Family'!J34</f>
        <v>102.72964</v>
      </c>
      <c r="E13" s="107">
        <f>'Single Family'!J35</f>
        <v>0</v>
      </c>
      <c r="F13" s="107">
        <f>'Single Family'!J30</f>
        <v>9.587325</v>
      </c>
      <c r="G13" s="107">
        <f>'Single Family'!J27</f>
        <v>113.30475</v>
      </c>
      <c r="H13" s="107">
        <f>'Single Family'!J37</f>
        <v>186.98188999999996</v>
      </c>
      <c r="I13" s="107">
        <f>'Single Family'!J31/2</f>
        <v>13.0445725</v>
      </c>
      <c r="J13" s="107">
        <f>'Single Family'!J31/2</f>
        <v>13.0445725</v>
      </c>
      <c r="K13" s="107">
        <f>'Single Family'!J28</f>
        <v>103.54310999999998</v>
      </c>
      <c r="L13" s="107">
        <f>'Single Family'!J36</f>
        <v>34.45626500000007</v>
      </c>
      <c r="M13" s="64"/>
      <c r="N13" s="135">
        <f t="shared" si="0"/>
        <v>581.05</v>
      </c>
      <c r="P13" s="68"/>
    </row>
    <row r="14" spans="1:16" ht="15.75" customHeight="1">
      <c r="A14" s="65">
        <f t="shared" si="1"/>
        <v>43131</v>
      </c>
      <c r="B14" s="66" t="s">
        <v>75</v>
      </c>
      <c r="C14" s="107">
        <f>'Single Family'!K32</f>
        <v>4.713975</v>
      </c>
      <c r="D14" s="108">
        <f>'Single Family'!K34</f>
        <v>111.124104</v>
      </c>
      <c r="E14" s="107">
        <f>'Single Family'!K35</f>
        <v>0</v>
      </c>
      <c r="F14" s="107">
        <f>'Single Family'!K30</f>
        <v>10.370745</v>
      </c>
      <c r="G14" s="107">
        <f>'Single Family'!K27</f>
        <v>122.56335</v>
      </c>
      <c r="H14" s="107">
        <f>'Single Family'!K37</f>
        <v>202.26095399999997</v>
      </c>
      <c r="I14" s="107">
        <f>'Single Family'!K31/2</f>
        <v>14.1104985</v>
      </c>
      <c r="J14" s="107">
        <f>'Single Family'!K31/2</f>
        <v>14.1104985</v>
      </c>
      <c r="K14" s="107">
        <f>'Single Family'!K28</f>
        <v>112.00404599999999</v>
      </c>
      <c r="L14" s="107">
        <f>'Single Family'!K36</f>
        <v>37.27182900000008</v>
      </c>
      <c r="M14" s="64"/>
      <c r="N14" s="135">
        <f t="shared" si="0"/>
        <v>628.53</v>
      </c>
      <c r="P14" s="68"/>
    </row>
    <row r="15" spans="1:16" ht="15.75" customHeight="1">
      <c r="A15" s="65">
        <f t="shared" si="1"/>
        <v>43159</v>
      </c>
      <c r="B15" s="66" t="s">
        <v>76</v>
      </c>
      <c r="C15" s="107">
        <f>'Single Family'!L32</f>
        <v>3.60915</v>
      </c>
      <c r="D15" s="108">
        <f>'Single Family'!L34</f>
        <v>85.07969600000001</v>
      </c>
      <c r="E15" s="107">
        <f>'Single Family'!L35</f>
        <v>0</v>
      </c>
      <c r="F15" s="107">
        <f>'Single Family'!L30</f>
        <v>7.940130000000001</v>
      </c>
      <c r="G15" s="107">
        <f>'Single Family'!L27</f>
        <v>93.8379</v>
      </c>
      <c r="H15" s="107">
        <f>'Single Family'!L37</f>
        <v>154.856596</v>
      </c>
      <c r="I15" s="107">
        <f>'Single Family'!L31/2</f>
        <v>10.803389000000001</v>
      </c>
      <c r="J15" s="107">
        <f>'Single Family'!L31/2</f>
        <v>10.803389000000001</v>
      </c>
      <c r="K15" s="107">
        <f>'Single Family'!L28</f>
        <v>85.753404</v>
      </c>
      <c r="L15" s="107">
        <f>'Single Family'!L36</f>
        <v>28.536346000000066</v>
      </c>
      <c r="M15" s="64"/>
      <c r="N15" s="135">
        <f t="shared" si="0"/>
        <v>481.22</v>
      </c>
      <c r="P15" s="68"/>
    </row>
    <row r="16" spans="1:16" ht="15.75" customHeight="1">
      <c r="A16" s="65">
        <f t="shared" si="1"/>
        <v>43190</v>
      </c>
      <c r="B16" s="66" t="s">
        <v>77</v>
      </c>
      <c r="C16" s="107">
        <f>'Single Family'!M32</f>
        <v>3.9529499999999995</v>
      </c>
      <c r="D16" s="108">
        <f>'Single Family'!M34</f>
        <v>93.184208</v>
      </c>
      <c r="E16" s="107">
        <f>'Single Family'!M35</f>
        <v>0</v>
      </c>
      <c r="F16" s="107">
        <f>'Single Family'!M30</f>
        <v>8.696489999999999</v>
      </c>
      <c r="G16" s="107">
        <f>'Single Family'!M27</f>
        <v>102.77669999999999</v>
      </c>
      <c r="H16" s="107">
        <f>'Single Family'!M37</f>
        <v>169.60790799999998</v>
      </c>
      <c r="I16" s="107">
        <f>'Single Family'!M31/2</f>
        <v>11.832497</v>
      </c>
      <c r="J16" s="107">
        <f>'Single Family'!M31/2</f>
        <v>11.832497</v>
      </c>
      <c r="K16" s="107">
        <f>'Single Family'!M28</f>
        <v>93.92209199999999</v>
      </c>
      <c r="L16" s="107">
        <f>'Single Family'!M36</f>
        <v>31.254658000000067</v>
      </c>
      <c r="M16" s="64"/>
      <c r="N16" s="135">
        <f t="shared" si="0"/>
        <v>527.0600000000001</v>
      </c>
      <c r="P16" s="68"/>
    </row>
    <row r="17" spans="1:16" ht="15.75" customHeight="1">
      <c r="A17" s="65">
        <f t="shared" si="1"/>
        <v>43220</v>
      </c>
      <c r="B17" s="66" t="s">
        <v>78</v>
      </c>
      <c r="C17" s="107">
        <f>'Single Family'!N32</f>
        <v>3.9905250000000003</v>
      </c>
      <c r="D17" s="108">
        <f>'Single Family'!N34</f>
        <v>94.06997600000001</v>
      </c>
      <c r="E17" s="107">
        <f>'Single Family'!N35</f>
        <v>0</v>
      </c>
      <c r="F17" s="107">
        <f>'Single Family'!N30</f>
        <v>8.779155000000001</v>
      </c>
      <c r="G17" s="107">
        <f>'Single Family'!N27</f>
        <v>0</v>
      </c>
      <c r="H17" s="107">
        <f>'Single Family'!N37</f>
        <v>274.97377600000004</v>
      </c>
      <c r="I17" s="107">
        <f>'Single Family'!N31/2</f>
        <v>11.944971500000001</v>
      </c>
      <c r="J17" s="107">
        <f>'Single Family'!N31/2</f>
        <v>11.944971500000001</v>
      </c>
      <c r="K17" s="107">
        <f>'Single Family'!N28</f>
        <v>94.814874</v>
      </c>
      <c r="L17" s="107">
        <f>'Single Family'!N36</f>
        <v>31.551751000000074</v>
      </c>
      <c r="M17" s="64"/>
      <c r="N17" s="135">
        <f t="shared" si="0"/>
        <v>532.0700000000002</v>
      </c>
      <c r="P17" s="68"/>
    </row>
    <row r="18" spans="1:15" ht="15.75" customHeight="1">
      <c r="A18" s="69" t="s">
        <v>32</v>
      </c>
      <c r="B18" s="66"/>
      <c r="C18" s="136">
        <f aca="true" t="shared" si="2" ref="C18:L18">SUM(C6:C17)</f>
        <v>49.35299999999999</v>
      </c>
      <c r="D18" s="136">
        <f t="shared" si="2"/>
        <v>1163.41472</v>
      </c>
      <c r="E18" s="136">
        <f t="shared" si="2"/>
        <v>0</v>
      </c>
      <c r="F18" s="136">
        <f t="shared" si="2"/>
        <v>108.5766</v>
      </c>
      <c r="G18" s="136">
        <f t="shared" si="2"/>
        <v>1179.42435</v>
      </c>
      <c r="H18" s="136">
        <f t="shared" si="2"/>
        <v>2221.3263699999998</v>
      </c>
      <c r="I18" s="136">
        <f t="shared" si="2"/>
        <v>147.72998</v>
      </c>
      <c r="J18" s="136">
        <f t="shared" si="2"/>
        <v>147.72998</v>
      </c>
      <c r="K18" s="136">
        <f t="shared" si="2"/>
        <v>1172.62728</v>
      </c>
      <c r="L18" s="136">
        <f t="shared" si="2"/>
        <v>390.2177200000009</v>
      </c>
      <c r="M18" s="64"/>
      <c r="N18" s="137">
        <f>SUM(N6:N17)</f>
        <v>6580.4000000000015</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L14" sqref="L14"/>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2017 through April 2018)</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28">
        <f>'Single Family'!$C$6</f>
        <v>42856</v>
      </c>
      <c r="B6" s="66" t="s">
        <v>67</v>
      </c>
      <c r="C6" s="105">
        <f>'Single Family'!C74</f>
        <v>905.35</v>
      </c>
      <c r="D6" s="106">
        <f>'Single Family'!C76</f>
        <v>-15.91</v>
      </c>
      <c r="E6" s="106">
        <f>'Single Family'!C77</f>
        <v>0</v>
      </c>
      <c r="F6" s="107">
        <f>'Single Family'!C72</f>
        <v>71.99</v>
      </c>
      <c r="G6" s="105">
        <f>'Single Family'!C69</f>
        <v>65.3</v>
      </c>
      <c r="H6" s="105">
        <f>'Single Family'!C79</f>
        <v>60.14</v>
      </c>
      <c r="I6" s="105">
        <f>'Single Family'!C73</f>
        <v>92.51</v>
      </c>
      <c r="J6" s="105">
        <f>'Single Family'!C73</f>
        <v>92.51</v>
      </c>
      <c r="K6" s="105">
        <f>'Single Family'!C70</f>
        <v>132.68</v>
      </c>
      <c r="L6" s="106">
        <f>'Single Family'!C78</f>
        <v>-134.59</v>
      </c>
      <c r="M6" s="70"/>
    </row>
    <row r="7" spans="1:13" ht="15.75" customHeight="1">
      <c r="A7" s="65">
        <f>+'Commodity Tonnages'!A7</f>
        <v>42916</v>
      </c>
      <c r="B7" s="66" t="s">
        <v>68</v>
      </c>
      <c r="C7" s="105">
        <f>'Single Family'!D74</f>
        <v>894.34</v>
      </c>
      <c r="D7" s="106">
        <f>'Single Family'!D76</f>
        <v>-6.4</v>
      </c>
      <c r="E7" s="106">
        <f>'Single Family'!D77</f>
        <v>0</v>
      </c>
      <c r="F7" s="107">
        <f>'Single Family'!D72</f>
        <v>69.08</v>
      </c>
      <c r="G7" s="105">
        <f>'Single Family'!D69</f>
        <v>85.06</v>
      </c>
      <c r="H7" s="105">
        <f>'Single Family'!D79</f>
        <v>78.88</v>
      </c>
      <c r="I7" s="105">
        <f>'Single Family'!D73</f>
        <v>70.6</v>
      </c>
      <c r="J7" s="105">
        <f>'Single Family'!D73</f>
        <v>70.6</v>
      </c>
      <c r="K7" s="105">
        <f>'Single Family'!D70</f>
        <v>159.52</v>
      </c>
      <c r="L7" s="106">
        <f>'Single Family'!D78</f>
        <v>-134.59</v>
      </c>
      <c r="M7" s="70"/>
    </row>
    <row r="8" spans="1:13" ht="15.75" customHeight="1">
      <c r="A8" s="65">
        <f>+'Commodity Tonnages'!A8</f>
        <v>42947</v>
      </c>
      <c r="B8" s="66" t="s">
        <v>69</v>
      </c>
      <c r="C8" s="105">
        <f>'Single Family'!E74</f>
        <v>871.1</v>
      </c>
      <c r="D8" s="106">
        <f>'Single Family'!E76</f>
        <v>-6.61</v>
      </c>
      <c r="E8" s="106">
        <f>'Single Family'!E77</f>
        <v>0</v>
      </c>
      <c r="F8" s="107">
        <f>'Single Family'!E72</f>
        <v>67.63</v>
      </c>
      <c r="G8" s="105">
        <f>'Single Family'!E69</f>
        <v>98.56</v>
      </c>
      <c r="H8" s="105">
        <f>'Single Family'!E79</f>
        <v>93.44</v>
      </c>
      <c r="I8" s="105">
        <f>'Single Family'!E73</f>
        <v>62.55</v>
      </c>
      <c r="J8" s="105">
        <f>'Single Family'!E73</f>
        <v>62.55</v>
      </c>
      <c r="K8" s="105">
        <f>'Single Family'!E70</f>
        <v>163.29</v>
      </c>
      <c r="L8" s="106">
        <f>'Single Family'!E78</f>
        <v>-134.59</v>
      </c>
      <c r="M8" s="67"/>
    </row>
    <row r="9" spans="1:13" ht="15.75" customHeight="1">
      <c r="A9" s="65">
        <f>+'Commodity Tonnages'!A9</f>
        <v>42978</v>
      </c>
      <c r="B9" s="66" t="s">
        <v>70</v>
      </c>
      <c r="C9" s="105">
        <f>'Single Family'!F74</f>
        <v>905.36</v>
      </c>
      <c r="D9" s="106">
        <f>'Single Family'!F76</f>
        <v>-4.34</v>
      </c>
      <c r="E9" s="106">
        <f>'Single Family'!F77</f>
        <v>0</v>
      </c>
      <c r="F9" s="107">
        <f>'Single Family'!F72</f>
        <v>78.11</v>
      </c>
      <c r="G9" s="105">
        <f>'Single Family'!F69</f>
        <v>81.63</v>
      </c>
      <c r="H9" s="105">
        <f>'Single Family'!F79</f>
        <v>77.21</v>
      </c>
      <c r="I9" s="105">
        <f>'Single Family'!F73</f>
        <v>83.03</v>
      </c>
      <c r="J9" s="105">
        <f>'Single Family'!F73</f>
        <v>83.03</v>
      </c>
      <c r="K9" s="105">
        <f>'Single Family'!F70</f>
        <v>145.73</v>
      </c>
      <c r="L9" s="106">
        <f>'Single Family'!F78</f>
        <v>-134.59</v>
      </c>
      <c r="M9" s="67"/>
    </row>
    <row r="10" spans="1:13" ht="15.75" customHeight="1">
      <c r="A10" s="65">
        <f>+'Commodity Tonnages'!A10</f>
        <v>43008</v>
      </c>
      <c r="B10" s="66" t="s">
        <v>71</v>
      </c>
      <c r="C10" s="105">
        <f>'Single Family'!G74</f>
        <v>953.11</v>
      </c>
      <c r="D10" s="106">
        <f>'Single Family'!G76</f>
        <v>-5.61</v>
      </c>
      <c r="E10" s="106">
        <f>'Single Family'!G77</f>
        <v>0</v>
      </c>
      <c r="F10" s="107">
        <f>'Single Family'!G72</f>
        <v>86.53</v>
      </c>
      <c r="G10" s="105">
        <f>'Single Family'!G69</f>
        <v>63.02</v>
      </c>
      <c r="H10" s="105">
        <f>'Single Family'!G79</f>
        <v>57.85</v>
      </c>
      <c r="I10" s="105">
        <f>'Single Family'!G73</f>
        <v>72.1</v>
      </c>
      <c r="J10" s="105">
        <f>'Single Family'!G73</f>
        <v>72.1</v>
      </c>
      <c r="K10" s="105">
        <f>'Single Family'!G70</f>
        <v>110.68</v>
      </c>
      <c r="L10" s="106">
        <f>'Single Family'!G78</f>
        <v>-134.59</v>
      </c>
      <c r="M10" s="67"/>
    </row>
    <row r="11" spans="1:13" ht="15.75" customHeight="1">
      <c r="A11" s="65">
        <f>+'Commodity Tonnages'!A11</f>
        <v>43039</v>
      </c>
      <c r="B11" s="66" t="s">
        <v>72</v>
      </c>
      <c r="C11" s="105">
        <f>'Single Family'!H74</f>
        <v>980.71</v>
      </c>
      <c r="D11" s="106">
        <f>'Single Family'!H76</f>
        <v>-8.78</v>
      </c>
      <c r="E11" s="106">
        <f>'Single Family'!H77</f>
        <v>0</v>
      </c>
      <c r="F11" s="107">
        <f>'Single Family'!H72</f>
        <v>76.06</v>
      </c>
      <c r="G11" s="105">
        <f>'Single Family'!H69</f>
        <v>60.33</v>
      </c>
      <c r="H11" s="105">
        <f>'Single Family'!H79</f>
        <v>55.22</v>
      </c>
      <c r="I11" s="105">
        <f>'Single Family'!H73</f>
        <v>48.29</v>
      </c>
      <c r="J11" s="105">
        <f>'Single Family'!H73</f>
        <v>48.29</v>
      </c>
      <c r="K11" s="105">
        <f>'Single Family'!H70</f>
        <v>81.77</v>
      </c>
      <c r="L11" s="106">
        <f>'Single Family'!H78</f>
        <v>-134.59</v>
      </c>
      <c r="M11" s="67"/>
    </row>
    <row r="12" spans="1:13" ht="15.75" customHeight="1">
      <c r="A12" s="65">
        <f>+'Commodity Tonnages'!A12</f>
        <v>43069</v>
      </c>
      <c r="B12" s="66" t="s">
        <v>73</v>
      </c>
      <c r="C12" s="105">
        <f>'Single Family'!I74</f>
        <v>971.66</v>
      </c>
      <c r="D12" s="106">
        <f>'Single Family'!I76</f>
        <v>-2.51</v>
      </c>
      <c r="E12" s="106">
        <f>'Single Family'!I77</f>
        <v>0</v>
      </c>
      <c r="F12" s="107">
        <f>'Single Family'!I72</f>
        <v>78.08</v>
      </c>
      <c r="G12" s="105">
        <f>'Single Family'!I69</f>
        <v>65.93</v>
      </c>
      <c r="H12" s="105">
        <f>'Single Family'!I79</f>
        <v>52.85</v>
      </c>
      <c r="I12" s="105">
        <f>'Single Family'!I73</f>
        <v>50.05</v>
      </c>
      <c r="J12" s="105">
        <f>'Single Family'!I73</f>
        <v>50.05</v>
      </c>
      <c r="K12" s="105">
        <f>'Single Family'!I70</f>
        <v>114.18</v>
      </c>
      <c r="L12" s="106">
        <f>'Single Family'!I78</f>
        <v>-134.59</v>
      </c>
      <c r="M12" s="67"/>
    </row>
    <row r="13" spans="1:13" ht="15.75" customHeight="1">
      <c r="A13" s="65">
        <f>+'Commodity Tonnages'!A13</f>
        <v>43100</v>
      </c>
      <c r="B13" s="66" t="s">
        <v>74</v>
      </c>
      <c r="C13" s="105">
        <f>'Single Family'!J74</f>
        <v>973.36</v>
      </c>
      <c r="D13" s="106">
        <f>'Single Family'!J76</f>
        <v>-9.46</v>
      </c>
      <c r="E13" s="106">
        <f>'Single Family'!J77</f>
        <v>0</v>
      </c>
      <c r="F13" s="107">
        <f>'Single Family'!J72</f>
        <v>88.61</v>
      </c>
      <c r="G13" s="105">
        <f>'Single Family'!J69</f>
        <v>63.69</v>
      </c>
      <c r="H13" s="105">
        <f>'Single Family'!J79</f>
        <v>49.88</v>
      </c>
      <c r="I13" s="105">
        <f>'Single Family'!J73</f>
        <v>51.67</v>
      </c>
      <c r="J13" s="105">
        <f>'Single Family'!J73</f>
        <v>51.67</v>
      </c>
      <c r="K13" s="105">
        <f>'Single Family'!J70</f>
        <v>107.57</v>
      </c>
      <c r="L13" s="106">
        <f>'Single Family'!J78</f>
        <v>-134.59</v>
      </c>
      <c r="M13" s="67"/>
    </row>
    <row r="14" spans="1:13" ht="15.75" customHeight="1">
      <c r="A14" s="65">
        <f>+'Commodity Tonnages'!A14</f>
        <v>43131</v>
      </c>
      <c r="B14" s="66" t="s">
        <v>75</v>
      </c>
      <c r="C14" s="105">
        <f>'Single Family'!K74</f>
        <v>1013.02</v>
      </c>
      <c r="D14" s="106">
        <f>'Single Family'!K76</f>
        <v>-9.98</v>
      </c>
      <c r="E14" s="106">
        <f>'Single Family'!K77</f>
        <v>0</v>
      </c>
      <c r="F14" s="107">
        <f>'Single Family'!K72</f>
        <v>102.96</v>
      </c>
      <c r="G14" s="105">
        <f>'Single Family'!K69</f>
        <v>39.8</v>
      </c>
      <c r="H14" s="105">
        <f>'Single Family'!K79</f>
        <v>40.17</v>
      </c>
      <c r="I14" s="105">
        <f>'Single Family'!K73</f>
        <v>53.44</v>
      </c>
      <c r="J14" s="105">
        <f>'Single Family'!K73</f>
        <v>53.44</v>
      </c>
      <c r="K14" s="105">
        <f>'Single Family'!K70</f>
        <v>105.09</v>
      </c>
      <c r="L14" s="106">
        <f>'Single Family'!K78</f>
        <v>-134.59</v>
      </c>
      <c r="M14" s="67"/>
    </row>
    <row r="15" spans="1:13" ht="15.75" customHeight="1">
      <c r="A15" s="65">
        <f>+'Commodity Tonnages'!A15</f>
        <v>43159</v>
      </c>
      <c r="B15" s="66" t="s">
        <v>76</v>
      </c>
      <c r="C15" s="105">
        <f>'Single Family'!L74</f>
        <v>988.19</v>
      </c>
      <c r="D15" s="106">
        <f>'Single Family'!L76</f>
        <v>-8.01</v>
      </c>
      <c r="E15" s="106">
        <f>'Single Family'!L77</f>
        <v>0</v>
      </c>
      <c r="F15" s="107">
        <f>'Single Family'!L72</f>
        <v>92.72</v>
      </c>
      <c r="G15" s="105">
        <f>'Single Family'!L69</f>
        <v>-18.13</v>
      </c>
      <c r="H15" s="105">
        <f>'Single Family'!L79</f>
        <v>-21.81</v>
      </c>
      <c r="I15" s="105">
        <f>'Single Family'!L73</f>
        <v>85.33</v>
      </c>
      <c r="J15" s="105">
        <f>'Single Family'!L73</f>
        <v>85.33</v>
      </c>
      <c r="K15" s="105">
        <f>'Single Family'!L70</f>
        <v>62.76</v>
      </c>
      <c r="L15" s="106">
        <f>'Single Family'!L78</f>
        <v>-134.59</v>
      </c>
      <c r="M15" s="67"/>
    </row>
    <row r="16" spans="1:13" ht="15.75" customHeight="1">
      <c r="A16" s="65">
        <f>+'Commodity Tonnages'!A16</f>
        <v>43190</v>
      </c>
      <c r="B16" s="66" t="s">
        <v>77</v>
      </c>
      <c r="C16" s="105">
        <f>'Single Family'!M74</f>
        <v>977.91</v>
      </c>
      <c r="D16" s="106">
        <f>'Single Family'!M76</f>
        <v>-9</v>
      </c>
      <c r="E16" s="106">
        <f>'Single Family'!M77</f>
        <v>0</v>
      </c>
      <c r="F16" s="107">
        <f>'Single Family'!M72</f>
        <v>106.7</v>
      </c>
      <c r="G16" s="105">
        <f>'Single Family'!M69</f>
        <v>-16.23</v>
      </c>
      <c r="H16" s="105">
        <f>'Single Family'!M79</f>
        <v>-21.39</v>
      </c>
      <c r="I16" s="105">
        <f>'Single Family'!M73</f>
        <v>105.24</v>
      </c>
      <c r="J16" s="105">
        <f>'Single Family'!M73</f>
        <v>105.24</v>
      </c>
      <c r="K16" s="105">
        <f>'Single Family'!M70</f>
        <v>56.69</v>
      </c>
      <c r="L16" s="106">
        <f>'Single Family'!M78</f>
        <v>-134.59</v>
      </c>
      <c r="M16" s="67"/>
    </row>
    <row r="17" spans="1:13" ht="15.75" customHeight="1">
      <c r="A17" s="65">
        <f>+'Commodity Tonnages'!A17</f>
        <v>43220</v>
      </c>
      <c r="B17" s="66" t="s">
        <v>78</v>
      </c>
      <c r="C17" s="105">
        <f>'Single Family'!N74</f>
        <v>989.87</v>
      </c>
      <c r="D17" s="106">
        <f>'Single Family'!N76</f>
        <v>-10.23</v>
      </c>
      <c r="E17" s="106">
        <f>'Single Family'!N77</f>
        <v>0</v>
      </c>
      <c r="F17" s="107">
        <f>'Single Family'!N72</f>
        <v>109.51</v>
      </c>
      <c r="G17" s="105">
        <f>'Single Family'!N69</f>
        <v>0</v>
      </c>
      <c r="H17" s="105">
        <f>'Single Family'!N79</f>
        <v>-20.59</v>
      </c>
      <c r="I17" s="105">
        <f>'Single Family'!N73</f>
        <v>107.91</v>
      </c>
      <c r="J17" s="105">
        <f>'Single Family'!N73</f>
        <v>107.91</v>
      </c>
      <c r="K17" s="105">
        <f>'Single Family'!N70</f>
        <v>57.61</v>
      </c>
      <c r="L17" s="106">
        <f>'Single Family'!N78</f>
        <v>-134.59</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73" activePane="bottomRight" state="frozen"/>
      <selection pane="topLeft" activeCell="I58" sqref="I58"/>
      <selection pane="topRight" activeCell="I58" sqref="I58"/>
      <selection pane="bottomLeft" activeCell="I58" sqref="I58"/>
      <selection pane="bottomRight" activeCell="P27" sqref="P27"/>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9" t="s">
        <v>98</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6">
        <v>42856</v>
      </c>
      <c r="D6" s="126">
        <v>42887</v>
      </c>
      <c r="E6" s="126">
        <v>42917</v>
      </c>
      <c r="F6" s="126">
        <v>42948</v>
      </c>
      <c r="G6" s="126">
        <v>42979</v>
      </c>
      <c r="H6" s="126">
        <v>43009</v>
      </c>
      <c r="I6" s="126">
        <v>43040</v>
      </c>
      <c r="J6" s="126">
        <v>43070</v>
      </c>
      <c r="K6" s="126">
        <v>43101</v>
      </c>
      <c r="L6" s="126">
        <v>43132</v>
      </c>
      <c r="M6" s="126">
        <v>43160</v>
      </c>
      <c r="N6" s="126">
        <v>43191</v>
      </c>
    </row>
    <row r="7" spans="1:14" s="67" customFormat="1" ht="11.25">
      <c r="A7" s="87" t="s">
        <v>47</v>
      </c>
      <c r="C7" s="155">
        <v>561.04</v>
      </c>
      <c r="D7" s="155">
        <v>546.63</v>
      </c>
      <c r="E7" s="155">
        <v>523.13</v>
      </c>
      <c r="F7" s="155">
        <v>575.29</v>
      </c>
      <c r="G7" s="155">
        <v>514.18</v>
      </c>
      <c r="H7" s="155">
        <v>533.86</v>
      </c>
      <c r="I7" s="155">
        <v>576.34</v>
      </c>
      <c r="J7" s="155">
        <v>581.05</v>
      </c>
      <c r="K7" s="155">
        <v>628.53</v>
      </c>
      <c r="L7" s="155">
        <v>481.22</v>
      </c>
      <c r="M7" s="155">
        <v>527.06</v>
      </c>
      <c r="N7" s="155">
        <v>532.07</v>
      </c>
    </row>
    <row r="8" spans="1:14" ht="11.25">
      <c r="A8" s="66" t="s">
        <v>48</v>
      </c>
      <c r="C8" s="88">
        <v>0</v>
      </c>
      <c r="D8" s="88">
        <v>0</v>
      </c>
      <c r="E8" s="88">
        <v>0</v>
      </c>
      <c r="F8" s="88">
        <v>0</v>
      </c>
      <c r="G8" s="88">
        <v>0</v>
      </c>
      <c r="H8" s="88">
        <v>0</v>
      </c>
      <c r="I8" s="88">
        <v>0</v>
      </c>
      <c r="J8" s="88">
        <v>0</v>
      </c>
      <c r="K8" s="88">
        <v>0</v>
      </c>
      <c r="L8" s="88">
        <v>0</v>
      </c>
      <c r="M8" s="88">
        <v>0</v>
      </c>
      <c r="N8" s="88">
        <v>0</v>
      </c>
    </row>
    <row r="9" spans="1:14" ht="11.25">
      <c r="A9" s="66" t="s">
        <v>49</v>
      </c>
      <c r="C9" s="89">
        <f aca="true" t="shared" si="0" ref="C9:N9">+C7*C8</f>
        <v>0</v>
      </c>
      <c r="D9" s="89">
        <f t="shared" si="0"/>
        <v>0</v>
      </c>
      <c r="E9" s="89">
        <f t="shared" si="0"/>
        <v>0</v>
      </c>
      <c r="F9" s="89">
        <f t="shared" si="0"/>
        <v>0</v>
      </c>
      <c r="G9" s="89">
        <f t="shared" si="0"/>
        <v>0</v>
      </c>
      <c r="H9" s="89">
        <f t="shared" si="0"/>
        <v>0</v>
      </c>
      <c r="I9" s="89">
        <f t="shared" si="0"/>
        <v>0</v>
      </c>
      <c r="J9" s="89">
        <f t="shared" si="0"/>
        <v>0</v>
      </c>
      <c r="K9" s="89">
        <f t="shared" si="0"/>
        <v>0</v>
      </c>
      <c r="L9" s="89">
        <f t="shared" si="0"/>
        <v>0</v>
      </c>
      <c r="M9" s="89">
        <f t="shared" si="0"/>
        <v>0</v>
      </c>
      <c r="N9" s="89">
        <f t="shared" si="0"/>
        <v>0</v>
      </c>
    </row>
    <row r="10" spans="1:14" ht="11.25">
      <c r="A10" s="83" t="s">
        <v>50</v>
      </c>
      <c r="C10" s="90">
        <f aca="true" t="shared" si="1" ref="C10:N10">+C7-C9</f>
        <v>561.04</v>
      </c>
      <c r="D10" s="90">
        <f t="shared" si="1"/>
        <v>546.63</v>
      </c>
      <c r="E10" s="90">
        <f t="shared" si="1"/>
        <v>523.13</v>
      </c>
      <c r="F10" s="90">
        <f t="shared" si="1"/>
        <v>575.29</v>
      </c>
      <c r="G10" s="90">
        <f t="shared" si="1"/>
        <v>514.18</v>
      </c>
      <c r="H10" s="90">
        <f t="shared" si="1"/>
        <v>533.86</v>
      </c>
      <c r="I10" s="90">
        <f t="shared" si="1"/>
        <v>576.34</v>
      </c>
      <c r="J10" s="90">
        <f t="shared" si="1"/>
        <v>581.05</v>
      </c>
      <c r="K10" s="90">
        <f t="shared" si="1"/>
        <v>628.53</v>
      </c>
      <c r="L10" s="90">
        <f t="shared" si="1"/>
        <v>481.22</v>
      </c>
      <c r="M10" s="90">
        <f t="shared" si="1"/>
        <v>527.06</v>
      </c>
      <c r="N10" s="90">
        <f t="shared" si="1"/>
        <v>532.07</v>
      </c>
    </row>
    <row r="11" ht="11.25"/>
    <row r="12" ht="11.25">
      <c r="A12" s="83" t="s">
        <v>51</v>
      </c>
    </row>
    <row r="13" spans="2:14" s="91" customFormat="1" ht="11.25">
      <c r="B13" s="91" t="s">
        <v>24</v>
      </c>
      <c r="C13" s="124">
        <v>0.195</v>
      </c>
      <c r="D13" s="124">
        <f>+C13</f>
        <v>0.195</v>
      </c>
      <c r="E13" s="124">
        <f aca="true" t="shared" si="2" ref="E13:M13">+D13</f>
        <v>0.195</v>
      </c>
      <c r="F13" s="124">
        <f t="shared" si="2"/>
        <v>0.195</v>
      </c>
      <c r="G13" s="124">
        <f t="shared" si="2"/>
        <v>0.195</v>
      </c>
      <c r="H13" s="124">
        <f t="shared" si="2"/>
        <v>0.195</v>
      </c>
      <c r="I13" s="124">
        <f t="shared" si="2"/>
        <v>0.195</v>
      </c>
      <c r="J13" s="124">
        <f t="shared" si="2"/>
        <v>0.195</v>
      </c>
      <c r="K13" s="124">
        <f t="shared" si="2"/>
        <v>0.195</v>
      </c>
      <c r="L13" s="124">
        <f t="shared" si="2"/>
        <v>0.195</v>
      </c>
      <c r="M13" s="124">
        <f t="shared" si="2"/>
        <v>0.195</v>
      </c>
      <c r="N13" s="124">
        <v>0</v>
      </c>
    </row>
    <row r="14" spans="2:14" s="91" customFormat="1" ht="11.25">
      <c r="B14" s="91" t="s">
        <v>28</v>
      </c>
      <c r="C14" s="124">
        <v>0.1782</v>
      </c>
      <c r="D14" s="124">
        <f aca="true" t="shared" si="3" ref="D14:N23">+C14</f>
        <v>0.1782</v>
      </c>
      <c r="E14" s="124">
        <f t="shared" si="3"/>
        <v>0.1782</v>
      </c>
      <c r="F14" s="124">
        <f t="shared" si="3"/>
        <v>0.1782</v>
      </c>
      <c r="G14" s="124">
        <f t="shared" si="3"/>
        <v>0.1782</v>
      </c>
      <c r="H14" s="124">
        <f t="shared" si="3"/>
        <v>0.1782</v>
      </c>
      <c r="I14" s="124">
        <f t="shared" si="3"/>
        <v>0.1782</v>
      </c>
      <c r="J14" s="124">
        <f t="shared" si="3"/>
        <v>0.1782</v>
      </c>
      <c r="K14" s="124">
        <f t="shared" si="3"/>
        <v>0.1782</v>
      </c>
      <c r="L14" s="124">
        <f t="shared" si="3"/>
        <v>0.1782</v>
      </c>
      <c r="M14" s="124">
        <f t="shared" si="3"/>
        <v>0.1782</v>
      </c>
      <c r="N14" s="124">
        <f t="shared" si="3"/>
        <v>0.1782</v>
      </c>
    </row>
    <row r="15" spans="2:14" s="91" customFormat="1" ht="11.25">
      <c r="B15" s="91" t="s">
        <v>52</v>
      </c>
      <c r="C15" s="124">
        <v>0</v>
      </c>
      <c r="D15" s="124">
        <f t="shared" si="3"/>
        <v>0</v>
      </c>
      <c r="E15" s="124">
        <f t="shared" si="3"/>
        <v>0</v>
      </c>
      <c r="F15" s="124">
        <f t="shared" si="3"/>
        <v>0</v>
      </c>
      <c r="G15" s="124">
        <f t="shared" si="3"/>
        <v>0</v>
      </c>
      <c r="H15" s="124">
        <f t="shared" si="3"/>
        <v>0</v>
      </c>
      <c r="I15" s="124">
        <f t="shared" si="3"/>
        <v>0</v>
      </c>
      <c r="J15" s="124">
        <f t="shared" si="3"/>
        <v>0</v>
      </c>
      <c r="K15" s="124">
        <f t="shared" si="3"/>
        <v>0</v>
      </c>
      <c r="L15" s="124">
        <f t="shared" si="3"/>
        <v>0</v>
      </c>
      <c r="M15" s="124">
        <f t="shared" si="3"/>
        <v>0</v>
      </c>
      <c r="N15" s="124">
        <f t="shared" si="3"/>
        <v>0</v>
      </c>
    </row>
    <row r="16" spans="2:14" s="91" customFormat="1" ht="11.25">
      <c r="B16" s="91" t="s">
        <v>53</v>
      </c>
      <c r="C16" s="124">
        <v>0.0165</v>
      </c>
      <c r="D16" s="124">
        <f t="shared" si="3"/>
        <v>0.0165</v>
      </c>
      <c r="E16" s="124">
        <f t="shared" si="3"/>
        <v>0.0165</v>
      </c>
      <c r="F16" s="124">
        <f t="shared" si="3"/>
        <v>0.0165</v>
      </c>
      <c r="G16" s="124">
        <f t="shared" si="3"/>
        <v>0.0165</v>
      </c>
      <c r="H16" s="124">
        <f t="shared" si="3"/>
        <v>0.0165</v>
      </c>
      <c r="I16" s="124">
        <f t="shared" si="3"/>
        <v>0.0165</v>
      </c>
      <c r="J16" s="124">
        <f t="shared" si="3"/>
        <v>0.0165</v>
      </c>
      <c r="K16" s="124">
        <f t="shared" si="3"/>
        <v>0.0165</v>
      </c>
      <c r="L16" s="124">
        <f t="shared" si="3"/>
        <v>0.0165</v>
      </c>
      <c r="M16" s="124">
        <f t="shared" si="3"/>
        <v>0.0165</v>
      </c>
      <c r="N16" s="124">
        <f t="shared" si="3"/>
        <v>0.0165</v>
      </c>
    </row>
    <row r="17" spans="2:14" s="91" customFormat="1" ht="11.25">
      <c r="B17" s="91" t="s">
        <v>54</v>
      </c>
      <c r="C17" s="124">
        <v>0.0449</v>
      </c>
      <c r="D17" s="124">
        <f t="shared" si="3"/>
        <v>0.0449</v>
      </c>
      <c r="E17" s="124">
        <f t="shared" si="3"/>
        <v>0.0449</v>
      </c>
      <c r="F17" s="124">
        <f t="shared" si="3"/>
        <v>0.0449</v>
      </c>
      <c r="G17" s="124">
        <f t="shared" si="3"/>
        <v>0.0449</v>
      </c>
      <c r="H17" s="124">
        <f t="shared" si="3"/>
        <v>0.0449</v>
      </c>
      <c r="I17" s="124">
        <f t="shared" si="3"/>
        <v>0.0449</v>
      </c>
      <c r="J17" s="124">
        <f t="shared" si="3"/>
        <v>0.0449</v>
      </c>
      <c r="K17" s="124">
        <f t="shared" si="3"/>
        <v>0.0449</v>
      </c>
      <c r="L17" s="124">
        <f t="shared" si="3"/>
        <v>0.0449</v>
      </c>
      <c r="M17" s="124">
        <f t="shared" si="3"/>
        <v>0.0449</v>
      </c>
      <c r="N17" s="124">
        <f t="shared" si="3"/>
        <v>0.0449</v>
      </c>
    </row>
    <row r="18" spans="2:14" s="91" customFormat="1" ht="11.25">
      <c r="B18" s="91" t="s">
        <v>55</v>
      </c>
      <c r="C18" s="124">
        <v>0.0075</v>
      </c>
      <c r="D18" s="124">
        <f t="shared" si="3"/>
        <v>0.0075</v>
      </c>
      <c r="E18" s="124">
        <f t="shared" si="3"/>
        <v>0.0075</v>
      </c>
      <c r="F18" s="124">
        <f t="shared" si="3"/>
        <v>0.0075</v>
      </c>
      <c r="G18" s="124">
        <f t="shared" si="3"/>
        <v>0.0075</v>
      </c>
      <c r="H18" s="124">
        <f t="shared" si="3"/>
        <v>0.0075</v>
      </c>
      <c r="I18" s="124">
        <f t="shared" si="3"/>
        <v>0.0075</v>
      </c>
      <c r="J18" s="124">
        <f t="shared" si="3"/>
        <v>0.0075</v>
      </c>
      <c r="K18" s="124">
        <f t="shared" si="3"/>
        <v>0.0075</v>
      </c>
      <c r="L18" s="124">
        <f t="shared" si="3"/>
        <v>0.0075</v>
      </c>
      <c r="M18" s="124">
        <f t="shared" si="3"/>
        <v>0.0075</v>
      </c>
      <c r="N18" s="124">
        <f t="shared" si="3"/>
        <v>0.0075</v>
      </c>
    </row>
    <row r="19" spans="2:14" s="91" customFormat="1" ht="11.25">
      <c r="B19" s="66" t="s">
        <v>56</v>
      </c>
      <c r="C19" s="124">
        <v>0</v>
      </c>
      <c r="D19" s="124">
        <f t="shared" si="3"/>
        <v>0</v>
      </c>
      <c r="E19" s="124">
        <f t="shared" si="3"/>
        <v>0</v>
      </c>
      <c r="F19" s="124">
        <f t="shared" si="3"/>
        <v>0</v>
      </c>
      <c r="G19" s="124">
        <f t="shared" si="3"/>
        <v>0</v>
      </c>
      <c r="H19" s="124">
        <f t="shared" si="3"/>
        <v>0</v>
      </c>
      <c r="I19" s="124">
        <f t="shared" si="3"/>
        <v>0</v>
      </c>
      <c r="J19" s="124">
        <f t="shared" si="3"/>
        <v>0</v>
      </c>
      <c r="K19" s="124">
        <f t="shared" si="3"/>
        <v>0</v>
      </c>
      <c r="L19" s="124">
        <f t="shared" si="3"/>
        <v>0</v>
      </c>
      <c r="M19" s="124">
        <f t="shared" si="3"/>
        <v>0</v>
      </c>
      <c r="N19" s="124">
        <f t="shared" si="3"/>
        <v>0</v>
      </c>
    </row>
    <row r="20" spans="2:14" s="91" customFormat="1" ht="11.25">
      <c r="B20" s="66" t="s">
        <v>22</v>
      </c>
      <c r="C20" s="124">
        <v>0.1768</v>
      </c>
      <c r="D20" s="124">
        <f t="shared" si="3"/>
        <v>0.1768</v>
      </c>
      <c r="E20" s="124">
        <f t="shared" si="3"/>
        <v>0.1768</v>
      </c>
      <c r="F20" s="124">
        <f t="shared" si="3"/>
        <v>0.1768</v>
      </c>
      <c r="G20" s="124">
        <f t="shared" si="3"/>
        <v>0.1768</v>
      </c>
      <c r="H20" s="124">
        <f t="shared" si="3"/>
        <v>0.1768</v>
      </c>
      <c r="I20" s="124">
        <f t="shared" si="3"/>
        <v>0.1768</v>
      </c>
      <c r="J20" s="124">
        <f t="shared" si="3"/>
        <v>0.1768</v>
      </c>
      <c r="K20" s="124">
        <f t="shared" si="3"/>
        <v>0.1768</v>
      </c>
      <c r="L20" s="124">
        <f t="shared" si="3"/>
        <v>0.1768</v>
      </c>
      <c r="M20" s="124">
        <f t="shared" si="3"/>
        <v>0.1768</v>
      </c>
      <c r="N20" s="124">
        <f t="shared" si="3"/>
        <v>0.1768</v>
      </c>
    </row>
    <row r="21" spans="2:14" s="91" customFormat="1" ht="11.25">
      <c r="B21" s="91" t="s">
        <v>57</v>
      </c>
      <c r="C21" s="124">
        <v>0</v>
      </c>
      <c r="D21" s="124">
        <f t="shared" si="3"/>
        <v>0</v>
      </c>
      <c r="E21" s="124">
        <f t="shared" si="3"/>
        <v>0</v>
      </c>
      <c r="F21" s="124">
        <f t="shared" si="3"/>
        <v>0</v>
      </c>
      <c r="G21" s="124">
        <f t="shared" si="3"/>
        <v>0</v>
      </c>
      <c r="H21" s="124">
        <f t="shared" si="3"/>
        <v>0</v>
      </c>
      <c r="I21" s="124">
        <f t="shared" si="3"/>
        <v>0</v>
      </c>
      <c r="J21" s="124">
        <f t="shared" si="3"/>
        <v>0</v>
      </c>
      <c r="K21" s="124">
        <f t="shared" si="3"/>
        <v>0</v>
      </c>
      <c r="L21" s="124">
        <f t="shared" si="3"/>
        <v>0</v>
      </c>
      <c r="M21" s="124">
        <f t="shared" si="3"/>
        <v>0</v>
      </c>
      <c r="N21" s="124">
        <f t="shared" si="3"/>
        <v>0</v>
      </c>
    </row>
    <row r="22" spans="2:14" s="91" customFormat="1" ht="11.25">
      <c r="B22" s="91" t="s">
        <v>58</v>
      </c>
      <c r="C22" s="124">
        <v>0.05930000000000013</v>
      </c>
      <c r="D22" s="124">
        <f t="shared" si="3"/>
        <v>0.05930000000000013</v>
      </c>
      <c r="E22" s="124">
        <f t="shared" si="3"/>
        <v>0.05930000000000013</v>
      </c>
      <c r="F22" s="124">
        <f t="shared" si="3"/>
        <v>0.05930000000000013</v>
      </c>
      <c r="G22" s="124">
        <f t="shared" si="3"/>
        <v>0.05930000000000013</v>
      </c>
      <c r="H22" s="124">
        <f t="shared" si="3"/>
        <v>0.05930000000000013</v>
      </c>
      <c r="I22" s="124">
        <f t="shared" si="3"/>
        <v>0.05930000000000013</v>
      </c>
      <c r="J22" s="124">
        <f t="shared" si="3"/>
        <v>0.05930000000000013</v>
      </c>
      <c r="K22" s="124">
        <f t="shared" si="3"/>
        <v>0.05930000000000013</v>
      </c>
      <c r="L22" s="124">
        <f t="shared" si="3"/>
        <v>0.05930000000000013</v>
      </c>
      <c r="M22" s="124">
        <f t="shared" si="3"/>
        <v>0.05930000000000013</v>
      </c>
      <c r="N22" s="124">
        <f t="shared" si="3"/>
        <v>0.05930000000000013</v>
      </c>
    </row>
    <row r="23" spans="2:14" s="91" customFormat="1" ht="11.25">
      <c r="B23" s="91" t="s">
        <v>59</v>
      </c>
      <c r="C23" s="125">
        <v>0.3218</v>
      </c>
      <c r="D23" s="124">
        <f t="shared" si="3"/>
        <v>0.3218</v>
      </c>
      <c r="E23" s="124">
        <f t="shared" si="3"/>
        <v>0.3218</v>
      </c>
      <c r="F23" s="124">
        <f t="shared" si="3"/>
        <v>0.3218</v>
      </c>
      <c r="G23" s="124">
        <f t="shared" si="3"/>
        <v>0.3218</v>
      </c>
      <c r="H23" s="124">
        <f t="shared" si="3"/>
        <v>0.3218</v>
      </c>
      <c r="I23" s="124">
        <f t="shared" si="3"/>
        <v>0.3218</v>
      </c>
      <c r="J23" s="124">
        <f t="shared" si="3"/>
        <v>0.3218</v>
      </c>
      <c r="K23" s="124">
        <f t="shared" si="3"/>
        <v>0.3218</v>
      </c>
      <c r="L23" s="124">
        <f t="shared" si="3"/>
        <v>0.3218</v>
      </c>
      <c r="M23" s="124">
        <f t="shared" si="3"/>
        <v>0.3218</v>
      </c>
      <c r="N23" s="124">
        <v>0.5168</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60</v>
      </c>
    </row>
    <row r="27" spans="2:14" ht="11.25">
      <c r="B27" s="66" t="s">
        <v>24</v>
      </c>
      <c r="C27" s="75">
        <f aca="true" t="shared" si="4" ref="C27:M27">+C$10*C13</f>
        <v>109.4028</v>
      </c>
      <c r="D27" s="75">
        <f t="shared" si="4"/>
        <v>106.59285</v>
      </c>
      <c r="E27" s="75">
        <f t="shared" si="4"/>
        <v>102.01035</v>
      </c>
      <c r="F27" s="75">
        <f t="shared" si="4"/>
        <v>112.18155</v>
      </c>
      <c r="G27" s="75">
        <f t="shared" si="4"/>
        <v>100.26509999999999</v>
      </c>
      <c r="H27" s="75">
        <f t="shared" si="4"/>
        <v>104.10270000000001</v>
      </c>
      <c r="I27" s="75">
        <f t="shared" si="4"/>
        <v>112.3863</v>
      </c>
      <c r="J27" s="75">
        <f t="shared" si="4"/>
        <v>113.30475</v>
      </c>
      <c r="K27" s="75">
        <f t="shared" si="4"/>
        <v>122.56335</v>
      </c>
      <c r="L27" s="75">
        <f t="shared" si="4"/>
        <v>93.8379</v>
      </c>
      <c r="M27" s="75">
        <f t="shared" si="4"/>
        <v>102.77669999999999</v>
      </c>
      <c r="N27" s="75">
        <f>+N$10*N13</f>
        <v>0</v>
      </c>
    </row>
    <row r="28" spans="2:14" ht="11.25">
      <c r="B28" s="66" t="s">
        <v>28</v>
      </c>
      <c r="C28" s="75">
        <f aca="true" t="shared" si="5" ref="C28:M28">+C$10*C14</f>
        <v>99.97732799999999</v>
      </c>
      <c r="D28" s="75">
        <f t="shared" si="5"/>
        <v>97.409466</v>
      </c>
      <c r="E28" s="75">
        <f>+E$10*E14</f>
        <v>93.221766</v>
      </c>
      <c r="F28" s="75">
        <f t="shared" si="5"/>
        <v>102.516678</v>
      </c>
      <c r="G28" s="75">
        <f t="shared" si="5"/>
        <v>91.626876</v>
      </c>
      <c r="H28" s="75">
        <f t="shared" si="5"/>
        <v>95.133852</v>
      </c>
      <c r="I28" s="75">
        <f t="shared" si="5"/>
        <v>102.703788</v>
      </c>
      <c r="J28" s="75">
        <f t="shared" si="5"/>
        <v>103.54310999999998</v>
      </c>
      <c r="K28" s="75">
        <f t="shared" si="5"/>
        <v>112.00404599999999</v>
      </c>
      <c r="L28" s="75">
        <f t="shared" si="5"/>
        <v>85.753404</v>
      </c>
      <c r="M28" s="75">
        <f t="shared" si="5"/>
        <v>93.92209199999999</v>
      </c>
      <c r="N28" s="75">
        <f>+N$10*N14</f>
        <v>94.814874</v>
      </c>
    </row>
    <row r="29" spans="2:14" ht="11.25">
      <c r="B29" s="66" t="s">
        <v>52</v>
      </c>
      <c r="C29" s="75">
        <f aca="true" t="shared" si="6" ref="C29:N29">+C$10*C15</f>
        <v>0</v>
      </c>
      <c r="D29" s="75">
        <f t="shared" si="6"/>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4" ht="11.25">
      <c r="B30" s="66" t="s">
        <v>53</v>
      </c>
      <c r="C30" s="75">
        <f aca="true" t="shared" si="7" ref="C30:N30">+C$10*C16</f>
        <v>9.25716</v>
      </c>
      <c r="D30" s="75">
        <f t="shared" si="7"/>
        <v>9.019395000000001</v>
      </c>
      <c r="E30" s="75">
        <f t="shared" si="7"/>
        <v>8.631645</v>
      </c>
      <c r="F30" s="75">
        <f t="shared" si="7"/>
        <v>9.492284999999999</v>
      </c>
      <c r="G30" s="75">
        <f t="shared" si="7"/>
        <v>8.48397</v>
      </c>
      <c r="H30" s="75">
        <f t="shared" si="7"/>
        <v>8.80869</v>
      </c>
      <c r="I30" s="75">
        <f t="shared" si="7"/>
        <v>9.50961</v>
      </c>
      <c r="J30" s="75">
        <f t="shared" si="7"/>
        <v>9.587325</v>
      </c>
      <c r="K30" s="75">
        <f t="shared" si="7"/>
        <v>10.370745</v>
      </c>
      <c r="L30" s="75">
        <f t="shared" si="7"/>
        <v>7.940130000000001</v>
      </c>
      <c r="M30" s="75">
        <f t="shared" si="7"/>
        <v>8.696489999999999</v>
      </c>
      <c r="N30" s="75">
        <f t="shared" si="7"/>
        <v>8.779155000000001</v>
      </c>
    </row>
    <row r="31" spans="2:14" ht="11.25">
      <c r="B31" s="66" t="s">
        <v>54</v>
      </c>
      <c r="C31" s="75">
        <f aca="true" t="shared" si="8" ref="C31:N31">+C$10*C17</f>
        <v>25.190696</v>
      </c>
      <c r="D31" s="75">
        <f t="shared" si="8"/>
        <v>24.543687000000002</v>
      </c>
      <c r="E31" s="75">
        <f t="shared" si="8"/>
        <v>23.488537</v>
      </c>
      <c r="F31" s="75">
        <f t="shared" si="8"/>
        <v>25.830521</v>
      </c>
      <c r="G31" s="75">
        <f t="shared" si="8"/>
        <v>23.086682</v>
      </c>
      <c r="H31" s="75">
        <f t="shared" si="8"/>
        <v>23.970314000000002</v>
      </c>
      <c r="I31" s="75">
        <f t="shared" si="8"/>
        <v>25.877666</v>
      </c>
      <c r="J31" s="75">
        <f t="shared" si="8"/>
        <v>26.089145</v>
      </c>
      <c r="K31" s="75">
        <f t="shared" si="8"/>
        <v>28.220997</v>
      </c>
      <c r="L31" s="75">
        <f t="shared" si="8"/>
        <v>21.606778000000002</v>
      </c>
      <c r="M31" s="75">
        <f t="shared" si="8"/>
        <v>23.664994</v>
      </c>
      <c r="N31" s="75">
        <f t="shared" si="8"/>
        <v>23.889943000000002</v>
      </c>
    </row>
    <row r="32" spans="2:14" ht="11.25">
      <c r="B32" s="66" t="s">
        <v>55</v>
      </c>
      <c r="C32" s="75">
        <f aca="true" t="shared" si="9" ref="C32:N32">+C$10*C18</f>
        <v>4.2078</v>
      </c>
      <c r="D32" s="75">
        <f t="shared" si="9"/>
        <v>4.099724999999999</v>
      </c>
      <c r="E32" s="75">
        <f t="shared" si="9"/>
        <v>3.923475</v>
      </c>
      <c r="F32" s="75">
        <f t="shared" si="9"/>
        <v>4.314674999999999</v>
      </c>
      <c r="G32" s="75">
        <f t="shared" si="9"/>
        <v>3.8563499999999995</v>
      </c>
      <c r="H32" s="75">
        <f t="shared" si="9"/>
        <v>4.00395</v>
      </c>
      <c r="I32" s="75">
        <f t="shared" si="9"/>
        <v>4.32255</v>
      </c>
      <c r="J32" s="75">
        <f t="shared" si="9"/>
        <v>4.357874999999999</v>
      </c>
      <c r="K32" s="75">
        <f t="shared" si="9"/>
        <v>4.713975</v>
      </c>
      <c r="L32" s="75">
        <f t="shared" si="9"/>
        <v>3.60915</v>
      </c>
      <c r="M32" s="75">
        <f t="shared" si="9"/>
        <v>3.9529499999999995</v>
      </c>
      <c r="N32" s="75">
        <f t="shared" si="9"/>
        <v>3.9905250000000003</v>
      </c>
    </row>
    <row r="33" spans="2:14" ht="11.25">
      <c r="B33" s="66" t="s">
        <v>56</v>
      </c>
      <c r="C33" s="75">
        <f aca="true" t="shared" si="10" ref="C33:N33">+C$10*C19</f>
        <v>0</v>
      </c>
      <c r="D33" s="75">
        <f t="shared" si="10"/>
        <v>0</v>
      </c>
      <c r="E33" s="75">
        <f t="shared" si="10"/>
        <v>0</v>
      </c>
      <c r="F33" s="75">
        <f t="shared" si="10"/>
        <v>0</v>
      </c>
      <c r="G33" s="75">
        <f t="shared" si="10"/>
        <v>0</v>
      </c>
      <c r="H33" s="75">
        <f t="shared" si="10"/>
        <v>0</v>
      </c>
      <c r="I33" s="75">
        <f t="shared" si="10"/>
        <v>0</v>
      </c>
      <c r="J33" s="75">
        <f t="shared" si="10"/>
        <v>0</v>
      </c>
      <c r="K33" s="75">
        <f t="shared" si="10"/>
        <v>0</v>
      </c>
      <c r="L33" s="75">
        <f t="shared" si="10"/>
        <v>0</v>
      </c>
      <c r="M33" s="75">
        <f t="shared" si="10"/>
        <v>0</v>
      </c>
      <c r="N33" s="75">
        <f t="shared" si="10"/>
        <v>0</v>
      </c>
    </row>
    <row r="34" spans="2:14" ht="11.25">
      <c r="B34" s="66" t="s">
        <v>22</v>
      </c>
      <c r="C34" s="75">
        <f aca="true" t="shared" si="11" ref="C34:N34">+C$10*C20</f>
        <v>99.191872</v>
      </c>
      <c r="D34" s="75">
        <f t="shared" si="11"/>
        <v>96.64418400000001</v>
      </c>
      <c r="E34" s="75">
        <f t="shared" si="11"/>
        <v>92.489384</v>
      </c>
      <c r="F34" s="75">
        <f t="shared" si="11"/>
        <v>101.711272</v>
      </c>
      <c r="G34" s="75">
        <f t="shared" si="11"/>
        <v>90.90702399999999</v>
      </c>
      <c r="H34" s="75">
        <f t="shared" si="11"/>
        <v>94.38644800000002</v>
      </c>
      <c r="I34" s="75">
        <f t="shared" si="11"/>
        <v>101.89691200000001</v>
      </c>
      <c r="J34" s="75">
        <f t="shared" si="11"/>
        <v>102.72964</v>
      </c>
      <c r="K34" s="75">
        <f t="shared" si="11"/>
        <v>111.124104</v>
      </c>
      <c r="L34" s="75">
        <f t="shared" si="11"/>
        <v>85.07969600000001</v>
      </c>
      <c r="M34" s="75">
        <f t="shared" si="11"/>
        <v>93.184208</v>
      </c>
      <c r="N34" s="75">
        <f t="shared" si="11"/>
        <v>94.06997600000001</v>
      </c>
    </row>
    <row r="35" spans="2:14" ht="11.25">
      <c r="B35" s="66" t="s">
        <v>57</v>
      </c>
      <c r="C35" s="75">
        <f aca="true" t="shared" si="12" ref="C35:N35">+C$10*C21</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pans="2:14" ht="11.25">
      <c r="B36" s="66" t="s">
        <v>58</v>
      </c>
      <c r="C36" s="75">
        <f aca="true" t="shared" si="13" ref="C36:N36">+C$10*C22</f>
        <v>33.26967200000007</v>
      </c>
      <c r="D36" s="75">
        <f t="shared" si="13"/>
        <v>32.415159000000074</v>
      </c>
      <c r="E36" s="75">
        <f t="shared" si="13"/>
        <v>31.02160900000007</v>
      </c>
      <c r="F36" s="75">
        <f t="shared" si="13"/>
        <v>34.11469700000007</v>
      </c>
      <c r="G36" s="75">
        <f t="shared" si="13"/>
        <v>30.490874000000066</v>
      </c>
      <c r="H36" s="75">
        <f t="shared" si="13"/>
        <v>31.65789800000007</v>
      </c>
      <c r="I36" s="75">
        <f t="shared" si="13"/>
        <v>34.176962000000074</v>
      </c>
      <c r="J36" s="75">
        <f t="shared" si="13"/>
        <v>34.45626500000007</v>
      </c>
      <c r="K36" s="75">
        <f t="shared" si="13"/>
        <v>37.27182900000008</v>
      </c>
      <c r="L36" s="75">
        <f t="shared" si="13"/>
        <v>28.536346000000066</v>
      </c>
      <c r="M36" s="75">
        <f t="shared" si="13"/>
        <v>31.254658000000067</v>
      </c>
      <c r="N36" s="75">
        <f t="shared" si="13"/>
        <v>31.551751000000074</v>
      </c>
    </row>
    <row r="37" spans="2:14" ht="11.25">
      <c r="B37" s="66" t="s">
        <v>59</v>
      </c>
      <c r="C37" s="89">
        <f aca="true" t="shared" si="14" ref="C37:N37">+C$10*C23</f>
        <v>180.54267199999998</v>
      </c>
      <c r="D37" s="89">
        <f t="shared" si="14"/>
        <v>175.905534</v>
      </c>
      <c r="E37" s="89">
        <f t="shared" si="14"/>
        <v>168.343234</v>
      </c>
      <c r="F37" s="89">
        <f t="shared" si="14"/>
        <v>185.12832199999997</v>
      </c>
      <c r="G37" s="89">
        <f t="shared" si="14"/>
        <v>165.46312399999997</v>
      </c>
      <c r="H37" s="89">
        <f t="shared" si="14"/>
        <v>171.796148</v>
      </c>
      <c r="I37" s="89">
        <f t="shared" si="14"/>
        <v>185.46621199999998</v>
      </c>
      <c r="J37" s="89">
        <f t="shared" si="14"/>
        <v>186.98188999999996</v>
      </c>
      <c r="K37" s="89">
        <f t="shared" si="14"/>
        <v>202.26095399999997</v>
      </c>
      <c r="L37" s="89">
        <f t="shared" si="14"/>
        <v>154.856596</v>
      </c>
      <c r="M37" s="89">
        <f t="shared" si="14"/>
        <v>169.60790799999998</v>
      </c>
      <c r="N37" s="89">
        <f t="shared" si="14"/>
        <v>274.97377600000004</v>
      </c>
    </row>
    <row r="38" spans="3:14" ht="11.25">
      <c r="C38" s="75">
        <f aca="true" t="shared" si="15" ref="C38:N38">SUM(C27:C37)</f>
        <v>561.04</v>
      </c>
      <c r="D38" s="75">
        <f t="shared" si="15"/>
        <v>546.6300000000001</v>
      </c>
      <c r="E38" s="75">
        <f t="shared" si="15"/>
        <v>523.1300000000001</v>
      </c>
      <c r="F38" s="75">
        <f t="shared" si="15"/>
        <v>575.2900000000001</v>
      </c>
      <c r="G38" s="75">
        <f t="shared" si="15"/>
        <v>514.1800000000001</v>
      </c>
      <c r="H38" s="75">
        <f t="shared" si="15"/>
        <v>533.8600000000001</v>
      </c>
      <c r="I38" s="75">
        <f t="shared" si="15"/>
        <v>576.3400000000001</v>
      </c>
      <c r="J38" s="75">
        <f t="shared" si="15"/>
        <v>581.05</v>
      </c>
      <c r="K38" s="75">
        <f>SUM(K27:K37)</f>
        <v>628.53</v>
      </c>
      <c r="L38" s="75">
        <f t="shared" si="15"/>
        <v>481.22</v>
      </c>
      <c r="M38" s="75">
        <f t="shared" si="15"/>
        <v>527.0600000000001</v>
      </c>
      <c r="N38" s="75">
        <f t="shared" si="15"/>
        <v>532.0700000000002</v>
      </c>
    </row>
    <row r="39" ht="11.25"/>
    <row r="40" ht="11.25">
      <c r="A40" s="83" t="s">
        <v>61</v>
      </c>
    </row>
    <row r="41" spans="2:14" ht="11.25">
      <c r="B41" s="66" t="s">
        <v>24</v>
      </c>
      <c r="C41" s="93">
        <v>1</v>
      </c>
      <c r="D41" s="94">
        <v>1</v>
      </c>
      <c r="E41" s="94">
        <v>1</v>
      </c>
      <c r="F41" s="94">
        <v>1</v>
      </c>
      <c r="G41" s="94">
        <v>1</v>
      </c>
      <c r="H41" s="94">
        <v>1</v>
      </c>
      <c r="I41" s="94">
        <v>1</v>
      </c>
      <c r="J41" s="94">
        <v>1</v>
      </c>
      <c r="K41" s="94">
        <v>1</v>
      </c>
      <c r="L41" s="94">
        <v>1</v>
      </c>
      <c r="M41" s="94">
        <v>1</v>
      </c>
      <c r="N41" s="94">
        <v>1</v>
      </c>
    </row>
    <row r="42" spans="2:14" ht="11.25">
      <c r="B42" s="66" t="s">
        <v>28</v>
      </c>
      <c r="C42" s="93">
        <v>1</v>
      </c>
      <c r="D42" s="94">
        <v>1</v>
      </c>
      <c r="E42" s="94">
        <v>1</v>
      </c>
      <c r="F42" s="94">
        <v>1</v>
      </c>
      <c r="G42" s="94">
        <v>1</v>
      </c>
      <c r="H42" s="94">
        <v>1</v>
      </c>
      <c r="I42" s="94">
        <v>1</v>
      </c>
      <c r="J42" s="94">
        <v>1</v>
      </c>
      <c r="K42" s="94">
        <v>1</v>
      </c>
      <c r="L42" s="94">
        <v>1</v>
      </c>
      <c r="M42" s="94">
        <v>1</v>
      </c>
      <c r="N42" s="94">
        <v>1</v>
      </c>
    </row>
    <row r="43" spans="2:14" ht="11.25">
      <c r="B43" s="66" t="s">
        <v>52</v>
      </c>
      <c r="C43" s="93">
        <v>1</v>
      </c>
      <c r="D43" s="94">
        <v>1</v>
      </c>
      <c r="E43" s="94">
        <v>1</v>
      </c>
      <c r="F43" s="94">
        <v>1</v>
      </c>
      <c r="G43" s="94">
        <v>1</v>
      </c>
      <c r="H43" s="94">
        <v>1</v>
      </c>
      <c r="I43" s="94">
        <v>1</v>
      </c>
      <c r="J43" s="94">
        <v>1</v>
      </c>
      <c r="K43" s="94">
        <v>1</v>
      </c>
      <c r="L43" s="94">
        <v>1</v>
      </c>
      <c r="M43" s="94">
        <v>1</v>
      </c>
      <c r="N43" s="94">
        <v>1</v>
      </c>
    </row>
    <row r="44" spans="2:14" ht="11.25">
      <c r="B44" s="66" t="s">
        <v>53</v>
      </c>
      <c r="C44" s="93">
        <v>1</v>
      </c>
      <c r="D44" s="94">
        <v>1</v>
      </c>
      <c r="E44" s="94">
        <v>1</v>
      </c>
      <c r="F44" s="94">
        <v>1</v>
      </c>
      <c r="G44" s="94">
        <v>1</v>
      </c>
      <c r="H44" s="94">
        <v>1</v>
      </c>
      <c r="I44" s="94">
        <v>1</v>
      </c>
      <c r="J44" s="94">
        <v>1</v>
      </c>
      <c r="K44" s="94">
        <v>1</v>
      </c>
      <c r="L44" s="94">
        <v>1</v>
      </c>
      <c r="M44" s="94">
        <v>1</v>
      </c>
      <c r="N44" s="94">
        <v>1</v>
      </c>
    </row>
    <row r="45" spans="2:14" ht="11.25">
      <c r="B45" s="66" t="s">
        <v>54</v>
      </c>
      <c r="C45" s="93">
        <v>1</v>
      </c>
      <c r="D45" s="94">
        <v>1</v>
      </c>
      <c r="E45" s="94">
        <v>1</v>
      </c>
      <c r="F45" s="94">
        <v>1</v>
      </c>
      <c r="G45" s="94">
        <v>1</v>
      </c>
      <c r="H45" s="94">
        <v>1</v>
      </c>
      <c r="I45" s="94">
        <v>1</v>
      </c>
      <c r="J45" s="94">
        <v>1</v>
      </c>
      <c r="K45" s="94">
        <v>1</v>
      </c>
      <c r="L45" s="94">
        <v>1</v>
      </c>
      <c r="M45" s="94">
        <v>1</v>
      </c>
      <c r="N45" s="94">
        <v>1</v>
      </c>
    </row>
    <row r="46" spans="2:14" ht="11.25">
      <c r="B46" s="66" t="s">
        <v>55</v>
      </c>
      <c r="C46" s="93">
        <v>1</v>
      </c>
      <c r="D46" s="94">
        <v>1</v>
      </c>
      <c r="E46" s="94">
        <v>1</v>
      </c>
      <c r="F46" s="94">
        <v>1</v>
      </c>
      <c r="G46" s="94">
        <v>1</v>
      </c>
      <c r="H46" s="94">
        <v>1</v>
      </c>
      <c r="I46" s="94">
        <v>1</v>
      </c>
      <c r="J46" s="94">
        <v>1</v>
      </c>
      <c r="K46" s="94">
        <v>1</v>
      </c>
      <c r="L46" s="94">
        <v>1</v>
      </c>
      <c r="M46" s="94">
        <v>1</v>
      </c>
      <c r="N46" s="94">
        <v>1</v>
      </c>
    </row>
    <row r="47" spans="2:14" ht="11.25">
      <c r="B47" s="66" t="s">
        <v>56</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57</v>
      </c>
      <c r="C49" s="93">
        <v>1</v>
      </c>
      <c r="D49" s="94">
        <v>1</v>
      </c>
      <c r="E49" s="94">
        <v>1</v>
      </c>
      <c r="F49" s="94">
        <v>1</v>
      </c>
      <c r="G49" s="94">
        <v>1</v>
      </c>
      <c r="H49" s="94">
        <v>1</v>
      </c>
      <c r="I49" s="94">
        <v>1</v>
      </c>
      <c r="J49" s="94">
        <v>1</v>
      </c>
      <c r="K49" s="94">
        <v>1</v>
      </c>
      <c r="L49" s="94">
        <v>1</v>
      </c>
      <c r="M49" s="94">
        <v>1</v>
      </c>
      <c r="N49" s="94">
        <v>1</v>
      </c>
    </row>
    <row r="50" spans="2:14" ht="11.25">
      <c r="B50" s="66" t="s">
        <v>58</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59</v>
      </c>
      <c r="C52" s="92">
        <f>+C65/C37</f>
        <v>0.9999999999999997</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62</v>
      </c>
      <c r="L54" s="92"/>
      <c r="N54" s="94"/>
      <c r="Q54" s="102"/>
    </row>
    <row r="55" spans="2:17" ht="11.25">
      <c r="B55" s="66" t="s">
        <v>24</v>
      </c>
      <c r="C55" s="75">
        <f aca="true" t="shared" si="16" ref="C55:N55">+C27*C41</f>
        <v>109.4028</v>
      </c>
      <c r="D55" s="75">
        <f t="shared" si="16"/>
        <v>106.59285</v>
      </c>
      <c r="E55" s="75">
        <f>+E27*E41</f>
        <v>102.01035</v>
      </c>
      <c r="F55" s="75">
        <f t="shared" si="16"/>
        <v>112.18155</v>
      </c>
      <c r="G55" s="75">
        <f t="shared" si="16"/>
        <v>100.26509999999999</v>
      </c>
      <c r="H55" s="75">
        <f t="shared" si="16"/>
        <v>104.10270000000001</v>
      </c>
      <c r="I55" s="75">
        <f t="shared" si="16"/>
        <v>112.3863</v>
      </c>
      <c r="J55" s="75">
        <f t="shared" si="16"/>
        <v>113.30475</v>
      </c>
      <c r="K55" s="75">
        <f>+K27*K41</f>
        <v>122.56335</v>
      </c>
      <c r="L55" s="75">
        <f t="shared" si="16"/>
        <v>93.8379</v>
      </c>
      <c r="M55" s="75">
        <f t="shared" si="16"/>
        <v>102.77669999999999</v>
      </c>
      <c r="N55" s="75">
        <f t="shared" si="16"/>
        <v>0</v>
      </c>
      <c r="O55" s="102"/>
      <c r="Q55" s="102"/>
    </row>
    <row r="56" spans="2:17" ht="12.75">
      <c r="B56" s="66" t="s">
        <v>28</v>
      </c>
      <c r="C56" s="75">
        <f aca="true" t="shared" si="17" ref="C56:N56">+C28*C42</f>
        <v>99.97732799999999</v>
      </c>
      <c r="D56" s="75">
        <f t="shared" si="17"/>
        <v>97.409466</v>
      </c>
      <c r="E56" s="75">
        <f t="shared" si="17"/>
        <v>93.221766</v>
      </c>
      <c r="F56" s="75">
        <f t="shared" si="17"/>
        <v>102.516678</v>
      </c>
      <c r="G56" s="75">
        <f t="shared" si="17"/>
        <v>91.626876</v>
      </c>
      <c r="H56" s="75">
        <f t="shared" si="17"/>
        <v>95.133852</v>
      </c>
      <c r="I56" s="75">
        <f t="shared" si="17"/>
        <v>102.703788</v>
      </c>
      <c r="J56" s="75">
        <f t="shared" si="17"/>
        <v>103.54310999999998</v>
      </c>
      <c r="K56" s="75">
        <f>+K28*K42</f>
        <v>112.00404599999999</v>
      </c>
      <c r="L56" s="75">
        <f t="shared" si="17"/>
        <v>85.753404</v>
      </c>
      <c r="M56" s="75">
        <f t="shared" si="17"/>
        <v>93.92209199999999</v>
      </c>
      <c r="N56" s="75">
        <f t="shared" si="17"/>
        <v>94.814874</v>
      </c>
      <c r="O56" s="60"/>
      <c r="Q56" s="60"/>
    </row>
    <row r="57" spans="2:17" ht="12.75">
      <c r="B57" s="66" t="s">
        <v>52</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O57" s="60"/>
      <c r="Q57" s="60"/>
    </row>
    <row r="58" spans="2:17" ht="12.75">
      <c r="B58" s="66" t="s">
        <v>53</v>
      </c>
      <c r="C58" s="75">
        <f aca="true" t="shared" si="19" ref="C58:N58">+C30*C44</f>
        <v>9.25716</v>
      </c>
      <c r="D58" s="75">
        <f t="shared" si="19"/>
        <v>9.019395000000001</v>
      </c>
      <c r="E58" s="75">
        <f t="shared" si="19"/>
        <v>8.631645</v>
      </c>
      <c r="F58" s="75">
        <f t="shared" si="19"/>
        <v>9.492284999999999</v>
      </c>
      <c r="G58" s="75">
        <f t="shared" si="19"/>
        <v>8.48397</v>
      </c>
      <c r="H58" s="75">
        <f t="shared" si="19"/>
        <v>8.80869</v>
      </c>
      <c r="I58" s="75">
        <f t="shared" si="19"/>
        <v>9.50961</v>
      </c>
      <c r="J58" s="75">
        <f t="shared" si="19"/>
        <v>9.587325</v>
      </c>
      <c r="K58" s="75">
        <f t="shared" si="19"/>
        <v>10.370745</v>
      </c>
      <c r="L58" s="75">
        <f t="shared" si="19"/>
        <v>7.940130000000001</v>
      </c>
      <c r="M58" s="75">
        <f t="shared" si="19"/>
        <v>8.696489999999999</v>
      </c>
      <c r="N58" s="75">
        <f t="shared" si="19"/>
        <v>8.779155000000001</v>
      </c>
      <c r="O58" s="60"/>
      <c r="Q58" s="60"/>
    </row>
    <row r="59" spans="2:17" ht="12.75">
      <c r="B59" s="66" t="s">
        <v>54</v>
      </c>
      <c r="C59" s="75">
        <f aca="true" t="shared" si="20" ref="C59:N59">+C31*C45</f>
        <v>25.190696</v>
      </c>
      <c r="D59" s="75">
        <f t="shared" si="20"/>
        <v>24.543687000000002</v>
      </c>
      <c r="E59" s="75">
        <f t="shared" si="20"/>
        <v>23.488537</v>
      </c>
      <c r="F59" s="75">
        <f t="shared" si="20"/>
        <v>25.830521</v>
      </c>
      <c r="G59" s="75">
        <f t="shared" si="20"/>
        <v>23.086682</v>
      </c>
      <c r="H59" s="75">
        <f t="shared" si="20"/>
        <v>23.970314000000002</v>
      </c>
      <c r="I59" s="75">
        <f t="shared" si="20"/>
        <v>25.877666</v>
      </c>
      <c r="J59" s="75">
        <f t="shared" si="20"/>
        <v>26.089145</v>
      </c>
      <c r="K59" s="75">
        <f t="shared" si="20"/>
        <v>28.220997</v>
      </c>
      <c r="L59" s="75">
        <f t="shared" si="20"/>
        <v>21.606778000000002</v>
      </c>
      <c r="M59" s="75">
        <f t="shared" si="20"/>
        <v>23.664994</v>
      </c>
      <c r="N59" s="75">
        <f t="shared" si="20"/>
        <v>23.889943000000002</v>
      </c>
      <c r="O59" s="60"/>
      <c r="Q59" s="60"/>
    </row>
    <row r="60" spans="2:17" ht="12.75">
      <c r="B60" s="66" t="s">
        <v>55</v>
      </c>
      <c r="C60" s="95">
        <f aca="true" t="shared" si="21" ref="C60:N60">+C32*C46</f>
        <v>4.2078</v>
      </c>
      <c r="D60" s="95">
        <f t="shared" si="21"/>
        <v>4.099724999999999</v>
      </c>
      <c r="E60" s="95">
        <f t="shared" si="21"/>
        <v>3.923475</v>
      </c>
      <c r="F60" s="95">
        <f t="shared" si="21"/>
        <v>4.314674999999999</v>
      </c>
      <c r="G60" s="95">
        <f t="shared" si="21"/>
        <v>3.8563499999999995</v>
      </c>
      <c r="H60" s="95">
        <f t="shared" si="21"/>
        <v>4.00395</v>
      </c>
      <c r="I60" s="95">
        <f t="shared" si="21"/>
        <v>4.32255</v>
      </c>
      <c r="J60" s="95">
        <f t="shared" si="21"/>
        <v>4.357874999999999</v>
      </c>
      <c r="K60" s="95">
        <f t="shared" si="21"/>
        <v>4.713975</v>
      </c>
      <c r="L60" s="95">
        <f t="shared" si="21"/>
        <v>3.60915</v>
      </c>
      <c r="M60" s="95">
        <f t="shared" si="21"/>
        <v>3.9529499999999995</v>
      </c>
      <c r="N60" s="95">
        <f t="shared" si="21"/>
        <v>3.9905250000000003</v>
      </c>
      <c r="O60" s="60"/>
      <c r="Q60" s="60"/>
    </row>
    <row r="61" spans="2:17" ht="12.75">
      <c r="B61" s="66" t="s">
        <v>56</v>
      </c>
      <c r="C61" s="75">
        <f aca="true" t="shared" si="22" ref="C61:N61">+C33*C47</f>
        <v>0</v>
      </c>
      <c r="D61" s="75">
        <f t="shared" si="22"/>
        <v>0</v>
      </c>
      <c r="E61" s="75">
        <f t="shared" si="22"/>
        <v>0</v>
      </c>
      <c r="F61" s="75">
        <f t="shared" si="22"/>
        <v>0</v>
      </c>
      <c r="G61" s="75">
        <f t="shared" si="22"/>
        <v>0</v>
      </c>
      <c r="H61" s="75">
        <f t="shared" si="22"/>
        <v>0</v>
      </c>
      <c r="I61" s="75">
        <f t="shared" si="22"/>
        <v>0</v>
      </c>
      <c r="J61" s="75">
        <f t="shared" si="22"/>
        <v>0</v>
      </c>
      <c r="K61" s="75">
        <f t="shared" si="22"/>
        <v>0</v>
      </c>
      <c r="L61" s="75">
        <f t="shared" si="22"/>
        <v>0</v>
      </c>
      <c r="M61" s="75">
        <f t="shared" si="22"/>
        <v>0</v>
      </c>
      <c r="N61" s="75">
        <f t="shared" si="22"/>
        <v>0</v>
      </c>
      <c r="O61" s="60"/>
      <c r="Q61" s="60"/>
    </row>
    <row r="62" spans="2:17" ht="12.75">
      <c r="B62" s="66" t="s">
        <v>49</v>
      </c>
      <c r="C62" s="75">
        <f aca="true" t="shared" si="23" ref="C62:N62">+C34*C48</f>
        <v>99.191872</v>
      </c>
      <c r="D62" s="75">
        <f t="shared" si="23"/>
        <v>96.64418400000001</v>
      </c>
      <c r="E62" s="75">
        <f t="shared" si="23"/>
        <v>92.489384</v>
      </c>
      <c r="F62" s="75">
        <f t="shared" si="23"/>
        <v>101.711272</v>
      </c>
      <c r="G62" s="75">
        <f t="shared" si="23"/>
        <v>90.90702399999999</v>
      </c>
      <c r="H62" s="75">
        <f t="shared" si="23"/>
        <v>94.38644800000002</v>
      </c>
      <c r="I62" s="75">
        <f t="shared" si="23"/>
        <v>101.89691200000001</v>
      </c>
      <c r="J62" s="75">
        <f t="shared" si="23"/>
        <v>102.72964</v>
      </c>
      <c r="K62" s="75">
        <f t="shared" si="23"/>
        <v>111.124104</v>
      </c>
      <c r="L62" s="75">
        <f t="shared" si="23"/>
        <v>85.07969600000001</v>
      </c>
      <c r="M62" s="75">
        <f t="shared" si="23"/>
        <v>93.184208</v>
      </c>
      <c r="N62" s="75">
        <f t="shared" si="23"/>
        <v>94.06997600000001</v>
      </c>
      <c r="O62" s="60"/>
      <c r="Q62" s="60"/>
    </row>
    <row r="63" spans="2:17" ht="12.75">
      <c r="B63" s="66" t="s">
        <v>57</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0</v>
      </c>
      <c r="L63" s="75">
        <f t="shared" si="24"/>
        <v>0</v>
      </c>
      <c r="M63" s="75">
        <f t="shared" si="24"/>
        <v>0</v>
      </c>
      <c r="N63" s="75">
        <f t="shared" si="24"/>
        <v>0</v>
      </c>
      <c r="O63" s="60"/>
      <c r="Q63" s="60"/>
    </row>
    <row r="64" spans="2:17" ht="12.75">
      <c r="B64" s="66" t="s">
        <v>58</v>
      </c>
      <c r="C64" s="75">
        <f aca="true" t="shared" si="25" ref="C64:N64">+C36*C50</f>
        <v>33.26967200000007</v>
      </c>
      <c r="D64" s="75">
        <f t="shared" si="25"/>
        <v>32.415159000000074</v>
      </c>
      <c r="E64" s="75">
        <f t="shared" si="25"/>
        <v>31.02160900000007</v>
      </c>
      <c r="F64" s="75">
        <f t="shared" si="25"/>
        <v>34.11469700000007</v>
      </c>
      <c r="G64" s="75">
        <f t="shared" si="25"/>
        <v>30.490874000000066</v>
      </c>
      <c r="H64" s="75">
        <f t="shared" si="25"/>
        <v>31.65789800000007</v>
      </c>
      <c r="I64" s="75">
        <f t="shared" si="25"/>
        <v>34.176962000000074</v>
      </c>
      <c r="J64" s="75">
        <f t="shared" si="25"/>
        <v>34.45626500000007</v>
      </c>
      <c r="K64" s="75">
        <f t="shared" si="25"/>
        <v>37.27182900000008</v>
      </c>
      <c r="L64" s="75">
        <f t="shared" si="25"/>
        <v>28.536346000000066</v>
      </c>
      <c r="M64" s="75">
        <f t="shared" si="25"/>
        <v>31.254658000000067</v>
      </c>
      <c r="N64" s="75">
        <f t="shared" si="25"/>
        <v>31.551751000000074</v>
      </c>
      <c r="P64" s="150"/>
      <c r="Q64" s="102"/>
    </row>
    <row r="65" spans="2:22" ht="12.75">
      <c r="B65" s="66" t="s">
        <v>59</v>
      </c>
      <c r="C65" s="89">
        <f aca="true" t="shared" si="26" ref="C65:N65">+C7-SUM(C55:C64)</f>
        <v>180.54267199999992</v>
      </c>
      <c r="D65" s="89">
        <f t="shared" si="26"/>
        <v>175.90553399999988</v>
      </c>
      <c r="E65" s="89">
        <f t="shared" si="26"/>
        <v>168.34323399999988</v>
      </c>
      <c r="F65" s="89">
        <f t="shared" si="26"/>
        <v>185.12832199999986</v>
      </c>
      <c r="G65" s="89">
        <f t="shared" si="26"/>
        <v>165.46312399999988</v>
      </c>
      <c r="H65" s="89">
        <f t="shared" si="26"/>
        <v>171.7961479999999</v>
      </c>
      <c r="I65" s="89">
        <f t="shared" si="26"/>
        <v>185.46621199999993</v>
      </c>
      <c r="J65" s="89">
        <f t="shared" si="26"/>
        <v>186.9818899999999</v>
      </c>
      <c r="K65" s="89">
        <f t="shared" si="26"/>
        <v>202.2609539999999</v>
      </c>
      <c r="L65" s="89">
        <f t="shared" si="26"/>
        <v>154.85659599999997</v>
      </c>
      <c r="M65" s="89">
        <f t="shared" si="26"/>
        <v>169.6079079999999</v>
      </c>
      <c r="N65" s="89">
        <f t="shared" si="26"/>
        <v>274.97377599999993</v>
      </c>
      <c r="P65" s="150"/>
      <c r="Q65" s="102"/>
      <c r="R65" s="102"/>
      <c r="S65" s="102"/>
      <c r="T65" s="102"/>
      <c r="U65" s="102"/>
      <c r="V65" s="102"/>
    </row>
    <row r="66" spans="3:22" ht="12.75">
      <c r="C66" s="75">
        <f aca="true" t="shared" si="27" ref="C66:N66">SUM(C55:C65)</f>
        <v>561.04</v>
      </c>
      <c r="D66" s="75">
        <f t="shared" si="27"/>
        <v>546.63</v>
      </c>
      <c r="E66" s="75">
        <f t="shared" si="27"/>
        <v>523.13</v>
      </c>
      <c r="F66" s="75">
        <f t="shared" si="27"/>
        <v>575.29</v>
      </c>
      <c r="G66" s="75">
        <f t="shared" si="27"/>
        <v>514.18</v>
      </c>
      <c r="H66" s="75">
        <f t="shared" si="27"/>
        <v>533.86</v>
      </c>
      <c r="I66" s="75">
        <f t="shared" si="27"/>
        <v>576.34</v>
      </c>
      <c r="J66" s="75">
        <f t="shared" si="27"/>
        <v>581.05</v>
      </c>
      <c r="K66" s="75">
        <f t="shared" si="27"/>
        <v>628.53</v>
      </c>
      <c r="L66" s="75">
        <f t="shared" si="27"/>
        <v>481.22</v>
      </c>
      <c r="M66" s="75">
        <f t="shared" si="27"/>
        <v>527.06</v>
      </c>
      <c r="N66" s="75">
        <f t="shared" si="27"/>
        <v>532.07</v>
      </c>
      <c r="P66" s="150"/>
      <c r="Q66" s="102"/>
      <c r="R66" s="102"/>
      <c r="S66" s="102"/>
      <c r="T66" s="102"/>
      <c r="U66" s="102"/>
      <c r="V66" s="102"/>
    </row>
    <row r="67" spans="16:22" ht="12.75">
      <c r="P67" s="152"/>
      <c r="Q67" s="102"/>
      <c r="R67" s="102"/>
      <c r="S67" s="102"/>
      <c r="T67" s="102"/>
      <c r="U67" s="102"/>
      <c r="V67" s="102"/>
    </row>
    <row r="68" spans="1:22" ht="12.75">
      <c r="A68" s="96" t="s">
        <v>63</v>
      </c>
      <c r="P68" s="152"/>
      <c r="Q68" s="102"/>
      <c r="R68" s="102"/>
      <c r="S68" s="102"/>
      <c r="T68" s="102"/>
      <c r="U68" s="102"/>
      <c r="V68" s="102"/>
    </row>
    <row r="69" spans="2:22" ht="12">
      <c r="B69" s="66" t="s">
        <v>24</v>
      </c>
      <c r="C69" s="159">
        <v>65.3</v>
      </c>
      <c r="D69" s="159">
        <v>85.06</v>
      </c>
      <c r="E69" s="159">
        <v>98.56</v>
      </c>
      <c r="F69" s="159">
        <v>81.63</v>
      </c>
      <c r="G69" s="160">
        <v>63.02</v>
      </c>
      <c r="H69" s="160">
        <v>60.33</v>
      </c>
      <c r="I69" s="159">
        <v>65.93</v>
      </c>
      <c r="J69" s="159">
        <v>63.69</v>
      </c>
      <c r="K69" s="159">
        <v>39.8</v>
      </c>
      <c r="L69" s="161">
        <v>-18.13</v>
      </c>
      <c r="M69" s="161">
        <v>-16.23</v>
      </c>
      <c r="N69" s="159">
        <v>0</v>
      </c>
      <c r="P69" s="151"/>
      <c r="Q69" s="102"/>
      <c r="R69" s="102"/>
      <c r="S69" s="102"/>
      <c r="T69" s="102"/>
      <c r="U69" s="156"/>
      <c r="V69" s="102"/>
    </row>
    <row r="70" spans="2:22" ht="12">
      <c r="B70" s="66" t="s">
        <v>28</v>
      </c>
      <c r="C70" s="159">
        <v>132.68</v>
      </c>
      <c r="D70" s="159">
        <v>159.52</v>
      </c>
      <c r="E70" s="159">
        <v>163.29</v>
      </c>
      <c r="F70" s="159">
        <v>145.73</v>
      </c>
      <c r="G70" s="160">
        <v>110.68</v>
      </c>
      <c r="H70" s="160">
        <v>81.77</v>
      </c>
      <c r="I70" s="159">
        <v>114.18</v>
      </c>
      <c r="J70" s="159">
        <v>107.57</v>
      </c>
      <c r="K70" s="159">
        <v>105.09</v>
      </c>
      <c r="L70" s="159">
        <v>62.76</v>
      </c>
      <c r="M70" s="159">
        <v>56.69</v>
      </c>
      <c r="N70" s="159">
        <v>57.61</v>
      </c>
      <c r="P70" s="151"/>
      <c r="Q70" s="102"/>
      <c r="R70" s="102"/>
      <c r="S70" s="102"/>
      <c r="T70" s="102"/>
      <c r="U70" s="156"/>
      <c r="V70" s="102"/>
    </row>
    <row r="71" spans="2:22" ht="12">
      <c r="B71" s="66" t="s">
        <v>52</v>
      </c>
      <c r="C71" s="159">
        <v>0</v>
      </c>
      <c r="D71" s="159"/>
      <c r="E71" s="159"/>
      <c r="F71" s="159"/>
      <c r="G71" s="160"/>
      <c r="H71" s="160"/>
      <c r="I71" s="159"/>
      <c r="J71" s="159"/>
      <c r="K71" s="159"/>
      <c r="L71" s="159"/>
      <c r="M71" s="159"/>
      <c r="N71" s="159"/>
      <c r="P71" s="151"/>
      <c r="Q71" s="102"/>
      <c r="R71" s="102"/>
      <c r="S71" s="102"/>
      <c r="T71" s="102"/>
      <c r="U71" s="156"/>
      <c r="V71" s="102"/>
    </row>
    <row r="72" spans="2:22" ht="12">
      <c r="B72" s="66" t="s">
        <v>53</v>
      </c>
      <c r="C72" s="159">
        <v>71.99</v>
      </c>
      <c r="D72" s="159">
        <v>69.08</v>
      </c>
      <c r="E72" s="159">
        <v>67.63</v>
      </c>
      <c r="F72" s="159">
        <v>78.11</v>
      </c>
      <c r="G72" s="160">
        <v>86.53</v>
      </c>
      <c r="H72" s="160">
        <v>76.06</v>
      </c>
      <c r="I72" s="159">
        <v>78.08</v>
      </c>
      <c r="J72" s="159">
        <v>88.61</v>
      </c>
      <c r="K72" s="159">
        <v>102.96</v>
      </c>
      <c r="L72" s="159">
        <v>92.72</v>
      </c>
      <c r="M72" s="159">
        <v>106.7</v>
      </c>
      <c r="N72" s="159">
        <v>109.51</v>
      </c>
      <c r="P72" s="151"/>
      <c r="Q72" s="102"/>
      <c r="R72" s="102"/>
      <c r="S72" s="102"/>
      <c r="T72" s="102"/>
      <c r="U72" s="156"/>
      <c r="V72" s="102"/>
    </row>
    <row r="73" spans="2:22" ht="12">
      <c r="B73" s="66" t="s">
        <v>54</v>
      </c>
      <c r="C73" s="159">
        <v>92.51</v>
      </c>
      <c r="D73" s="159">
        <v>70.6</v>
      </c>
      <c r="E73" s="159">
        <v>62.55</v>
      </c>
      <c r="F73" s="159">
        <v>83.03</v>
      </c>
      <c r="G73" s="160">
        <v>72.1</v>
      </c>
      <c r="H73" s="160">
        <v>48.29</v>
      </c>
      <c r="I73" s="159">
        <v>50.05</v>
      </c>
      <c r="J73" s="159">
        <v>51.67</v>
      </c>
      <c r="K73" s="159">
        <v>53.44</v>
      </c>
      <c r="L73" s="159">
        <v>85.33</v>
      </c>
      <c r="M73" s="159">
        <v>105.24</v>
      </c>
      <c r="N73" s="159">
        <v>107.91</v>
      </c>
      <c r="P73" s="151"/>
      <c r="Q73" s="102"/>
      <c r="R73" s="102"/>
      <c r="S73" s="102"/>
      <c r="T73" s="102"/>
      <c r="U73" s="156"/>
      <c r="V73" s="102"/>
    </row>
    <row r="74" spans="2:22" ht="12">
      <c r="B74" s="66" t="s">
        <v>55</v>
      </c>
      <c r="C74" s="159">
        <v>905.35</v>
      </c>
      <c r="D74" s="159">
        <v>894.34</v>
      </c>
      <c r="E74" s="159">
        <v>871.1</v>
      </c>
      <c r="F74" s="159">
        <v>905.36</v>
      </c>
      <c r="G74" s="160">
        <v>953.11</v>
      </c>
      <c r="H74" s="160">
        <v>980.71</v>
      </c>
      <c r="I74" s="159">
        <v>971.66</v>
      </c>
      <c r="J74" s="159">
        <v>973.36</v>
      </c>
      <c r="K74" s="159">
        <v>1013.02</v>
      </c>
      <c r="L74" s="159">
        <v>988.19</v>
      </c>
      <c r="M74" s="159">
        <v>977.91</v>
      </c>
      <c r="N74" s="159">
        <v>989.87</v>
      </c>
      <c r="P74" s="151"/>
      <c r="Q74" s="102"/>
      <c r="R74" s="102"/>
      <c r="S74" s="102"/>
      <c r="T74" s="102"/>
      <c r="U74" s="156"/>
      <c r="V74" s="102"/>
    </row>
    <row r="75" spans="2:22" ht="12">
      <c r="B75" s="66" t="s">
        <v>56</v>
      </c>
      <c r="C75" s="159">
        <v>0</v>
      </c>
      <c r="D75" s="159"/>
      <c r="E75" s="159"/>
      <c r="F75" s="159"/>
      <c r="G75" s="160"/>
      <c r="H75" s="160"/>
      <c r="I75" s="159"/>
      <c r="J75" s="159"/>
      <c r="K75" s="159"/>
      <c r="L75" s="159"/>
      <c r="M75" s="159"/>
      <c r="N75" s="159"/>
      <c r="P75" s="151"/>
      <c r="Q75" s="102"/>
      <c r="R75" s="102"/>
      <c r="S75" s="102"/>
      <c r="T75" s="102"/>
      <c r="U75" s="156"/>
      <c r="V75" s="102"/>
    </row>
    <row r="76" spans="2:22" ht="12">
      <c r="B76" s="66" t="s">
        <v>49</v>
      </c>
      <c r="C76" s="161">
        <v>-15.91</v>
      </c>
      <c r="D76" s="161">
        <v>-6.4</v>
      </c>
      <c r="E76" s="161">
        <v>-6.61</v>
      </c>
      <c r="F76" s="161">
        <v>-4.34</v>
      </c>
      <c r="G76" s="162">
        <v>-5.61</v>
      </c>
      <c r="H76" s="162">
        <v>-8.78</v>
      </c>
      <c r="I76" s="161">
        <v>-2.51</v>
      </c>
      <c r="J76" s="161">
        <v>-9.46</v>
      </c>
      <c r="K76" s="161">
        <v>-9.98</v>
      </c>
      <c r="L76" s="161">
        <v>-8.01</v>
      </c>
      <c r="M76" s="161">
        <v>-9</v>
      </c>
      <c r="N76" s="159">
        <v>-10.23</v>
      </c>
      <c r="P76" s="151"/>
      <c r="Q76" s="102"/>
      <c r="R76" s="102"/>
      <c r="S76" s="102"/>
      <c r="T76" s="102"/>
      <c r="U76" s="156"/>
      <c r="V76" s="102"/>
    </row>
    <row r="77" spans="2:22" ht="12">
      <c r="B77" s="66" t="s">
        <v>57</v>
      </c>
      <c r="C77" s="161"/>
      <c r="D77" s="161"/>
      <c r="E77" s="161"/>
      <c r="F77" s="161"/>
      <c r="G77" s="162"/>
      <c r="H77" s="162"/>
      <c r="I77" s="161"/>
      <c r="J77" s="161"/>
      <c r="K77" s="161"/>
      <c r="L77" s="161"/>
      <c r="M77" s="161"/>
      <c r="N77" s="159"/>
      <c r="P77" s="151"/>
      <c r="Q77" s="102"/>
      <c r="R77" s="102"/>
      <c r="S77" s="102"/>
      <c r="T77" s="102"/>
      <c r="U77" s="156"/>
      <c r="V77" s="102"/>
    </row>
    <row r="78" spans="2:22" ht="12">
      <c r="B78" s="66" t="s">
        <v>58</v>
      </c>
      <c r="C78" s="161">
        <v>-134.59</v>
      </c>
      <c r="D78" s="161">
        <v>-134.59</v>
      </c>
      <c r="E78" s="161">
        <v>-134.59</v>
      </c>
      <c r="F78" s="161">
        <v>-134.59</v>
      </c>
      <c r="G78" s="162">
        <v>-134.59</v>
      </c>
      <c r="H78" s="162">
        <v>-134.59</v>
      </c>
      <c r="I78" s="161">
        <v>-134.59</v>
      </c>
      <c r="J78" s="161">
        <v>-134.59</v>
      </c>
      <c r="K78" s="161">
        <v>-134.59</v>
      </c>
      <c r="L78" s="161">
        <v>-134.59</v>
      </c>
      <c r="M78" s="161">
        <v>-134.59</v>
      </c>
      <c r="N78" s="159">
        <v>-134.59</v>
      </c>
      <c r="P78" s="151"/>
      <c r="Q78" s="102"/>
      <c r="R78" s="102"/>
      <c r="S78" s="102"/>
      <c r="T78" s="102"/>
      <c r="U78" s="156"/>
      <c r="V78" s="102"/>
    </row>
    <row r="79" spans="2:22" ht="12">
      <c r="B79" s="66" t="s">
        <v>59</v>
      </c>
      <c r="C79" s="159">
        <v>60.14</v>
      </c>
      <c r="D79" s="159">
        <v>78.88</v>
      </c>
      <c r="E79" s="159">
        <v>93.44</v>
      </c>
      <c r="F79" s="159">
        <v>77.21</v>
      </c>
      <c r="G79" s="160">
        <v>57.85</v>
      </c>
      <c r="H79" s="160">
        <v>55.22</v>
      </c>
      <c r="I79" s="159">
        <v>52.85</v>
      </c>
      <c r="J79" s="159">
        <v>49.88</v>
      </c>
      <c r="K79" s="159">
        <v>40.17</v>
      </c>
      <c r="L79" s="161">
        <v>-21.81</v>
      </c>
      <c r="M79" s="161">
        <v>-21.39</v>
      </c>
      <c r="N79" s="159">
        <v>-20.59</v>
      </c>
      <c r="O79" s="110">
        <f>SUM(C69:N79)</f>
        <v>14011.14</v>
      </c>
      <c r="P79" s="151"/>
      <c r="Q79" s="102"/>
      <c r="R79" s="102"/>
      <c r="S79" s="102"/>
      <c r="T79" s="102"/>
      <c r="U79" s="156"/>
      <c r="V79" s="102"/>
    </row>
    <row r="80" spans="16:22" ht="11.25">
      <c r="P80" s="102"/>
      <c r="Q80" s="102"/>
      <c r="R80" s="157"/>
      <c r="S80" s="102"/>
      <c r="T80" s="102"/>
      <c r="U80" s="156"/>
      <c r="V80" s="102"/>
    </row>
    <row r="81" spans="1:22" ht="11.25">
      <c r="A81" s="83" t="s">
        <v>64</v>
      </c>
      <c r="P81" s="102"/>
      <c r="Q81" s="102"/>
      <c r="R81" s="102"/>
      <c r="S81" s="102"/>
      <c r="T81" s="102"/>
      <c r="U81" s="102"/>
      <c r="V81" s="102"/>
    </row>
    <row r="82" spans="2:22" ht="11.25">
      <c r="B82" s="66" t="s">
        <v>24</v>
      </c>
      <c r="C82" s="97">
        <f>+C69*C55</f>
        <v>7144.002839999999</v>
      </c>
      <c r="D82" s="75">
        <f aca="true" t="shared" si="28" ref="D82:M82">+D69*D55</f>
        <v>9066.787821</v>
      </c>
      <c r="E82" s="75">
        <f>+E69*E55</f>
        <v>10054.140096000001</v>
      </c>
      <c r="F82" s="75">
        <f t="shared" si="28"/>
        <v>9157.3799265</v>
      </c>
      <c r="G82" s="75">
        <f>+G69*G55</f>
        <v>6318.706601999999</v>
      </c>
      <c r="H82" s="75">
        <f t="shared" si="28"/>
        <v>6280.515891000001</v>
      </c>
      <c r="I82" s="75">
        <f t="shared" si="28"/>
        <v>7409.628759000001</v>
      </c>
      <c r="J82" s="75">
        <f>+J69*J55</f>
        <v>7216.379527499999</v>
      </c>
      <c r="K82" s="75">
        <f t="shared" si="28"/>
        <v>4878.02133</v>
      </c>
      <c r="L82" s="75">
        <f t="shared" si="28"/>
        <v>-1701.281127</v>
      </c>
      <c r="M82" s="75">
        <f t="shared" si="28"/>
        <v>-1668.0658409999999</v>
      </c>
      <c r="N82" s="75">
        <f>+N69*N55</f>
        <v>0</v>
      </c>
      <c r="P82" s="102"/>
      <c r="Q82" s="102"/>
      <c r="R82" s="102"/>
      <c r="S82" s="102"/>
      <c r="T82" s="102"/>
      <c r="U82" s="102"/>
      <c r="V82" s="102"/>
    </row>
    <row r="83" spans="2:22" ht="11.25">
      <c r="B83" s="66" t="s">
        <v>28</v>
      </c>
      <c r="C83" s="97">
        <f aca="true" t="shared" si="29" ref="C83:N83">+C70*C56</f>
        <v>13264.991879039999</v>
      </c>
      <c r="D83" s="75">
        <f t="shared" si="29"/>
        <v>15538.75801632</v>
      </c>
      <c r="E83" s="75">
        <f t="shared" si="29"/>
        <v>15222.18217014</v>
      </c>
      <c r="F83" s="75">
        <f t="shared" si="29"/>
        <v>14939.755484939998</v>
      </c>
      <c r="G83" s="75">
        <f>+G70*G56</f>
        <v>10141.262635680001</v>
      </c>
      <c r="H83" s="75">
        <f t="shared" si="29"/>
        <v>7779.09507804</v>
      </c>
      <c r="I83" s="75">
        <f t="shared" si="29"/>
        <v>11726.718513840002</v>
      </c>
      <c r="J83" s="75">
        <f t="shared" si="29"/>
        <v>11138.132342699997</v>
      </c>
      <c r="K83" s="75">
        <f t="shared" si="29"/>
        <v>11770.50519414</v>
      </c>
      <c r="L83" s="75">
        <f t="shared" si="29"/>
        <v>5381.88363504</v>
      </c>
      <c r="M83" s="75">
        <f t="shared" si="29"/>
        <v>5324.44339548</v>
      </c>
      <c r="N83" s="75">
        <f t="shared" si="29"/>
        <v>5462.284891140001</v>
      </c>
      <c r="P83" s="102"/>
      <c r="Q83" s="102"/>
      <c r="R83" s="102"/>
      <c r="S83" s="102"/>
      <c r="T83" s="102"/>
      <c r="U83" s="102"/>
      <c r="V83" s="102"/>
    </row>
    <row r="84" spans="2:22" ht="11.25">
      <c r="B84" s="66" t="s">
        <v>52</v>
      </c>
      <c r="C84" s="97">
        <f aca="true" t="shared" si="30" ref="C84:N84">+C71*C57</f>
        <v>0</v>
      </c>
      <c r="D84" s="75">
        <f t="shared" si="30"/>
        <v>0</v>
      </c>
      <c r="E84" s="75">
        <f t="shared" si="30"/>
        <v>0</v>
      </c>
      <c r="F84" s="75">
        <f t="shared" si="30"/>
        <v>0</v>
      </c>
      <c r="G84" s="75">
        <f t="shared" si="30"/>
        <v>0</v>
      </c>
      <c r="H84" s="75">
        <f t="shared" si="30"/>
        <v>0</v>
      </c>
      <c r="I84" s="75">
        <f t="shared" si="30"/>
        <v>0</v>
      </c>
      <c r="J84" s="75">
        <f t="shared" si="30"/>
        <v>0</v>
      </c>
      <c r="K84" s="75">
        <f t="shared" si="30"/>
        <v>0</v>
      </c>
      <c r="L84" s="75">
        <f t="shared" si="30"/>
        <v>0</v>
      </c>
      <c r="M84" s="75">
        <f t="shared" si="30"/>
        <v>0</v>
      </c>
      <c r="N84" s="75">
        <f t="shared" si="30"/>
        <v>0</v>
      </c>
      <c r="P84" s="102"/>
      <c r="Q84" s="102"/>
      <c r="R84" s="158"/>
      <c r="S84" s="102"/>
      <c r="T84" s="102"/>
      <c r="U84" s="102"/>
      <c r="V84" s="102"/>
    </row>
    <row r="85" spans="2:22" ht="11.25">
      <c r="B85" s="66" t="s">
        <v>53</v>
      </c>
      <c r="C85" s="97">
        <f aca="true" t="shared" si="31" ref="C85:N85">+C72*C58</f>
        <v>666.4229484</v>
      </c>
      <c r="D85" s="75">
        <f t="shared" si="31"/>
        <v>623.0598066000001</v>
      </c>
      <c r="E85" s="75">
        <f t="shared" si="31"/>
        <v>583.75815135</v>
      </c>
      <c r="F85" s="75">
        <f t="shared" si="31"/>
        <v>741.4423813499999</v>
      </c>
      <c r="G85" s="75">
        <f t="shared" si="31"/>
        <v>734.1179241</v>
      </c>
      <c r="H85" s="75">
        <f t="shared" si="31"/>
        <v>669.9889614</v>
      </c>
      <c r="I85" s="75">
        <f t="shared" si="31"/>
        <v>742.5103488</v>
      </c>
      <c r="J85" s="75">
        <f t="shared" si="31"/>
        <v>849.53286825</v>
      </c>
      <c r="K85" s="75">
        <f t="shared" si="31"/>
        <v>1067.7719051999998</v>
      </c>
      <c r="L85" s="75">
        <f t="shared" si="31"/>
        <v>736.2088536000001</v>
      </c>
      <c r="M85" s="75">
        <f t="shared" si="31"/>
        <v>927.9154829999999</v>
      </c>
      <c r="N85" s="75">
        <f t="shared" si="31"/>
        <v>961.4052640500001</v>
      </c>
      <c r="P85" s="102"/>
      <c r="Q85" s="102"/>
      <c r="R85" s="158"/>
      <c r="S85" s="102"/>
      <c r="T85" s="102"/>
      <c r="U85" s="102"/>
      <c r="V85" s="102"/>
    </row>
    <row r="86" spans="2:22" ht="11.25">
      <c r="B86" s="66" t="s">
        <v>54</v>
      </c>
      <c r="C86" s="97">
        <f aca="true" t="shared" si="32" ref="C86:N86">+C73*C59</f>
        <v>2330.39128696</v>
      </c>
      <c r="D86" s="75">
        <f t="shared" si="32"/>
        <v>1732.7843022</v>
      </c>
      <c r="E86" s="75">
        <f t="shared" si="32"/>
        <v>1469.20798935</v>
      </c>
      <c r="F86" s="75">
        <f t="shared" si="32"/>
        <v>2144.70815863</v>
      </c>
      <c r="G86" s="75">
        <f t="shared" si="32"/>
        <v>1664.5497721999998</v>
      </c>
      <c r="H86" s="75">
        <f t="shared" si="32"/>
        <v>1157.52646306</v>
      </c>
      <c r="I86" s="75">
        <f t="shared" si="32"/>
        <v>1295.1771833</v>
      </c>
      <c r="J86" s="75">
        <f t="shared" si="32"/>
        <v>1348.02612215</v>
      </c>
      <c r="K86" s="75">
        <f t="shared" si="32"/>
        <v>1508.1300796799999</v>
      </c>
      <c r="L86" s="75">
        <f t="shared" si="32"/>
        <v>1843.7063667400002</v>
      </c>
      <c r="M86" s="75">
        <f t="shared" si="32"/>
        <v>2490.50396856</v>
      </c>
      <c r="N86" s="75">
        <f t="shared" si="32"/>
        <v>2577.96374913</v>
      </c>
      <c r="P86" s="102"/>
      <c r="Q86" s="102"/>
      <c r="R86" s="102"/>
      <c r="S86" s="102"/>
      <c r="T86" s="102"/>
      <c r="U86" s="102"/>
      <c r="V86" s="102"/>
    </row>
    <row r="87" spans="2:20" ht="11.25">
      <c r="B87" s="66" t="s">
        <v>55</v>
      </c>
      <c r="C87" s="97">
        <f aca="true" t="shared" si="33" ref="C87:N87">+C74*C60</f>
        <v>3809.5317299999997</v>
      </c>
      <c r="D87" s="75">
        <f t="shared" si="33"/>
        <v>3666.5480565</v>
      </c>
      <c r="E87" s="75">
        <f t="shared" si="33"/>
        <v>3417.7390725</v>
      </c>
      <c r="F87" s="75">
        <f t="shared" si="33"/>
        <v>3906.3341579999997</v>
      </c>
      <c r="G87" s="75">
        <f t="shared" si="33"/>
        <v>3675.5257484999997</v>
      </c>
      <c r="H87" s="75">
        <f t="shared" si="33"/>
        <v>3926.7138044999997</v>
      </c>
      <c r="I87" s="75">
        <f t="shared" si="33"/>
        <v>4200.048932999999</v>
      </c>
      <c r="J87" s="75">
        <f t="shared" si="33"/>
        <v>4241.781209999999</v>
      </c>
      <c r="K87" s="75">
        <f t="shared" si="33"/>
        <v>4775.3509545</v>
      </c>
      <c r="L87" s="75">
        <f t="shared" si="33"/>
        <v>3566.5259385000004</v>
      </c>
      <c r="M87" s="75">
        <f t="shared" si="33"/>
        <v>3865.6293344999995</v>
      </c>
      <c r="N87" s="75">
        <f t="shared" si="33"/>
        <v>3950.1009817500003</v>
      </c>
      <c r="S87" s="102"/>
      <c r="T87" s="102"/>
    </row>
    <row r="88" spans="2:20" ht="11.25">
      <c r="B88" s="66" t="s">
        <v>56</v>
      </c>
      <c r="C88" s="97">
        <f aca="true" t="shared" si="34" ref="C88:N88">+C75*C61</f>
        <v>0</v>
      </c>
      <c r="D88" s="75">
        <f t="shared" si="34"/>
        <v>0</v>
      </c>
      <c r="E88" s="75">
        <f t="shared" si="34"/>
        <v>0</v>
      </c>
      <c r="F88" s="75">
        <f t="shared" si="34"/>
        <v>0</v>
      </c>
      <c r="G88" s="75">
        <f t="shared" si="34"/>
        <v>0</v>
      </c>
      <c r="H88" s="75">
        <f t="shared" si="34"/>
        <v>0</v>
      </c>
      <c r="I88" s="75">
        <f t="shared" si="34"/>
        <v>0</v>
      </c>
      <c r="J88" s="75">
        <f t="shared" si="34"/>
        <v>0</v>
      </c>
      <c r="K88" s="75">
        <f t="shared" si="34"/>
        <v>0</v>
      </c>
      <c r="L88" s="75">
        <f t="shared" si="34"/>
        <v>0</v>
      </c>
      <c r="M88" s="75">
        <f t="shared" si="34"/>
        <v>0</v>
      </c>
      <c r="N88" s="75">
        <f t="shared" si="34"/>
        <v>0</v>
      </c>
      <c r="S88" s="102"/>
      <c r="T88" s="102"/>
    </row>
    <row r="89" spans="2:20" ht="11.25">
      <c r="B89" s="66" t="s">
        <v>49</v>
      </c>
      <c r="C89" s="97">
        <f aca="true" t="shared" si="35" ref="C89:N89">+C76*C62</f>
        <v>-1578.14268352</v>
      </c>
      <c r="D89" s="75">
        <f t="shared" si="35"/>
        <v>-618.5227776000002</v>
      </c>
      <c r="E89" s="75">
        <f t="shared" si="35"/>
        <v>-611.3548282400001</v>
      </c>
      <c r="F89" s="75">
        <f t="shared" si="35"/>
        <v>-441.42692048</v>
      </c>
      <c r="G89" s="75">
        <f t="shared" si="35"/>
        <v>-509.98840464</v>
      </c>
      <c r="H89" s="75">
        <f t="shared" si="35"/>
        <v>-828.71301344</v>
      </c>
      <c r="I89" s="75">
        <f t="shared" si="35"/>
        <v>-255.76124912</v>
      </c>
      <c r="J89" s="75">
        <f t="shared" si="35"/>
        <v>-971.8223944000001</v>
      </c>
      <c r="K89" s="75">
        <f t="shared" si="35"/>
        <v>-1109.0185579200001</v>
      </c>
      <c r="L89" s="75">
        <f t="shared" si="35"/>
        <v>-681.4883649600001</v>
      </c>
      <c r="M89" s="75">
        <f t="shared" si="35"/>
        <v>-838.657872</v>
      </c>
      <c r="N89" s="75">
        <f t="shared" si="35"/>
        <v>-962.3358544800002</v>
      </c>
      <c r="S89" s="102"/>
      <c r="T89" s="102"/>
    </row>
    <row r="90" spans="2:20" ht="11.25">
      <c r="B90" s="66" t="s">
        <v>57</v>
      </c>
      <c r="C90" s="97">
        <f aca="true" t="shared" si="36" ref="C90:N90">+C77*C63</f>
        <v>0</v>
      </c>
      <c r="D90" s="75">
        <f t="shared" si="36"/>
        <v>0</v>
      </c>
      <c r="E90" s="75">
        <f t="shared" si="36"/>
        <v>0</v>
      </c>
      <c r="F90" s="75">
        <f t="shared" si="36"/>
        <v>0</v>
      </c>
      <c r="G90" s="75">
        <f t="shared" si="36"/>
        <v>0</v>
      </c>
      <c r="H90" s="75">
        <f t="shared" si="36"/>
        <v>0</v>
      </c>
      <c r="I90" s="75">
        <f t="shared" si="36"/>
        <v>0</v>
      </c>
      <c r="J90" s="75">
        <f t="shared" si="36"/>
        <v>0</v>
      </c>
      <c r="K90" s="75">
        <f t="shared" si="36"/>
        <v>0</v>
      </c>
      <c r="L90" s="75">
        <f t="shared" si="36"/>
        <v>0</v>
      </c>
      <c r="M90" s="75">
        <f t="shared" si="36"/>
        <v>0</v>
      </c>
      <c r="N90" s="75">
        <f t="shared" si="36"/>
        <v>0</v>
      </c>
      <c r="S90" s="102"/>
      <c r="T90" s="102"/>
    </row>
    <row r="91" spans="2:14" ht="11.25">
      <c r="B91" s="66" t="s">
        <v>58</v>
      </c>
      <c r="C91" s="97">
        <f aca="true" t="shared" si="37" ref="C91:N91">+C78*C64</f>
        <v>-4477.76515448001</v>
      </c>
      <c r="D91" s="75">
        <f t="shared" si="37"/>
        <v>-4362.75624981001</v>
      </c>
      <c r="E91" s="75">
        <f t="shared" si="37"/>
        <v>-4175.198355310009</v>
      </c>
      <c r="F91" s="75">
        <f t="shared" si="37"/>
        <v>-4591.497069230009</v>
      </c>
      <c r="G91" s="75">
        <f t="shared" si="37"/>
        <v>-4103.766731660009</v>
      </c>
      <c r="H91" s="75">
        <f t="shared" si="37"/>
        <v>-4260.8364918200095</v>
      </c>
      <c r="I91" s="75">
        <f t="shared" si="37"/>
        <v>-4599.87731558001</v>
      </c>
      <c r="J91" s="75">
        <f t="shared" si="37"/>
        <v>-4637.46870635001</v>
      </c>
      <c r="K91" s="75">
        <f t="shared" si="37"/>
        <v>-5016.415465110012</v>
      </c>
      <c r="L91" s="75">
        <f t="shared" si="37"/>
        <v>-3840.706808140009</v>
      </c>
      <c r="M91" s="75">
        <f t="shared" si="37"/>
        <v>-4206.564420220009</v>
      </c>
      <c r="N91" s="75">
        <f t="shared" si="37"/>
        <v>-4246.55016709001</v>
      </c>
    </row>
    <row r="92" spans="2:14" ht="11.25">
      <c r="B92" s="66" t="s">
        <v>59</v>
      </c>
      <c r="C92" s="98">
        <f aca="true" t="shared" si="38" ref="C92:N92">+C79*C65</f>
        <v>10857.836294079996</v>
      </c>
      <c r="D92" s="89">
        <f t="shared" si="38"/>
        <v>13875.42852191999</v>
      </c>
      <c r="E92" s="89">
        <f t="shared" si="38"/>
        <v>15729.991784959988</v>
      </c>
      <c r="F92" s="89">
        <f t="shared" si="38"/>
        <v>14293.757741619987</v>
      </c>
      <c r="G92" s="75">
        <f t="shared" si="38"/>
        <v>9572.041723399992</v>
      </c>
      <c r="H92" s="75">
        <f t="shared" si="38"/>
        <v>9486.583292559995</v>
      </c>
      <c r="I92" s="75">
        <f t="shared" si="38"/>
        <v>9801.889304199996</v>
      </c>
      <c r="J92" s="75">
        <f t="shared" si="38"/>
        <v>9326.656673199996</v>
      </c>
      <c r="K92" s="75">
        <f t="shared" si="38"/>
        <v>8124.822522179997</v>
      </c>
      <c r="L92" s="75">
        <f t="shared" si="38"/>
        <v>-3377.422358759999</v>
      </c>
      <c r="M92" s="75">
        <f t="shared" si="38"/>
        <v>-3627.913152119998</v>
      </c>
      <c r="N92" s="75">
        <f t="shared" si="38"/>
        <v>-5661.710047839999</v>
      </c>
    </row>
    <row r="93" spans="1:16" ht="11.25">
      <c r="A93" s="83" t="s">
        <v>65</v>
      </c>
      <c r="B93" s="83"/>
      <c r="C93" s="99">
        <f aca="true" t="shared" si="39" ref="C93:N93">SUM(C82:C92)</f>
        <v>32017.26914047998</v>
      </c>
      <c r="D93" s="100">
        <f t="shared" si="39"/>
        <v>39522.087497129985</v>
      </c>
      <c r="E93" s="100">
        <f t="shared" si="39"/>
        <v>41690.46608074998</v>
      </c>
      <c r="F93" s="100">
        <f t="shared" si="39"/>
        <v>40150.45386132998</v>
      </c>
      <c r="G93" s="100">
        <f t="shared" si="39"/>
        <v>27492.449269579985</v>
      </c>
      <c r="H93" s="100">
        <f t="shared" si="39"/>
        <v>24210.873985299986</v>
      </c>
      <c r="I93" s="100">
        <f t="shared" si="39"/>
        <v>30320.33447743998</v>
      </c>
      <c r="J93" s="100">
        <f t="shared" si="39"/>
        <v>28511.217643049986</v>
      </c>
      <c r="K93" s="109">
        <f t="shared" si="39"/>
        <v>25999.167962669984</v>
      </c>
      <c r="L93" s="109">
        <f t="shared" si="39"/>
        <v>1927.426135019994</v>
      </c>
      <c r="M93" s="109">
        <f t="shared" si="39"/>
        <v>2267.290896199993</v>
      </c>
      <c r="N93" s="109">
        <f t="shared" si="39"/>
        <v>2081.158816659992</v>
      </c>
      <c r="O93" s="110">
        <f>SUM(C93:N93)</f>
        <v>296190.19576560985</v>
      </c>
      <c r="P93" s="110">
        <f>O93/2</f>
        <v>148095.09788280493</v>
      </c>
    </row>
    <row r="94" spans="1:14" ht="11.25">
      <c r="A94" s="83" t="s">
        <v>66</v>
      </c>
      <c r="B94" s="83"/>
      <c r="C94" s="99">
        <f>+C93/C66</f>
        <v>57.06771199999997</v>
      </c>
      <c r="D94" s="100">
        <f aca="true" t="shared" si="40" ref="D94:N94">+D93/D66</f>
        <v>72.30135099999997</v>
      </c>
      <c r="E94" s="100">
        <f>+E93/E66</f>
        <v>79.69427499999996</v>
      </c>
      <c r="F94" s="100">
        <f t="shared" si="40"/>
        <v>69.79167699999996</v>
      </c>
      <c r="G94" s="100">
        <f t="shared" si="40"/>
        <v>53.46853099999998</v>
      </c>
      <c r="H94" s="100">
        <f t="shared" si="40"/>
        <v>45.35060499999997</v>
      </c>
      <c r="I94" s="100">
        <f t="shared" si="40"/>
        <v>52.60841599999996</v>
      </c>
      <c r="J94" s="100">
        <f t="shared" si="40"/>
        <v>49.06844099999998</v>
      </c>
      <c r="K94" s="75">
        <f t="shared" si="40"/>
        <v>41.365038999999975</v>
      </c>
      <c r="L94" s="75">
        <f t="shared" si="40"/>
        <v>4.005290999999987</v>
      </c>
      <c r="M94" s="75">
        <f t="shared" si="40"/>
        <v>4.301769999999987</v>
      </c>
      <c r="N94" s="75">
        <f t="shared" si="40"/>
        <v>3.911437999999985</v>
      </c>
    </row>
    <row r="95" ht="7.5" customHeight="1"/>
    <row r="96" spans="1:14" ht="11.25">
      <c r="A96" s="83" t="s">
        <v>80</v>
      </c>
      <c r="C96" s="110">
        <f>C94*0.7</f>
        <v>39.947398399999976</v>
      </c>
      <c r="D96" s="110">
        <f aca="true" t="shared" si="41" ref="D96:N96">D94*0.7</f>
        <v>50.610945699999974</v>
      </c>
      <c r="E96" s="110">
        <f>E94*0.7</f>
        <v>55.78599249999997</v>
      </c>
      <c r="F96" s="110">
        <f t="shared" si="41"/>
        <v>48.85417389999997</v>
      </c>
      <c r="G96" s="110">
        <f t="shared" si="41"/>
        <v>37.42797169999998</v>
      </c>
      <c r="H96" s="110">
        <f t="shared" si="41"/>
        <v>31.74542349999998</v>
      </c>
      <c r="I96" s="110">
        <f t="shared" si="41"/>
        <v>36.82589119999997</v>
      </c>
      <c r="J96" s="110">
        <f t="shared" si="41"/>
        <v>34.347908699999984</v>
      </c>
      <c r="K96" s="110">
        <f t="shared" si="41"/>
        <v>28.95552729999998</v>
      </c>
      <c r="L96" s="110">
        <f t="shared" si="41"/>
        <v>2.803703699999991</v>
      </c>
      <c r="M96" s="110">
        <f t="shared" si="41"/>
        <v>3.011238999999991</v>
      </c>
      <c r="N96" s="110">
        <f t="shared" si="41"/>
        <v>2.738006599999989</v>
      </c>
    </row>
    <row r="97" spans="3:10" ht="11.25">
      <c r="C97" s="101"/>
      <c r="D97" s="101"/>
      <c r="E97" s="101"/>
      <c r="F97" s="101"/>
      <c r="G97" s="101"/>
      <c r="H97" s="101"/>
      <c r="I97" s="101"/>
      <c r="J97" s="102"/>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S:\District\~WUTC Files~\1. RSA\2017-2019 Plan Year\June UTC Filing\Lynnwood Tariff 4\Lynnwood Commodity Credit Tariff Pages 2018\[Lynnwood Commodity Credit Tariff Pages 2018.xls]Item 100, page 1</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2017-06-14T20:11:39Z</cp:lastPrinted>
  <dcterms:created xsi:type="dcterms:W3CDTF">2008-05-23T15:47:44Z</dcterms:created>
  <dcterms:modified xsi:type="dcterms:W3CDTF">2018-05-29T15:19:59Z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180486</vt:lpwstr>
  </property>
  <property fmtid="{D5CDD505-2E9C-101B-9397-08002B2CF9AE}" pid="10" name="Dat">
    <vt:lpwstr>2018-05-31T00:00:00Z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2018-05-31T00:00:00Z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