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5" i="3"/>
  <c r="G63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5" i="3"/>
  <c r="F63" i="3" l="1"/>
  <c r="D19" i="1" s="1"/>
  <c r="E63" i="3" l="1"/>
  <c r="B63" i="3"/>
  <c r="C8" i="4" l="1"/>
  <c r="B8" i="4"/>
  <c r="D8" i="4"/>
  <c r="C5" i="4"/>
  <c r="B5" i="4"/>
  <c r="D5" i="4"/>
  <c r="C4" i="4"/>
  <c r="B4" i="4"/>
  <c r="D4" i="4"/>
  <c r="B31" i="4" l="1"/>
  <c r="B23" i="4"/>
  <c r="C6" i="4"/>
  <c r="C7" i="4"/>
  <c r="C9" i="4"/>
  <c r="D13" i="1" l="1"/>
  <c r="D6" i="4"/>
  <c r="D7" i="4"/>
  <c r="D9" i="4"/>
  <c r="D10" i="4"/>
  <c r="P32" i="4"/>
  <c r="V32" i="4" s="1"/>
  <c r="W32" i="4" s="1"/>
  <c r="P31" i="4"/>
  <c r="V31" i="4" s="1"/>
  <c r="W31" i="4" s="1"/>
  <c r="P30" i="4"/>
  <c r="V30" i="4" s="1"/>
  <c r="W30" i="4" s="1"/>
  <c r="P29" i="4"/>
  <c r="V29" i="4" s="1"/>
  <c r="W29" i="4" s="1"/>
  <c r="G29" i="4"/>
  <c r="G30" i="4" s="1"/>
  <c r="G31" i="4" s="1"/>
  <c r="G32" i="4" s="1"/>
  <c r="P28" i="4"/>
  <c r="V28" i="4" s="1"/>
  <c r="W28" i="4" s="1"/>
  <c r="G28" i="4"/>
  <c r="M27" i="4"/>
  <c r="P27" i="4" s="1"/>
  <c r="V27" i="4" s="1"/>
  <c r="W27" i="4" s="1"/>
  <c r="G27" i="4"/>
  <c r="P26" i="4"/>
  <c r="V26" i="4" s="1"/>
  <c r="W26" i="4" s="1"/>
  <c r="P24" i="4"/>
  <c r="V24" i="4" s="1"/>
  <c r="W24" i="4" s="1"/>
  <c r="B1" i="4" l="1"/>
  <c r="C2" i="4"/>
  <c r="B3" i="4"/>
  <c r="D20" i="1"/>
  <c r="G11" i="1"/>
  <c r="G10" i="1"/>
  <c r="D5" i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E18" i="1" l="1"/>
  <c r="E19" i="1"/>
  <c r="D41" i="4"/>
  <c r="F18" i="1" l="1"/>
  <c r="C41" i="4"/>
  <c r="H3" i="3" s="1"/>
  <c r="F20" i="1" l="1"/>
  <c r="G20" i="1" s="1"/>
</calcChain>
</file>

<file path=xl/comments1.xml><?xml version="1.0" encoding="utf-8"?>
<comments xmlns="http://schemas.openxmlformats.org/spreadsheetml/2006/main">
  <authors>
    <author>jyl3501</author>
    <author>kkb4463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request from UTC.</t>
        </r>
      </text>
    </comment>
    <comment ref="K22" authorId="1" shapeId="0">
      <text>
        <r>
          <rPr>
            <sz val="8"/>
            <color indexed="81"/>
            <rFont val="Tahoma"/>
            <family val="2"/>
          </rPr>
          <t xml:space="preserve">Avista Corp. 2009 FERC Financial Report, Form No. 1
</t>
        </r>
      </text>
    </comment>
    <comment ref="M22" authorId="1" shapeId="0">
      <text>
        <r>
          <rPr>
            <b/>
            <sz val="8"/>
            <color indexed="81"/>
            <rFont val="Tahoma"/>
            <family val="2"/>
          </rPr>
          <t>Avista Corp. 2009 FERC Financial Report, Form No. 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1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11.2 , Table 7.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2" authorId="1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7" authorId="1" shapeId="0">
      <text>
        <r>
          <rPr>
            <b/>
            <sz val="8"/>
            <color indexed="81"/>
            <rFont val="Tahoma"/>
            <family val="2"/>
          </rPr>
          <t>value for Distillate Fuel Oil from WRI/WBCSD GHG Protocol "Calculation Tool for Direct Emissions from Stationary Combustion",   Sec. 11.2 , Table 7.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<sst xmlns="http://schemas.openxmlformats.org/spreadsheetml/2006/main" count="343" uniqueCount="236">
  <si>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</si>
  <si>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</si>
  <si>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</si>
  <si>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</si>
  <si>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</si>
  <si>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</si>
  <si>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</si>
  <si>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</si>
  <si>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</si>
  <si>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</si>
  <si>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</si>
  <si>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</si>
  <si>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</si>
  <si>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</si>
  <si>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</si>
  <si>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</si>
  <si>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</si>
  <si>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</si>
  <si>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</si>
  <si>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</si>
  <si>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</si>
  <si>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</si>
  <si>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</si>
  <si>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</si>
  <si>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</si>
  <si>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</si>
  <si>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</si>
  <si>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</si>
  <si>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</si>
  <si>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</si>
  <si>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</si>
  <si>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</si>
  <si>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</si>
  <si>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</si>
  <si>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</si>
  <si>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</si>
  <si>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</si>
  <si>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</si>
  <si>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</si>
  <si>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</si>
  <si>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</si>
  <si>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</si>
  <si>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</si>
  <si>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</si>
  <si>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</si>
  <si>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</si>
  <si>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</si>
  <si>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</si>
  <si>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</si>
  <si>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</si>
  <si>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</si>
  <si>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Kettle Falls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</si>
  <si>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</si>
  <si>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</si>
  <si>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</si>
  <si>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</si>
  <si>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</si>
  <si>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</si>
  <si>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</si>
  <si>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</si>
  <si>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</si>
  <si>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</si>
  <si>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</si>
  <si>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</si>
  <si>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</si>
  <si>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</si>
  <si>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</t>
  </si>
  <si>
    <t>Long Lake-Hydro</t>
  </si>
  <si>
    <t>Upper Falls-Hydro</t>
  </si>
  <si>
    <t>Cabinet Gorge-Hydro</t>
  </si>
  <si>
    <t>Noxon Rapids-Hydro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</si>
  <si>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</si>
  <si>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</si>
  <si>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</si>
  <si>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</si>
  <si>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</si>
  <si>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</si>
  <si>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</si>
  <si>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</si>
  <si>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</si>
  <si>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</si>
  <si>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</si>
  <si>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</si>
  <si>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</si>
  <si>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</si>
  <si>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</si>
  <si>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</si>
  <si>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</si>
  <si>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</si>
  <si>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</si>
  <si>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</si>
  <si>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</si>
  <si>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</si>
  <si>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</si>
  <si>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</si>
  <si>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</si>
  <si>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</si>
  <si>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</si>
  <si>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</si>
  <si>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</si>
  <si>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</si>
  <si>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</si>
  <si>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</si>
  <si>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</si>
  <si>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</si>
  <si>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</si>
  <si>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</si>
  <si>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</si>
  <si>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</si>
  <si>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</si>
  <si>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</si>
  <si>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</si>
  <si>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</si>
  <si>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</si>
  <si>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</si>
  <si>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</si>
  <si>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</si>
  <si>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</si>
  <si>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</si>
  <si>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</si>
  <si>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</si>
  <si>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</si>
  <si>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C/MMBtu</t>
  </si>
  <si>
    <t>Oil</t>
  </si>
  <si>
    <t>Bbl</t>
  </si>
  <si>
    <t>MMbtu/Bbl</t>
  </si>
  <si>
    <t>Rathdrum</t>
  </si>
  <si>
    <t>MMscf</t>
  </si>
  <si>
    <t>btu/scf</t>
  </si>
  <si>
    <t>Northeast</t>
  </si>
  <si>
    <t>Barclays Bank Plc</t>
  </si>
  <si>
    <t>Black Hills Power Inc.</t>
  </si>
  <si>
    <t>BP Energy Co.</t>
  </si>
  <si>
    <t>Chelan County PUD No. 1</t>
  </si>
  <si>
    <t>Clatskanie Peoples Util Dist</t>
  </si>
  <si>
    <t>Constellation Energy</t>
  </si>
  <si>
    <t>Constellation Energy Services</t>
  </si>
  <si>
    <t>EDF Trading North America LLC</t>
  </si>
  <si>
    <t>Endure Energy LLC</t>
  </si>
  <si>
    <t>Engy Authrty</t>
  </si>
  <si>
    <t>Eugene City of</t>
  </si>
  <si>
    <t>GenOn Energy Inc</t>
  </si>
  <si>
    <t>Iberdrola Renewables LLC</t>
  </si>
  <si>
    <t>Idaho Power Co.</t>
  </si>
  <si>
    <t>Inland Power &amp; Light Co.</t>
  </si>
  <si>
    <t>JP Morgan Ventures Energy Corp</t>
  </si>
  <si>
    <t>Macquarie Cook Energy LLC</t>
  </si>
  <si>
    <t>Morgan Stanley Capital Group</t>
  </si>
  <si>
    <t>NorthPoint Energy Solutions</t>
  </si>
  <si>
    <t>NorthWestern Corp.</t>
  </si>
  <si>
    <t>Pacific Northwest Gen Coop</t>
  </si>
  <si>
    <t>PacifiCorp</t>
  </si>
  <si>
    <t>Portland General Electric Co.</t>
  </si>
  <si>
    <t>Powerex Corp.</t>
  </si>
  <si>
    <t>PUD No 1 of Okanogan County</t>
  </si>
  <si>
    <t>PUD No 1 of Pend Oreille Cnty</t>
  </si>
  <si>
    <t>Puget Sound Energy Inc.</t>
  </si>
  <si>
    <t>Rainbow Energy Marketing Corp</t>
  </si>
  <si>
    <t>San Diego Gas &amp; Electric Co.</t>
  </si>
  <si>
    <t>Seattle City Light</t>
  </si>
  <si>
    <t>Sempra Energy Trading</t>
  </si>
  <si>
    <t>Shell Energy North America US</t>
  </si>
  <si>
    <t>Sierra Pacific Power Co.</t>
  </si>
  <si>
    <t>SMUD</t>
  </si>
  <si>
    <t>Sovereign Power</t>
  </si>
  <si>
    <t>Tacoma Public Utilities</t>
  </si>
  <si>
    <t>Talen Energy Marketing, LLC</t>
  </si>
  <si>
    <t>Black Creek Hydro Inc (PURPA Hydro)</t>
  </si>
  <si>
    <t>Bonneville Power Administration (Known)</t>
  </si>
  <si>
    <t>Chelan County PUD No. 1 (Rocky Reach Hydro)</t>
  </si>
  <si>
    <t>Ford Electronics (PURPA Hydro)</t>
  </si>
  <si>
    <t>Grant County Public Utility (Priest Rapids Hydro)</t>
  </si>
  <si>
    <t>Grant County Public Utility (Wanapum Hydro)</t>
  </si>
  <si>
    <t>Hydro Technology Systems Inc (PURPA Hydro)</t>
  </si>
  <si>
    <t>Iberdrola Renewables LLC (PPM Energy - Stateline)</t>
  </si>
  <si>
    <t>Jim White (PURPA Hydro)</t>
  </si>
  <si>
    <t>John Day Hydro (PURPA Hydro)</t>
  </si>
  <si>
    <t>Clint Kalich (PURPA Wind)</t>
  </si>
  <si>
    <t>Phillips Ranch (PURPA Hydro)</t>
  </si>
  <si>
    <t>PUD No 1 of Dougas County (Wells Hydro)</t>
  </si>
  <si>
    <t>Sheep Creek Hydro (PURPA Hydro)</t>
  </si>
  <si>
    <t>Spokane City of (Upriver Hydro)</t>
  </si>
  <si>
    <t>Stimson Lumber (PURPA Biomass)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</si>
  <si>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</si>
  <si>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</si>
  <si>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</si>
  <si>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</si>
  <si>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</si>
  <si>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</si>
  <si>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</si>
  <si>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</si>
  <si>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Gross Load (MW-h)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</si>
  <si>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</si>
  <si>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</si>
  <si>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</si>
  <si>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</si>
  <si>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</si>
  <si>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</si>
  <si>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</si>
  <si>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</si>
  <si>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</si>
  <si>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</si>
  <si>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</si>
  <si>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</si>
  <si>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</si>
  <si>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</si>
  <si>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</si>
  <si>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BC Transmission Corp.</t>
  </si>
  <si>
    <t>BNP Paribas Energy Trading</t>
  </si>
  <si>
    <t>Bonneville Power Admin</t>
  </si>
  <si>
    <t>Cargill Inc.</t>
  </si>
  <si>
    <t>Citigroup Energy Inc.</t>
  </si>
  <si>
    <t>ConocoPhillips Co.</t>
  </si>
  <si>
    <t>Credit Suisse Energy</t>
  </si>
  <si>
    <t>Grant County Public Utility</t>
  </si>
  <si>
    <t>Hinson Power Co. Inc</t>
  </si>
  <si>
    <t>Modesto Irrigation District</t>
  </si>
  <si>
    <t>NaturEner Glacier Wind Energy</t>
  </si>
  <si>
    <t>NaturEner Power Watch LLC</t>
  </si>
  <si>
    <t>Nexen Marketing U.S.A. Inc.</t>
  </si>
  <si>
    <t>PUD No 1 of Douglas County</t>
  </si>
  <si>
    <t>PUD No 1 of Snohomish County</t>
  </si>
  <si>
    <t>Public Service Co. of CO</t>
  </si>
  <si>
    <t>TransAlta Energy Marketing (US</t>
  </si>
  <si>
    <t>Redding City of</t>
  </si>
  <si>
    <t>Revenue Adjustment</t>
  </si>
  <si>
    <t>Turlock Irrigation District</t>
  </si>
  <si>
    <t>2016 report was missing Cargill, Inc. 13,868 MWh</t>
  </si>
  <si>
    <t>Totals</t>
  </si>
  <si>
    <t>Washington Department of Commerce Fuel Mix Report =</t>
  </si>
  <si>
    <t>Net Purchase</t>
  </si>
  <si>
    <t xml:space="preserve">Unknown Resources for Washington Customers </t>
  </si>
  <si>
    <t>Avista =</t>
  </si>
  <si>
    <t>Net Purchases</t>
  </si>
  <si>
    <t>Tons of CO2 Emissions</t>
  </si>
  <si>
    <t>Net Lbs CO2 from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</si>
</sst>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00"/>
    <numFmt numFmtId="168" formatCode="#,##0.0"/>
    <numFmt numFmtId="169" formatCode="#####0;\(#####0\)"/>
    <numFmt numFmtId="170" formatCode="###,##0.000;\(###,##0.000\)"/>
    <numFmt numFmtId="171" formatCode="###,##0;\(###,##0\)"/>
    <numFmt numFmtId="172" formatCode="0_);\(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0" borderId="0"/>
  </cellStyleXfs>
  <cellXfs count="164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3" fontId="0" fillId="4" borderId="2" xfId="1" applyNumberFormat="1" applyFont="1" applyFill="1" applyBorder="1" applyAlignment="1" applyProtection="1">
      <alignment horizontal="center" vertical="center"/>
      <protection locked="0"/>
    </xf>
    <xf numFmtId="3" fontId="0" fillId="4" borderId="2" xfId="1" quotePrefix="1" applyNumberFormat="1" applyFont="1" applyFill="1" applyBorder="1" applyAlignment="1" applyProtection="1">
      <alignment horizontal="center" vertical="center"/>
      <protection locked="0"/>
    </xf>
    <xf numFmtId="0" fontId="10" fillId="3" borderId="2" xfId="0" quotePrefix="1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3" fillId="0" borderId="8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3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67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2" xfId="2" applyFont="1" applyFill="1" applyBorder="1" applyAlignment="1" applyProtection="1">
      <alignment horizontal="center" vertical="center" wrapText="1"/>
      <protection locked="0"/>
    </xf>
    <xf numFmtId="2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2" fontId="16" fillId="6" borderId="0" xfId="0" applyNumberFormat="1" applyFont="1" applyFill="1" applyBorder="1" applyAlignment="1" applyProtection="1">
      <alignment horizontal="center" vertical="center"/>
      <protection locked="0"/>
    </xf>
    <xf numFmtId="4" fontId="17" fillId="6" borderId="2" xfId="0" applyNumberFormat="1" applyFont="1" applyFill="1" applyBorder="1" applyAlignment="1" applyProtection="1">
      <alignment horizontal="center" vertical="center"/>
      <protection locked="0"/>
    </xf>
    <xf numFmtId="2" fontId="1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2" xfId="0" applyFont="1" applyFill="1" applyBorder="1" applyAlignment="1" applyProtection="1">
      <alignment horizontal="center" vertical="center" wrapText="1"/>
      <protection locked="0"/>
    </xf>
    <xf numFmtId="0" fontId="17" fillId="6" borderId="3" xfId="0" applyFont="1" applyFill="1" applyBorder="1" applyAlignment="1" applyProtection="1">
      <alignment horizontal="center" vertical="center" wrapText="1"/>
      <protection locked="0"/>
    </xf>
    <xf numFmtId="2" fontId="1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9" fontId="11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68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4"/>
    <xf numFmtId="0" fontId="13" fillId="0" borderId="0" xfId="4" applyFont="1" applyAlignment="1">
      <alignment horizontal="left"/>
    </xf>
    <xf numFmtId="0" fontId="11" fillId="0" borderId="0" xfId="4" applyAlignment="1">
      <alignment horizontal="left"/>
    </xf>
    <xf numFmtId="169" fontId="11" fillId="0" borderId="0" xfId="4" applyNumberFormat="1" applyAlignment="1">
      <alignment horizontal="left"/>
    </xf>
    <xf numFmtId="170" fontId="11" fillId="0" borderId="0" xfId="4" applyNumberFormat="1" applyAlignment="1">
      <alignment horizontal="right"/>
    </xf>
    <xf numFmtId="171" fontId="11" fillId="0" borderId="0" xfId="4" applyNumberFormat="1" applyAlignment="1">
      <alignment horizontal="right"/>
    </xf>
    <xf numFmtId="43" fontId="0" fillId="2" borderId="2" xfId="1" applyNumberFormat="1" applyFont="1" applyFill="1" applyBorder="1"/>
    <xf numFmtId="43" fontId="0" fillId="10" borderId="0" xfId="0" applyNumberFormat="1" applyFill="1"/>
    <xf numFmtId="11" fontId="0" fillId="0" borderId="0" xfId="0" applyNumberFormat="1"/>
    <xf numFmtId="171" fontId="0" fillId="0" borderId="0" xfId="0" applyNumberFormat="1"/>
    <xf numFmtId="0" fontId="11" fillId="0" borderId="0" xfId="4" applyFill="1" applyAlignment="1">
      <alignment horizontal="left"/>
    </xf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72" fontId="11" fillId="0" borderId="0" xfId="1" applyNumberFormat="1" applyFont="1" applyAlignment="1">
      <alignment horizontal="right"/>
    </xf>
    <xf numFmtId="43" fontId="0" fillId="0" borderId="0" xfId="0" applyNumberFormat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0" fontId="4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4"/>
    <cellStyle name="Percent" xfId="2" builtinId="5"/>
    <cellStyle name="Style 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D18" sqref="D18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8</v>
      </c>
    </row>
    <row r="2" spans="1:7" ht="15.75" thickBot="1" x14ac:dyDescent="0.3"/>
    <row r="3" spans="1:7" x14ac:dyDescent="0.25">
      <c r="A3" s="55"/>
      <c r="B3" s="56" t="s">
        <v>12</v>
      </c>
      <c r="C3" s="57" t="s">
        <v>20</v>
      </c>
      <c r="D3" s="62"/>
      <c r="E3" s="60"/>
    </row>
    <row r="4" spans="1:7" x14ac:dyDescent="0.25">
      <c r="A4" s="152" t="s">
        <v>13</v>
      </c>
      <c r="B4" s="154"/>
      <c r="C4" s="32">
        <v>2009</v>
      </c>
      <c r="D4" s="65" t="s">
        <v>35</v>
      </c>
      <c r="E4" s="61"/>
    </row>
    <row r="5" spans="1:7" ht="15.75" thickBot="1" x14ac:dyDescent="0.3">
      <c r="A5" s="155" t="s">
        <v>18</v>
      </c>
      <c r="B5" s="156"/>
      <c r="C5" s="58">
        <v>507649</v>
      </c>
      <c r="D5" s="59">
        <f>+D13/C5</f>
        <v>10.713087192134722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32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17</v>
      </c>
      <c r="G8" s="48" t="s">
        <v>36</v>
      </c>
    </row>
    <row r="9" spans="1:7" x14ac:dyDescent="0.25">
      <c r="A9" s="38"/>
      <c r="B9" s="11"/>
      <c r="C9" s="11"/>
      <c r="D9" s="13" t="s">
        <v>11</v>
      </c>
      <c r="E9" s="25" t="s">
        <v>25</v>
      </c>
      <c r="F9" s="18" t="s">
        <v>31</v>
      </c>
      <c r="G9" s="49" t="s">
        <v>17</v>
      </c>
    </row>
    <row r="10" spans="1:7" x14ac:dyDescent="0.25">
      <c r="A10" s="152" t="s">
        <v>9</v>
      </c>
      <c r="B10" s="153"/>
      <c r="C10" s="154"/>
      <c r="D10" s="63">
        <v>2549035</v>
      </c>
      <c r="E10" s="12">
        <f>+D10/D13</f>
        <v>0.46870288212459049</v>
      </c>
      <c r="F10" s="34">
        <v>209267</v>
      </c>
      <c r="G10" s="50">
        <f>+D10/F10</f>
        <v>12.18077862252529</v>
      </c>
    </row>
    <row r="11" spans="1:7" x14ac:dyDescent="0.25">
      <c r="A11" s="152" t="s">
        <v>14</v>
      </c>
      <c r="B11" s="153"/>
      <c r="C11" s="154"/>
      <c r="D11" s="63">
        <v>2149572</v>
      </c>
      <c r="E11" s="12">
        <f>+D11/D13</f>
        <v>0.3952517685062466</v>
      </c>
      <c r="F11" s="27">
        <v>22791</v>
      </c>
      <c r="G11" s="50">
        <f>+D11/F11</f>
        <v>94.316703962090301</v>
      </c>
    </row>
    <row r="12" spans="1:7" x14ac:dyDescent="0.25">
      <c r="A12" s="152" t="s">
        <v>15</v>
      </c>
      <c r="B12" s="153"/>
      <c r="C12" s="154"/>
      <c r="D12" s="63">
        <v>739881</v>
      </c>
      <c r="E12" s="12">
        <f>+D12/D13</f>
        <v>0.1360453493691629</v>
      </c>
      <c r="F12" s="5"/>
      <c r="G12" s="39"/>
    </row>
    <row r="13" spans="1:7" ht="15.75" thickBot="1" x14ac:dyDescent="0.3">
      <c r="A13" s="40"/>
      <c r="B13" s="157" t="s">
        <v>10</v>
      </c>
      <c r="C13" s="156"/>
      <c r="D13" s="64">
        <f>SUM(D10:D12)</f>
        <v>5438488</v>
      </c>
      <c r="E13" s="41"/>
      <c r="F13" s="42"/>
      <c r="G13" s="43"/>
    </row>
    <row r="15" spans="1:7" ht="19.5" thickBot="1" x14ac:dyDescent="0.35">
      <c r="B15" s="54" t="s">
        <v>33</v>
      </c>
    </row>
    <row r="16" spans="1:7" x14ac:dyDescent="0.25">
      <c r="A16" s="35"/>
      <c r="B16" s="36"/>
      <c r="C16" s="36"/>
      <c r="D16" s="36"/>
      <c r="E16" s="37" t="s">
        <v>26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16</v>
      </c>
      <c r="E17" s="18" t="s">
        <v>27</v>
      </c>
      <c r="F17" s="14" t="s">
        <v>6</v>
      </c>
      <c r="G17" s="39"/>
    </row>
    <row r="18" spans="1:8" ht="15.75" thickBot="1" x14ac:dyDescent="0.3">
      <c r="A18" s="152" t="s">
        <v>29</v>
      </c>
      <c r="B18" s="153"/>
      <c r="C18" s="154"/>
      <c r="D18" s="6">
        <f>+'Known Resources'!B41*0.65</f>
        <v>5338091.274425</v>
      </c>
      <c r="E18" s="12">
        <f>+D18/(D18+D19)</f>
        <v>0.89046568560400663</v>
      </c>
      <c r="F18" s="6">
        <f>+'Known Resources'!D41*0.65</f>
        <v>1416630.2127732618</v>
      </c>
      <c r="G18" s="39"/>
    </row>
    <row r="19" spans="1:8" ht="18" x14ac:dyDescent="0.35">
      <c r="A19" s="152" t="s">
        <v>30</v>
      </c>
      <c r="B19" s="153"/>
      <c r="C19" s="154"/>
      <c r="D19" s="51">
        <f>+'Unknown Resources'!F63*0.65</f>
        <v>656627.4</v>
      </c>
      <c r="E19" s="52">
        <f>+D19/(D18+D19)</f>
        <v>0.10953431439599327</v>
      </c>
      <c r="F19" s="67">
        <f>+'Unknown Resources'!G63*0.65</f>
        <v>736368.17308149766</v>
      </c>
      <c r="G19" s="69" t="s">
        <v>34</v>
      </c>
    </row>
    <row r="20" spans="1:8" ht="18.75" thickBot="1" x14ac:dyDescent="0.4">
      <c r="A20" s="40"/>
      <c r="B20" s="42"/>
      <c r="C20" s="42"/>
      <c r="D20" s="66">
        <f>+C4</f>
        <v>2009</v>
      </c>
      <c r="E20" s="47" t="s">
        <v>2</v>
      </c>
      <c r="F20" s="68">
        <f>SUM(F18:F19)</f>
        <v>2152998.3858547593</v>
      </c>
      <c r="G20" s="70">
        <f>+F20/G22</f>
        <v>1.9020142866334668</v>
      </c>
    </row>
    <row r="21" spans="1:8" ht="18" x14ac:dyDescent="0.35">
      <c r="A21" t="s">
        <v>183</v>
      </c>
    </row>
    <row r="22" spans="1:8" ht="18" x14ac:dyDescent="0.35">
      <c r="F22" s="17" t="s">
        <v>24</v>
      </c>
      <c r="G22" s="27">
        <v>1131957</v>
      </c>
      <c r="H22" s="24"/>
    </row>
    <row r="24" spans="1:8" x14ac:dyDescent="0.25">
      <c r="C24" s="24" t="s">
        <v>19</v>
      </c>
      <c r="F24" s="19"/>
      <c r="G24" s="19"/>
    </row>
    <row r="25" spans="1:8" x14ac:dyDescent="0.25">
      <c r="E25" s="19"/>
      <c r="F25" s="19"/>
      <c r="G25" s="22" t="s">
        <v>23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20</v>
      </c>
      <c r="G27" s="21">
        <v>1131957</v>
      </c>
    </row>
    <row r="28" spans="1:8" x14ac:dyDescent="0.25">
      <c r="E28" s="19"/>
      <c r="F28" s="20" t="s">
        <v>21</v>
      </c>
      <c r="G28" s="21">
        <v>2399078</v>
      </c>
    </row>
    <row r="29" spans="1:8" x14ac:dyDescent="0.25">
      <c r="E29" s="19"/>
      <c r="F29" s="20" t="s">
        <v>22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1"/>
  <sheetViews>
    <sheetView topLeftCell="A16" workbookViewId="0">
      <selection activeCell="D26" sqref="D26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7" max="7" width="25" bestFit="1" customWidth="1"/>
    <col min="8" max="8" width="10.5703125" customWidth="1"/>
    <col min="9" max="9" width="10.85546875" bestFit="1" customWidth="1"/>
  </cols>
  <sheetData>
    <row r="1" spans="1:21" ht="18.75" x14ac:dyDescent="0.3">
      <c r="A1" s="3" t="s">
        <v>7</v>
      </c>
      <c r="B1" s="31">
        <f>+Summary!C4</f>
        <v>2009</v>
      </c>
    </row>
    <row r="2" spans="1:21" ht="18.75" x14ac:dyDescent="0.3">
      <c r="A2" s="3"/>
      <c r="B2" s="7" t="s">
        <v>28</v>
      </c>
      <c r="C2" s="7">
        <f>+Summary!C4</f>
        <v>2009</v>
      </c>
      <c r="D2" s="7" t="s">
        <v>3</v>
      </c>
    </row>
    <row r="3" spans="1:21" ht="19.5" x14ac:dyDescent="0.35">
      <c r="A3" s="4" t="s">
        <v>0</v>
      </c>
      <c r="B3" s="8">
        <f>+Summary!C4</f>
        <v>2009</v>
      </c>
      <c r="C3" s="8" t="s">
        <v>5</v>
      </c>
      <c r="D3" s="8" t="s">
        <v>6</v>
      </c>
      <c r="E3" s="2"/>
      <c r="L3" t="s">
        <v>184</v>
      </c>
      <c r="M3" t="s">
        <v>185</v>
      </c>
      <c r="N3" t="s">
        <v>186</v>
      </c>
      <c r="O3" t="s">
        <v>187</v>
      </c>
      <c r="P3" t="s">
        <v>188</v>
      </c>
      <c r="Q3" t="s">
        <v>189</v>
      </c>
      <c r="R3" t="s">
        <v>190</v>
      </c>
      <c r="S3" t="s">
        <v>191</v>
      </c>
      <c r="T3" t="s">
        <v>192</v>
      </c>
      <c r="U3" t="s">
        <v>193</v>
      </c>
    </row>
    <row r="4" spans="1:21" x14ac:dyDescent="0.25">
      <c r="A4" s="26" t="s">
        <v>37</v>
      </c>
      <c r="B4" s="27">
        <f>0.15*(S7+S8)</f>
        <v>1396606.2944999998</v>
      </c>
      <c r="C4" s="142">
        <f>(D4*2000)/B4</f>
        <v>2128.3762939534713</v>
      </c>
      <c r="D4" s="6">
        <f>0.15*(T7+T8)</f>
        <v>1486251.8646</v>
      </c>
      <c r="G4" s="71" t="s">
        <v>52</v>
      </c>
      <c r="H4" s="72">
        <v>222</v>
      </c>
      <c r="I4" s="71" t="s">
        <v>53</v>
      </c>
      <c r="J4" s="73">
        <v>1277376</v>
      </c>
      <c r="L4" t="s">
        <v>194</v>
      </c>
      <c r="M4" t="s">
        <v>195</v>
      </c>
      <c r="N4">
        <v>7456</v>
      </c>
      <c r="O4">
        <v>1</v>
      </c>
      <c r="Q4">
        <v>2009</v>
      </c>
      <c r="R4" t="s">
        <v>196</v>
      </c>
      <c r="S4">
        <v>31931.59</v>
      </c>
      <c r="T4">
        <v>18913.071</v>
      </c>
      <c r="U4">
        <v>318231.96000000002</v>
      </c>
    </row>
    <row r="5" spans="1:21" x14ac:dyDescent="0.25">
      <c r="A5" s="28" t="s">
        <v>38</v>
      </c>
      <c r="B5" s="27">
        <f>S4+S5</f>
        <v>46039.07</v>
      </c>
      <c r="C5" s="142">
        <f>(D5*2000)/B5</f>
        <v>1205.026904322785</v>
      </c>
      <c r="D5" s="6">
        <f>T4+T5</f>
        <v>27739.159</v>
      </c>
      <c r="G5" s="71" t="s">
        <v>54</v>
      </c>
      <c r="H5" s="72">
        <v>176</v>
      </c>
      <c r="I5" s="71" t="s">
        <v>55</v>
      </c>
      <c r="J5" s="73">
        <v>44308</v>
      </c>
      <c r="L5" t="s">
        <v>194</v>
      </c>
      <c r="M5" t="s">
        <v>195</v>
      </c>
      <c r="N5">
        <v>7456</v>
      </c>
      <c r="O5">
        <v>2</v>
      </c>
      <c r="Q5">
        <v>2009</v>
      </c>
      <c r="R5" t="s">
        <v>196</v>
      </c>
      <c r="S5">
        <v>14107.48</v>
      </c>
      <c r="T5">
        <v>8826.0879999999997</v>
      </c>
      <c r="U5">
        <v>148523.12100000001</v>
      </c>
    </row>
    <row r="6" spans="1:21" x14ac:dyDescent="0.25">
      <c r="A6" s="28" t="s">
        <v>39</v>
      </c>
      <c r="B6" s="27">
        <v>43</v>
      </c>
      <c r="C6" s="142">
        <f t="shared" ref="C6:C9" si="0">(W29*2204.62262)/B6</f>
        <v>1637.1320507196788</v>
      </c>
      <c r="D6" s="6">
        <f t="shared" ref="D6:D10" si="1">(+B6*C6)/2000</f>
        <v>35.198339090473091</v>
      </c>
      <c r="G6" s="71" t="s">
        <v>56</v>
      </c>
      <c r="H6" s="72">
        <v>67</v>
      </c>
      <c r="I6" s="71" t="s">
        <v>55</v>
      </c>
      <c r="J6" s="73">
        <v>43</v>
      </c>
      <c r="L6" t="s">
        <v>194</v>
      </c>
      <c r="M6" t="s">
        <v>197</v>
      </c>
      <c r="N6">
        <v>55179</v>
      </c>
      <c r="O6" t="s">
        <v>198</v>
      </c>
      <c r="Q6">
        <v>2009</v>
      </c>
      <c r="R6" t="s">
        <v>196</v>
      </c>
      <c r="S6">
        <v>1210440.9099999999</v>
      </c>
      <c r="T6">
        <v>496078.71500000003</v>
      </c>
      <c r="U6">
        <v>8347477.2970000003</v>
      </c>
    </row>
    <row r="7" spans="1:21" x14ac:dyDescent="0.25">
      <c r="A7" s="28" t="s">
        <v>40</v>
      </c>
      <c r="B7" s="27">
        <v>27763</v>
      </c>
      <c r="C7" s="142">
        <f t="shared" si="0"/>
        <v>1111.2385021289056</v>
      </c>
      <c r="D7" s="6">
        <f t="shared" si="1"/>
        <v>15425.657267302404</v>
      </c>
      <c r="G7" s="71" t="s">
        <v>57</v>
      </c>
      <c r="H7" s="72">
        <v>25</v>
      </c>
      <c r="I7" s="71" t="s">
        <v>55</v>
      </c>
      <c r="J7" s="73">
        <v>27763</v>
      </c>
      <c r="L7" t="s">
        <v>199</v>
      </c>
      <c r="M7" t="s">
        <v>200</v>
      </c>
      <c r="N7">
        <v>6076</v>
      </c>
      <c r="O7">
        <v>3</v>
      </c>
      <c r="Q7">
        <v>2009</v>
      </c>
      <c r="R7" t="s">
        <v>196</v>
      </c>
      <c r="S7">
        <v>6445239.8700000001</v>
      </c>
      <c r="T7">
        <v>6807717.8459999999</v>
      </c>
      <c r="U7" s="144">
        <v>64909592.442000002</v>
      </c>
    </row>
    <row r="8" spans="1:21" x14ac:dyDescent="0.25">
      <c r="A8" s="28" t="s">
        <v>41</v>
      </c>
      <c r="B8" s="27">
        <f>S9</f>
        <v>1583530.75</v>
      </c>
      <c r="C8" s="142">
        <f>(D8*2000)/B8</f>
        <v>820.23379842797499</v>
      </c>
      <c r="D8" s="6">
        <f>T9</f>
        <v>649432.72100000002</v>
      </c>
      <c r="G8" s="71" t="s">
        <v>58</v>
      </c>
      <c r="H8" s="72">
        <v>280</v>
      </c>
      <c r="I8" s="71" t="s">
        <v>55</v>
      </c>
      <c r="J8" s="73">
        <v>1559368</v>
      </c>
      <c r="L8" t="s">
        <v>199</v>
      </c>
      <c r="M8" t="s">
        <v>200</v>
      </c>
      <c r="N8">
        <v>6076</v>
      </c>
      <c r="O8">
        <v>4</v>
      </c>
      <c r="Q8">
        <v>2009</v>
      </c>
      <c r="R8" t="s">
        <v>196</v>
      </c>
      <c r="S8">
        <v>2865468.76</v>
      </c>
      <c r="T8">
        <v>3100627.9180000001</v>
      </c>
      <c r="U8" s="144">
        <v>29563598.513</v>
      </c>
    </row>
    <row r="9" spans="1:21" x14ac:dyDescent="0.25">
      <c r="A9" s="28" t="s">
        <v>42</v>
      </c>
      <c r="B9" s="27">
        <v>5241</v>
      </c>
      <c r="C9" s="142">
        <f t="shared" si="0"/>
        <v>208.54660097532749</v>
      </c>
      <c r="D9" s="6">
        <f t="shared" si="1"/>
        <v>546.49636785584573</v>
      </c>
      <c r="G9" s="71" t="s">
        <v>59</v>
      </c>
      <c r="H9" s="72">
        <v>6</v>
      </c>
      <c r="I9" s="71" t="s">
        <v>55</v>
      </c>
      <c r="J9" s="74">
        <v>5241</v>
      </c>
      <c r="L9" t="s">
        <v>201</v>
      </c>
      <c r="M9" t="s">
        <v>202</v>
      </c>
      <c r="N9">
        <v>7350</v>
      </c>
      <c r="O9" t="s">
        <v>203</v>
      </c>
      <c r="Q9">
        <v>2009</v>
      </c>
      <c r="R9" t="s">
        <v>196</v>
      </c>
      <c r="S9">
        <v>1583530.75</v>
      </c>
      <c r="T9">
        <v>649432.72100000002</v>
      </c>
      <c r="U9" s="144">
        <v>10927870.157</v>
      </c>
    </row>
    <row r="10" spans="1:21" x14ac:dyDescent="0.25">
      <c r="A10" s="28" t="s">
        <v>51</v>
      </c>
      <c r="B10" s="27">
        <v>178166</v>
      </c>
      <c r="C10" s="27">
        <v>0</v>
      </c>
      <c r="D10" s="6">
        <f t="shared" si="1"/>
        <v>0</v>
      </c>
      <c r="G10" s="71" t="s">
        <v>60</v>
      </c>
      <c r="H10" s="75">
        <v>47</v>
      </c>
      <c r="I10" s="71" t="s">
        <v>61</v>
      </c>
      <c r="J10" s="73">
        <v>178166</v>
      </c>
    </row>
    <row r="11" spans="1:21" x14ac:dyDescent="0.25">
      <c r="A11" s="28" t="s">
        <v>43</v>
      </c>
      <c r="B11" s="27">
        <v>103900</v>
      </c>
      <c r="C11" s="27">
        <v>0</v>
      </c>
      <c r="D11" s="6">
        <f t="shared" ref="D11:D40" si="2">(+B11*C11)/2000</f>
        <v>0</v>
      </c>
      <c r="G11" s="71" t="s">
        <v>62</v>
      </c>
      <c r="H11" s="72">
        <v>14.82</v>
      </c>
      <c r="I11" s="71" t="s">
        <v>63</v>
      </c>
      <c r="J11" s="73">
        <v>103900</v>
      </c>
    </row>
    <row r="12" spans="1:21" x14ac:dyDescent="0.25">
      <c r="A12" s="28" t="s">
        <v>44</v>
      </c>
      <c r="B12" s="27">
        <v>84350</v>
      </c>
      <c r="C12" s="27">
        <v>0</v>
      </c>
      <c r="D12" s="6">
        <f t="shared" si="2"/>
        <v>0</v>
      </c>
      <c r="G12" s="71" t="s">
        <v>64</v>
      </c>
      <c r="H12" s="72">
        <v>18</v>
      </c>
      <c r="I12" s="71" t="s">
        <v>63</v>
      </c>
      <c r="J12" s="73">
        <v>84350</v>
      </c>
    </row>
    <row r="13" spans="1:21" x14ac:dyDescent="0.25">
      <c r="A13" s="28" t="s">
        <v>45</v>
      </c>
      <c r="B13" s="27">
        <v>105851</v>
      </c>
      <c r="C13" s="27">
        <v>0</v>
      </c>
      <c r="D13" s="6">
        <f t="shared" si="2"/>
        <v>0</v>
      </c>
      <c r="G13" s="71" t="s">
        <v>65</v>
      </c>
      <c r="H13" s="72">
        <v>26.4</v>
      </c>
      <c r="I13" s="71" t="s">
        <v>63</v>
      </c>
      <c r="J13" s="73">
        <v>105851</v>
      </c>
    </row>
    <row r="14" spans="1:21" x14ac:dyDescent="0.25">
      <c r="A14" s="28" t="s">
        <v>46</v>
      </c>
      <c r="B14" s="27">
        <v>199278</v>
      </c>
      <c r="C14" s="27">
        <v>0</v>
      </c>
      <c r="D14" s="6">
        <f t="shared" si="2"/>
        <v>0</v>
      </c>
      <c r="G14" s="71" t="s">
        <v>66</v>
      </c>
      <c r="H14" s="72">
        <v>36</v>
      </c>
      <c r="I14" s="71" t="s">
        <v>63</v>
      </c>
      <c r="J14" s="73">
        <v>199278</v>
      </c>
    </row>
    <row r="15" spans="1:21" x14ac:dyDescent="0.25">
      <c r="A15" s="28" t="s">
        <v>47</v>
      </c>
      <c r="B15" s="27">
        <v>487090</v>
      </c>
      <c r="C15" s="27">
        <v>0</v>
      </c>
      <c r="D15" s="6">
        <f t="shared" si="2"/>
        <v>0</v>
      </c>
      <c r="G15" s="71" t="s">
        <v>67</v>
      </c>
      <c r="H15" s="72">
        <v>72.8</v>
      </c>
      <c r="I15" s="71" t="s">
        <v>63</v>
      </c>
      <c r="J15" s="73">
        <v>487090</v>
      </c>
    </row>
    <row r="16" spans="1:21" x14ac:dyDescent="0.25">
      <c r="A16" s="28" t="s">
        <v>48</v>
      </c>
      <c r="B16" s="27">
        <v>51612</v>
      </c>
      <c r="C16" s="27">
        <v>0</v>
      </c>
      <c r="D16" s="6">
        <f t="shared" si="2"/>
        <v>0</v>
      </c>
      <c r="G16" s="71" t="s">
        <v>68</v>
      </c>
      <c r="H16" s="72">
        <v>10.199999999999999</v>
      </c>
      <c r="I16" s="71" t="s">
        <v>63</v>
      </c>
      <c r="J16" s="73">
        <v>51612</v>
      </c>
    </row>
    <row r="17" spans="1:23" x14ac:dyDescent="0.25">
      <c r="A17" s="28" t="s">
        <v>49</v>
      </c>
      <c r="B17" s="27">
        <v>1060429</v>
      </c>
      <c r="C17" s="27">
        <v>0</v>
      </c>
      <c r="D17" s="6">
        <f t="shared" si="2"/>
        <v>0</v>
      </c>
      <c r="G17" s="71" t="s">
        <v>69</v>
      </c>
      <c r="H17" s="72">
        <v>236</v>
      </c>
      <c r="I17" s="71" t="s">
        <v>63</v>
      </c>
      <c r="J17" s="73">
        <v>1060429</v>
      </c>
    </row>
    <row r="18" spans="1:23" x14ac:dyDescent="0.25">
      <c r="A18" s="28" t="s">
        <v>50</v>
      </c>
      <c r="B18" s="27">
        <v>1673251</v>
      </c>
      <c r="C18" s="27">
        <v>0</v>
      </c>
      <c r="D18" s="6">
        <f t="shared" si="2"/>
        <v>0</v>
      </c>
      <c r="G18" s="71" t="s">
        <v>70</v>
      </c>
      <c r="H18" s="72">
        <v>554</v>
      </c>
      <c r="I18" s="71" t="s">
        <v>63</v>
      </c>
      <c r="J18" s="73">
        <v>1673251</v>
      </c>
    </row>
    <row r="19" spans="1:23" x14ac:dyDescent="0.25">
      <c r="A19" s="28" t="s">
        <v>167</v>
      </c>
      <c r="B19" s="27">
        <v>4172</v>
      </c>
      <c r="C19" s="27">
        <v>0</v>
      </c>
      <c r="D19" s="6">
        <f t="shared" si="2"/>
        <v>0</v>
      </c>
    </row>
    <row r="20" spans="1:23" ht="15.75" x14ac:dyDescent="0.25">
      <c r="A20" s="28" t="s">
        <v>168</v>
      </c>
      <c r="B20" s="27">
        <v>0</v>
      </c>
      <c r="C20" s="27">
        <v>0</v>
      </c>
      <c r="D20" s="6">
        <f t="shared" si="2"/>
        <v>0</v>
      </c>
      <c r="G20" s="76" t="s">
        <v>71</v>
      </c>
      <c r="H20" s="77"/>
      <c r="I20" s="78"/>
      <c r="J20" s="78"/>
      <c r="K20" s="158" t="s">
        <v>72</v>
      </c>
      <c r="L20" s="159"/>
      <c r="M20" s="158" t="s">
        <v>73</v>
      </c>
      <c r="N20" s="160"/>
      <c r="O20" s="160"/>
      <c r="P20" s="160"/>
      <c r="Q20" s="159"/>
      <c r="R20" s="158" t="s">
        <v>74</v>
      </c>
      <c r="S20" s="160"/>
      <c r="T20" s="79" t="s">
        <v>75</v>
      </c>
      <c r="U20" s="79" t="s">
        <v>76</v>
      </c>
      <c r="V20" s="158" t="s">
        <v>77</v>
      </c>
      <c r="W20" s="159"/>
    </row>
    <row r="21" spans="1:23" ht="15.75" x14ac:dyDescent="0.25">
      <c r="A21" s="28" t="s">
        <v>169</v>
      </c>
      <c r="B21" s="27">
        <v>150363</v>
      </c>
      <c r="C21" s="27">
        <v>0</v>
      </c>
      <c r="D21" s="6">
        <f t="shared" si="2"/>
        <v>0</v>
      </c>
      <c r="G21" s="80" t="s">
        <v>78</v>
      </c>
      <c r="H21" s="81">
        <v>2009</v>
      </c>
      <c r="I21" s="78"/>
      <c r="J21" s="82"/>
      <c r="K21" s="83" t="s">
        <v>79</v>
      </c>
      <c r="L21" s="83" t="s">
        <v>80</v>
      </c>
      <c r="M21" s="84" t="s">
        <v>81</v>
      </c>
      <c r="N21" s="85" t="s">
        <v>82</v>
      </c>
      <c r="O21" s="84" t="s">
        <v>83</v>
      </c>
      <c r="P21" s="84" t="s">
        <v>84</v>
      </c>
      <c r="Q21" s="84" t="s">
        <v>85</v>
      </c>
      <c r="R21" s="85" t="s">
        <v>86</v>
      </c>
      <c r="S21" s="85" t="s">
        <v>87</v>
      </c>
      <c r="T21" s="86" t="s">
        <v>88</v>
      </c>
      <c r="U21" s="86" t="s">
        <v>89</v>
      </c>
      <c r="V21" s="86" t="s">
        <v>90</v>
      </c>
      <c r="W21" s="87" t="s">
        <v>91</v>
      </c>
    </row>
    <row r="22" spans="1:23" ht="75.75" x14ac:dyDescent="0.25">
      <c r="A22" s="28" t="s">
        <v>170</v>
      </c>
      <c r="B22" s="27">
        <v>2355</v>
      </c>
      <c r="C22" s="27">
        <v>0</v>
      </c>
      <c r="D22" s="6">
        <f t="shared" si="2"/>
        <v>0</v>
      </c>
      <c r="G22" s="88"/>
      <c r="H22" s="89"/>
      <c r="I22" s="90"/>
      <c r="J22" s="91"/>
      <c r="K22" s="92" t="s">
        <v>92</v>
      </c>
      <c r="L22" s="92" t="s">
        <v>93</v>
      </c>
      <c r="M22" s="92" t="s">
        <v>94</v>
      </c>
      <c r="N22" s="92" t="s">
        <v>95</v>
      </c>
      <c r="O22" s="92" t="s">
        <v>96</v>
      </c>
      <c r="P22" s="92" t="s">
        <v>97</v>
      </c>
      <c r="Q22" s="92" t="s">
        <v>98</v>
      </c>
      <c r="R22" s="93" t="s">
        <v>99</v>
      </c>
      <c r="S22" s="93" t="s">
        <v>100</v>
      </c>
      <c r="T22" s="93" t="s">
        <v>101</v>
      </c>
      <c r="U22" s="93" t="s">
        <v>102</v>
      </c>
      <c r="V22" s="93" t="s">
        <v>103</v>
      </c>
      <c r="W22" s="94" t="s">
        <v>104</v>
      </c>
    </row>
    <row r="23" spans="1:23" ht="45" x14ac:dyDescent="0.25">
      <c r="A23" s="28" t="s">
        <v>171</v>
      </c>
      <c r="B23" s="27">
        <f>193981+151094</f>
        <v>345075</v>
      </c>
      <c r="C23" s="27">
        <v>0</v>
      </c>
      <c r="D23" s="6">
        <f t="shared" si="2"/>
        <v>0</v>
      </c>
      <c r="G23" s="95"/>
      <c r="H23" s="77"/>
      <c r="I23" s="96"/>
      <c r="J23" s="82"/>
      <c r="K23" s="97"/>
      <c r="L23" s="97"/>
      <c r="M23" s="97"/>
      <c r="N23" s="97"/>
      <c r="O23" s="98" t="s">
        <v>105</v>
      </c>
      <c r="P23" s="98" t="s">
        <v>106</v>
      </c>
      <c r="Q23" s="98"/>
      <c r="R23" s="99"/>
      <c r="S23" s="99"/>
      <c r="T23" s="100"/>
      <c r="U23" s="100"/>
      <c r="V23" s="94" t="s">
        <v>107</v>
      </c>
      <c r="W23" s="101" t="s">
        <v>108</v>
      </c>
    </row>
    <row r="24" spans="1:23" x14ac:dyDescent="0.25">
      <c r="A24" s="28" t="s">
        <v>172</v>
      </c>
      <c r="B24" s="27">
        <v>268849</v>
      </c>
      <c r="C24" s="27">
        <v>0</v>
      </c>
      <c r="D24" s="6">
        <f t="shared" si="2"/>
        <v>0</v>
      </c>
      <c r="G24" s="102">
        <v>0</v>
      </c>
      <c r="H24" s="103" t="s">
        <v>109</v>
      </c>
      <c r="I24" s="104" t="s">
        <v>55</v>
      </c>
      <c r="J24" s="105">
        <v>0.5</v>
      </c>
      <c r="K24" s="106">
        <v>1000</v>
      </c>
      <c r="L24" s="107" t="s">
        <v>110</v>
      </c>
      <c r="M24" s="108">
        <v>5.0999999999999997E-2</v>
      </c>
      <c r="N24" s="109" t="s">
        <v>111</v>
      </c>
      <c r="O24" s="107" t="s">
        <v>112</v>
      </c>
      <c r="P24" s="106">
        <f>K24*M24</f>
        <v>51</v>
      </c>
      <c r="Q24" s="110" t="s">
        <v>113</v>
      </c>
      <c r="R24" s="111">
        <v>14</v>
      </c>
      <c r="S24" s="107" t="s">
        <v>114</v>
      </c>
      <c r="T24" s="112">
        <v>1</v>
      </c>
      <c r="U24" s="113">
        <v>1</v>
      </c>
      <c r="V24" s="114">
        <f>+P24*R24*T24*U24*3.66666666666667</f>
        <v>2618.0000000000023</v>
      </c>
      <c r="W24" s="115">
        <f>V24/1000</f>
        <v>2.6180000000000021</v>
      </c>
    </row>
    <row r="25" spans="1:23" x14ac:dyDescent="0.25">
      <c r="A25" s="28" t="s">
        <v>173</v>
      </c>
      <c r="B25" s="27">
        <v>7656</v>
      </c>
      <c r="C25" s="27">
        <v>0</v>
      </c>
      <c r="D25" s="6">
        <f t="shared" si="2"/>
        <v>0</v>
      </c>
      <c r="G25" s="116" t="s">
        <v>115</v>
      </c>
      <c r="H25" s="116" t="s">
        <v>116</v>
      </c>
      <c r="I25" s="117" t="s">
        <v>117</v>
      </c>
      <c r="J25" s="117" t="s">
        <v>118</v>
      </c>
      <c r="K25" s="118"/>
      <c r="L25" s="119"/>
      <c r="M25" s="119"/>
      <c r="N25" s="119"/>
      <c r="O25" s="119"/>
      <c r="P25" s="119"/>
      <c r="Q25" s="119"/>
      <c r="R25" s="120"/>
      <c r="S25" s="121"/>
      <c r="T25" s="122"/>
      <c r="U25" s="122"/>
      <c r="V25" s="122"/>
      <c r="W25" s="119"/>
    </row>
    <row r="26" spans="1:23" ht="30" x14ac:dyDescent="0.25">
      <c r="A26" s="28" t="s">
        <v>174</v>
      </c>
      <c r="B26" s="27">
        <v>70559</v>
      </c>
      <c r="C26" s="27">
        <v>0</v>
      </c>
      <c r="D26" s="6">
        <f t="shared" si="2"/>
        <v>0</v>
      </c>
      <c r="G26" s="123">
        <v>1</v>
      </c>
      <c r="H26" s="71" t="s">
        <v>37</v>
      </c>
      <c r="I26" s="71" t="s">
        <v>53</v>
      </c>
      <c r="J26" s="124">
        <v>0.15</v>
      </c>
      <c r="K26" s="125">
        <v>803467</v>
      </c>
      <c r="L26" s="126" t="s">
        <v>119</v>
      </c>
      <c r="M26" s="127">
        <v>16.78</v>
      </c>
      <c r="N26" s="126" t="s">
        <v>120</v>
      </c>
      <c r="O26" s="126" t="s">
        <v>112</v>
      </c>
      <c r="P26" s="128">
        <f>K26*M26</f>
        <v>13482176.260000002</v>
      </c>
      <c r="Q26" s="129" t="s">
        <v>121</v>
      </c>
      <c r="R26" s="130">
        <v>25.49</v>
      </c>
      <c r="S26" s="129" t="s">
        <v>122</v>
      </c>
      <c r="T26" s="131">
        <v>0.98</v>
      </c>
      <c r="U26" s="132">
        <v>1</v>
      </c>
      <c r="V26" s="133">
        <f t="shared" ref="V26:V32" si="3">+P26*R26*T26*U26*3.66666666666667</f>
        <v>1234887351.170192</v>
      </c>
      <c r="W26" s="133">
        <f t="shared" ref="W26:W32" si="4">V26/1000</f>
        <v>1234887.351170192</v>
      </c>
    </row>
    <row r="27" spans="1:23" ht="25.5" x14ac:dyDescent="0.25">
      <c r="A27" s="28" t="s">
        <v>175</v>
      </c>
      <c r="B27" s="27">
        <v>980</v>
      </c>
      <c r="C27" s="27">
        <v>0</v>
      </c>
      <c r="D27" s="6">
        <f t="shared" si="2"/>
        <v>0</v>
      </c>
      <c r="G27" s="123">
        <f t="shared" ref="G27:G32" si="5">G26+1</f>
        <v>2</v>
      </c>
      <c r="H27" s="71" t="s">
        <v>37</v>
      </c>
      <c r="I27" s="71" t="s">
        <v>123</v>
      </c>
      <c r="J27" s="134">
        <v>0.15</v>
      </c>
      <c r="K27" s="125">
        <v>1499</v>
      </c>
      <c r="L27" s="126" t="s">
        <v>124</v>
      </c>
      <c r="M27" s="130">
        <f>140000*42/1000000</f>
        <v>5.88</v>
      </c>
      <c r="N27" s="135" t="s">
        <v>125</v>
      </c>
      <c r="O27" s="126" t="s">
        <v>112</v>
      </c>
      <c r="P27" s="128">
        <f>(K27*M27)</f>
        <v>8814.119999999999</v>
      </c>
      <c r="Q27" s="129" t="s">
        <v>121</v>
      </c>
      <c r="R27" s="130">
        <v>19.95</v>
      </c>
      <c r="S27" s="129" t="s">
        <v>122</v>
      </c>
      <c r="T27" s="131">
        <v>0.99</v>
      </c>
      <c r="U27" s="132">
        <v>1</v>
      </c>
      <c r="V27" s="133">
        <f t="shared" si="3"/>
        <v>638305.34922000044</v>
      </c>
      <c r="W27" s="133">
        <f t="shared" si="4"/>
        <v>638.30534922000049</v>
      </c>
    </row>
    <row r="28" spans="1:23" x14ac:dyDescent="0.25">
      <c r="A28" s="28" t="s">
        <v>176</v>
      </c>
      <c r="B28" s="27">
        <v>2145</v>
      </c>
      <c r="C28" s="27">
        <v>0</v>
      </c>
      <c r="D28" s="6">
        <f t="shared" si="2"/>
        <v>0</v>
      </c>
      <c r="G28" s="123">
        <f t="shared" si="5"/>
        <v>3</v>
      </c>
      <c r="H28" s="71" t="s">
        <v>126</v>
      </c>
      <c r="I28" s="71" t="s">
        <v>55</v>
      </c>
      <c r="J28" s="134">
        <v>1</v>
      </c>
      <c r="K28" s="130">
        <v>539.63</v>
      </c>
      <c r="L28" s="126" t="s">
        <v>127</v>
      </c>
      <c r="M28" s="127">
        <v>1020</v>
      </c>
      <c r="N28" s="126" t="s">
        <v>128</v>
      </c>
      <c r="O28" s="126" t="s">
        <v>112</v>
      </c>
      <c r="P28" s="128">
        <f t="shared" ref="P28:P32" si="6">K28*M28</f>
        <v>550422.6</v>
      </c>
      <c r="Q28" s="129" t="s">
        <v>121</v>
      </c>
      <c r="R28" s="130">
        <v>14.47</v>
      </c>
      <c r="S28" s="129" t="s">
        <v>122</v>
      </c>
      <c r="T28" s="131">
        <v>0.995</v>
      </c>
      <c r="U28" s="132">
        <v>1</v>
      </c>
      <c r="V28" s="133">
        <f t="shared" si="3"/>
        <v>29057570.471930027</v>
      </c>
      <c r="W28" s="133">
        <f t="shared" si="4"/>
        <v>29057.570471930027</v>
      </c>
    </row>
    <row r="29" spans="1:23" x14ac:dyDescent="0.25">
      <c r="A29" s="28" t="s">
        <v>177</v>
      </c>
      <c r="B29" s="27">
        <v>1</v>
      </c>
      <c r="C29" s="27">
        <v>0</v>
      </c>
      <c r="D29" s="6">
        <f t="shared" si="2"/>
        <v>0</v>
      </c>
      <c r="G29" s="123">
        <f t="shared" si="5"/>
        <v>4</v>
      </c>
      <c r="H29" s="71" t="s">
        <v>129</v>
      </c>
      <c r="I29" s="71" t="s">
        <v>55</v>
      </c>
      <c r="J29" s="134">
        <v>1</v>
      </c>
      <c r="K29" s="130">
        <v>0.59299999999999997</v>
      </c>
      <c r="L29" s="126" t="s">
        <v>127</v>
      </c>
      <c r="M29" s="127">
        <v>1020</v>
      </c>
      <c r="N29" s="126" t="s">
        <v>128</v>
      </c>
      <c r="O29" s="126" t="s">
        <v>112</v>
      </c>
      <c r="P29" s="128">
        <f t="shared" si="6"/>
        <v>604.86</v>
      </c>
      <c r="Q29" s="129" t="s">
        <v>121</v>
      </c>
      <c r="R29" s="130">
        <v>14.47</v>
      </c>
      <c r="S29" s="129" t="s">
        <v>122</v>
      </c>
      <c r="T29" s="131">
        <v>0.995</v>
      </c>
      <c r="U29" s="132">
        <v>1</v>
      </c>
      <c r="V29" s="133">
        <f t="shared" si="3"/>
        <v>31931.396123000035</v>
      </c>
      <c r="W29" s="133">
        <f t="shared" si="4"/>
        <v>31.931396123000034</v>
      </c>
    </row>
    <row r="30" spans="1:23" x14ac:dyDescent="0.25">
      <c r="A30" s="28" t="s">
        <v>178</v>
      </c>
      <c r="B30" s="27">
        <v>44</v>
      </c>
      <c r="C30" s="27">
        <v>0</v>
      </c>
      <c r="D30" s="6">
        <f t="shared" si="2"/>
        <v>0</v>
      </c>
      <c r="G30" s="123">
        <f t="shared" si="5"/>
        <v>5</v>
      </c>
      <c r="H30" s="71" t="s">
        <v>40</v>
      </c>
      <c r="I30" s="71" t="s">
        <v>55</v>
      </c>
      <c r="J30" s="134">
        <v>1</v>
      </c>
      <c r="K30" s="130">
        <v>259.88200000000001</v>
      </c>
      <c r="L30" s="126" t="s">
        <v>127</v>
      </c>
      <c r="M30" s="127">
        <v>1020</v>
      </c>
      <c r="N30" s="126" t="s">
        <v>128</v>
      </c>
      <c r="O30" s="126" t="s">
        <v>112</v>
      </c>
      <c r="P30" s="128">
        <f t="shared" si="6"/>
        <v>265079.64</v>
      </c>
      <c r="Q30" s="129" t="s">
        <v>121</v>
      </c>
      <c r="R30" s="130">
        <v>14.47</v>
      </c>
      <c r="S30" s="129" t="s">
        <v>122</v>
      </c>
      <c r="T30" s="131">
        <v>0.995</v>
      </c>
      <c r="U30" s="132">
        <v>1</v>
      </c>
      <c r="V30" s="133">
        <f t="shared" si="3"/>
        <v>13993920.889102012</v>
      </c>
      <c r="W30" s="133">
        <f t="shared" si="4"/>
        <v>13993.920889102012</v>
      </c>
    </row>
    <row r="31" spans="1:23" x14ac:dyDescent="0.25">
      <c r="A31" s="28" t="s">
        <v>179</v>
      </c>
      <c r="B31" s="27">
        <f>19308+249723</f>
        <v>269031</v>
      </c>
      <c r="C31" s="27">
        <v>0</v>
      </c>
      <c r="D31" s="6">
        <f t="shared" si="2"/>
        <v>0</v>
      </c>
      <c r="G31" s="123">
        <f t="shared" si="5"/>
        <v>6</v>
      </c>
      <c r="H31" s="71" t="s">
        <v>41</v>
      </c>
      <c r="I31" s="71" t="s">
        <v>55</v>
      </c>
      <c r="J31" s="134">
        <v>1</v>
      </c>
      <c r="K31" s="130">
        <v>10696.851000000001</v>
      </c>
      <c r="L31" s="126" t="s">
        <v>127</v>
      </c>
      <c r="M31" s="127">
        <v>1020</v>
      </c>
      <c r="N31" s="126" t="s">
        <v>128</v>
      </c>
      <c r="O31" s="126" t="s">
        <v>112</v>
      </c>
      <c r="P31" s="128">
        <f t="shared" si="6"/>
        <v>10910788.020000001</v>
      </c>
      <c r="Q31" s="129" t="s">
        <v>121</v>
      </c>
      <c r="R31" s="130">
        <v>14.47</v>
      </c>
      <c r="S31" s="129" t="s">
        <v>122</v>
      </c>
      <c r="T31" s="131">
        <v>0.995</v>
      </c>
      <c r="U31" s="132">
        <v>1</v>
      </c>
      <c r="V31" s="133">
        <f t="shared" si="3"/>
        <v>575995592.83256161</v>
      </c>
      <c r="W31" s="133">
        <f t="shared" si="4"/>
        <v>575995.59283256158</v>
      </c>
    </row>
    <row r="32" spans="1:23" x14ac:dyDescent="0.25">
      <c r="A32" s="28" t="s">
        <v>180</v>
      </c>
      <c r="B32" s="27">
        <v>5829</v>
      </c>
      <c r="C32" s="27">
        <v>0</v>
      </c>
      <c r="D32" s="6">
        <f t="shared" si="2"/>
        <v>0</v>
      </c>
      <c r="G32" s="123">
        <f t="shared" si="5"/>
        <v>7</v>
      </c>
      <c r="H32" s="71" t="s">
        <v>42</v>
      </c>
      <c r="I32" s="71" t="s">
        <v>55</v>
      </c>
      <c r="J32" s="134">
        <v>1</v>
      </c>
      <c r="K32" s="130">
        <v>9.1609999999999996</v>
      </c>
      <c r="L32" s="126" t="s">
        <v>127</v>
      </c>
      <c r="M32" s="127">
        <v>1020</v>
      </c>
      <c r="N32" s="126" t="s">
        <v>128</v>
      </c>
      <c r="O32" s="126" t="s">
        <v>112</v>
      </c>
      <c r="P32" s="128">
        <f t="shared" si="6"/>
        <v>9344.2199999999993</v>
      </c>
      <c r="Q32" s="129" t="s">
        <v>121</v>
      </c>
      <c r="R32" s="130">
        <v>14.47</v>
      </c>
      <c r="S32" s="129" t="s">
        <v>122</v>
      </c>
      <c r="T32" s="131">
        <v>1</v>
      </c>
      <c r="U32" s="132">
        <v>1</v>
      </c>
      <c r="V32" s="133">
        <f t="shared" si="3"/>
        <v>495773.16580000048</v>
      </c>
      <c r="W32" s="133">
        <f t="shared" si="4"/>
        <v>495.77316580000047</v>
      </c>
    </row>
    <row r="33" spans="1:11" x14ac:dyDescent="0.25">
      <c r="A33" s="28" t="s">
        <v>181</v>
      </c>
      <c r="B33" s="27">
        <v>45267</v>
      </c>
      <c r="C33" s="27"/>
      <c r="D33" s="6">
        <f t="shared" si="2"/>
        <v>0</v>
      </c>
    </row>
    <row r="34" spans="1:11" x14ac:dyDescent="0.25">
      <c r="A34" s="28" t="s">
        <v>182</v>
      </c>
      <c r="B34" s="27">
        <v>36972</v>
      </c>
      <c r="C34" s="27"/>
      <c r="D34" s="6">
        <f t="shared" si="2"/>
        <v>0</v>
      </c>
      <c r="F34" s="138"/>
      <c r="G34" s="138"/>
      <c r="H34" s="139"/>
      <c r="I34" s="140"/>
      <c r="J34" s="140"/>
      <c r="K34" s="141"/>
    </row>
    <row r="35" spans="1:11" x14ac:dyDescent="0.25">
      <c r="A35" s="28"/>
      <c r="B35" s="27"/>
      <c r="C35" s="27"/>
      <c r="D35" s="6">
        <f t="shared" si="2"/>
        <v>0</v>
      </c>
      <c r="F35" s="138"/>
      <c r="G35" s="138"/>
      <c r="H35" s="139"/>
      <c r="I35" s="140"/>
      <c r="J35" s="140"/>
      <c r="K35" s="141"/>
    </row>
    <row r="36" spans="1:11" x14ac:dyDescent="0.25">
      <c r="A36" s="28"/>
      <c r="B36" s="27"/>
      <c r="C36" s="27"/>
      <c r="D36" s="6">
        <f t="shared" si="2"/>
        <v>0</v>
      </c>
      <c r="F36" s="138"/>
      <c r="G36" s="138"/>
      <c r="H36" s="139"/>
      <c r="I36" s="140"/>
      <c r="J36" s="140"/>
      <c r="K36" s="141"/>
    </row>
    <row r="37" spans="1:11" x14ac:dyDescent="0.25">
      <c r="A37" s="28"/>
      <c r="B37" s="27"/>
      <c r="C37" s="27"/>
      <c r="D37" s="6">
        <f t="shared" si="2"/>
        <v>0</v>
      </c>
      <c r="F37" s="138"/>
      <c r="G37" s="138"/>
      <c r="H37" s="139"/>
      <c r="I37" s="140"/>
      <c r="J37" s="140"/>
      <c r="K37" s="141"/>
    </row>
    <row r="38" spans="1:11" x14ac:dyDescent="0.25">
      <c r="A38" s="28"/>
      <c r="B38" s="27"/>
      <c r="C38" s="27"/>
      <c r="D38" s="6">
        <f t="shared" si="2"/>
        <v>0</v>
      </c>
    </row>
    <row r="39" spans="1:11" x14ac:dyDescent="0.25">
      <c r="A39" s="28"/>
      <c r="B39" s="27"/>
      <c r="C39" s="27"/>
      <c r="D39" s="6">
        <f t="shared" si="2"/>
        <v>0</v>
      </c>
    </row>
    <row r="40" spans="1:11" ht="15.75" thickBot="1" x14ac:dyDescent="0.3">
      <c r="A40" s="29"/>
      <c r="B40" s="30"/>
      <c r="C40" s="30"/>
      <c r="D40" s="9">
        <f t="shared" si="2"/>
        <v>0</v>
      </c>
    </row>
    <row r="41" spans="1:11" ht="16.5" thickTop="1" thickBot="1" x14ac:dyDescent="0.3">
      <c r="A41" s="1"/>
      <c r="B41" s="10">
        <f>SUM(B4:B40)</f>
        <v>8212448.1145000001</v>
      </c>
      <c r="C41" s="143">
        <f>(D41*2000)/B41</f>
        <v>530.76282886371439</v>
      </c>
      <c r="D41" s="10">
        <f>SUM(D4:D40)</f>
        <v>2179431.0965742487</v>
      </c>
    </row>
  </sheetData>
  <mergeCells count="4">
    <mergeCell ref="K20:L20"/>
    <mergeCell ref="M20:Q20"/>
    <mergeCell ref="R20:S20"/>
    <mergeCell ref="V20:W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opLeftCell="A34" workbookViewId="0">
      <selection activeCell="F63" sqref="F63"/>
    </sheetView>
  </sheetViews>
  <sheetFormatPr defaultRowHeight="15" x14ac:dyDescent="0.25"/>
  <cols>
    <col min="1" max="1" width="50" bestFit="1" customWidth="1"/>
    <col min="2" max="2" width="10.140625" bestFit="1" customWidth="1"/>
    <col min="4" max="4" width="29.28515625" bestFit="1" customWidth="1"/>
    <col min="7" max="8" width="15.28515625" bestFit="1" customWidth="1"/>
    <col min="9" max="9" width="9" bestFit="1" customWidth="1"/>
  </cols>
  <sheetData>
    <row r="1" spans="1:11" ht="19.5" thickBot="1" x14ac:dyDescent="0.35">
      <c r="A1" s="163" t="s">
        <v>231</v>
      </c>
      <c r="B1" s="163"/>
      <c r="C1" s="150">
        <v>2009</v>
      </c>
      <c r="I1" s="145"/>
      <c r="J1" s="147"/>
      <c r="K1" s="147"/>
    </row>
    <row r="2" spans="1:11" ht="18" x14ac:dyDescent="0.35">
      <c r="A2" s="137"/>
      <c r="B2" s="136"/>
      <c r="D2" s="161" t="s">
        <v>229</v>
      </c>
      <c r="E2" s="161"/>
      <c r="F2" s="161"/>
      <c r="G2" s="162"/>
      <c r="H2" s="33">
        <v>1118.8</v>
      </c>
      <c r="I2" t="s">
        <v>4</v>
      </c>
    </row>
    <row r="3" spans="1:11" ht="18" x14ac:dyDescent="0.35">
      <c r="G3" t="s">
        <v>232</v>
      </c>
      <c r="H3" s="151">
        <f>'Known Resources'!C41</f>
        <v>530.76282886371439</v>
      </c>
      <c r="I3" t="s">
        <v>4</v>
      </c>
    </row>
    <row r="4" spans="1:11" ht="45" x14ac:dyDescent="0.25">
      <c r="A4" s="148" t="s">
        <v>204</v>
      </c>
      <c r="B4" s="148" t="s">
        <v>205</v>
      </c>
      <c r="C4" s="148"/>
      <c r="D4" s="148" t="s">
        <v>204</v>
      </c>
      <c r="E4" s="148" t="s">
        <v>206</v>
      </c>
      <c r="F4" s="148" t="s">
        <v>230</v>
      </c>
      <c r="G4" s="149" t="s">
        <v>235</v>
      </c>
      <c r="H4" s="149"/>
    </row>
    <row r="5" spans="1:11" x14ac:dyDescent="0.25">
      <c r="A5" s="138" t="s">
        <v>130</v>
      </c>
      <c r="B5" s="141">
        <v>524360</v>
      </c>
      <c r="D5" s="138" t="s">
        <v>130</v>
      </c>
      <c r="E5" s="141">
        <v>297334</v>
      </c>
      <c r="F5" s="145">
        <f>B5-E5</f>
        <v>227026</v>
      </c>
      <c r="G5" s="147">
        <f>IF(F5&gt;0,F5*$H$2,F5*$H$3)</f>
        <v>253996688.79999998</v>
      </c>
      <c r="H5" s="147"/>
    </row>
    <row r="6" spans="1:11" x14ac:dyDescent="0.25">
      <c r="A6" s="138"/>
      <c r="B6" s="141"/>
      <c r="D6" s="138" t="s">
        <v>207</v>
      </c>
      <c r="E6" s="141">
        <v>20</v>
      </c>
      <c r="F6" s="145">
        <f t="shared" ref="F6:F61" si="0">B6-E6</f>
        <v>-20</v>
      </c>
      <c r="G6" s="147">
        <f t="shared" ref="G6:G61" si="1">IF(F6&gt;0,F6*$H$2,F6*$H$3)</f>
        <v>-10615.256577274287</v>
      </c>
      <c r="H6" s="147"/>
    </row>
    <row r="7" spans="1:11" x14ac:dyDescent="0.25">
      <c r="A7" s="138" t="s">
        <v>131</v>
      </c>
      <c r="B7" s="141">
        <v>2200</v>
      </c>
      <c r="D7" s="138" t="s">
        <v>131</v>
      </c>
      <c r="E7" s="141">
        <v>400</v>
      </c>
      <c r="F7" s="145">
        <f t="shared" si="0"/>
        <v>1800</v>
      </c>
      <c r="G7" s="147">
        <f t="shared" si="1"/>
        <v>2013840</v>
      </c>
      <c r="H7" s="147"/>
    </row>
    <row r="8" spans="1:11" x14ac:dyDescent="0.25">
      <c r="A8" s="138" t="s">
        <v>208</v>
      </c>
      <c r="B8" s="141">
        <v>4000</v>
      </c>
      <c r="D8" s="138" t="s">
        <v>208</v>
      </c>
      <c r="E8" s="141">
        <v>50575</v>
      </c>
      <c r="F8" s="145">
        <f t="shared" si="0"/>
        <v>-46575</v>
      </c>
      <c r="G8" s="147">
        <f t="shared" si="1"/>
        <v>-24720278.754327498</v>
      </c>
      <c r="H8" s="147"/>
    </row>
    <row r="9" spans="1:11" x14ac:dyDescent="0.25">
      <c r="A9" s="138" t="s">
        <v>209</v>
      </c>
      <c r="B9" s="141">
        <v>577126</v>
      </c>
      <c r="D9" s="138" t="s">
        <v>209</v>
      </c>
      <c r="E9" s="141">
        <v>116956</v>
      </c>
      <c r="F9" s="145">
        <f t="shared" si="0"/>
        <v>460170</v>
      </c>
      <c r="G9" s="147">
        <f t="shared" si="1"/>
        <v>514838196</v>
      </c>
      <c r="H9" s="147"/>
    </row>
    <row r="10" spans="1:11" x14ac:dyDescent="0.25">
      <c r="A10" s="138" t="s">
        <v>132</v>
      </c>
      <c r="B10" s="141">
        <v>468034</v>
      </c>
      <c r="D10" s="138" t="s">
        <v>132</v>
      </c>
      <c r="E10" s="141">
        <v>434981</v>
      </c>
      <c r="F10" s="145">
        <f t="shared" si="0"/>
        <v>33053</v>
      </c>
      <c r="G10" s="147">
        <f t="shared" si="1"/>
        <v>36979696.399999999</v>
      </c>
      <c r="H10" s="147"/>
      <c r="K10" s="141"/>
    </row>
    <row r="11" spans="1:11" x14ac:dyDescent="0.25">
      <c r="A11" s="138" t="s">
        <v>210</v>
      </c>
      <c r="B11" s="141">
        <v>13868</v>
      </c>
      <c r="D11" s="138" t="s">
        <v>210</v>
      </c>
      <c r="E11" s="141">
        <v>55369</v>
      </c>
      <c r="F11" s="145">
        <f t="shared" si="0"/>
        <v>-41501</v>
      </c>
      <c r="G11" s="147">
        <f t="shared" si="1"/>
        <v>-22027188.160673011</v>
      </c>
      <c r="H11" s="147"/>
      <c r="K11" s="145"/>
    </row>
    <row r="12" spans="1:11" x14ac:dyDescent="0.25">
      <c r="A12" s="138" t="s">
        <v>133</v>
      </c>
      <c r="B12" s="141">
        <v>3607</v>
      </c>
      <c r="D12" s="138" t="s">
        <v>133</v>
      </c>
      <c r="E12" s="141">
        <v>3200</v>
      </c>
      <c r="F12" s="145">
        <f t="shared" si="0"/>
        <v>407</v>
      </c>
      <c r="G12" s="147">
        <f t="shared" si="1"/>
        <v>455351.6</v>
      </c>
      <c r="H12" s="147"/>
    </row>
    <row r="13" spans="1:11" x14ac:dyDescent="0.25">
      <c r="A13" s="138"/>
      <c r="B13" s="141"/>
      <c r="D13" s="138" t="s">
        <v>211</v>
      </c>
      <c r="E13" s="141">
        <v>6600</v>
      </c>
      <c r="F13" s="145">
        <f t="shared" si="0"/>
        <v>-6600</v>
      </c>
      <c r="G13" s="147">
        <f t="shared" si="1"/>
        <v>-3503034.670500515</v>
      </c>
      <c r="H13" s="147"/>
    </row>
    <row r="14" spans="1:11" x14ac:dyDescent="0.25">
      <c r="A14" s="138" t="s">
        <v>134</v>
      </c>
      <c r="B14" s="141">
        <v>8971</v>
      </c>
      <c r="D14" s="138" t="s">
        <v>134</v>
      </c>
      <c r="E14" s="141">
        <v>2399</v>
      </c>
      <c r="F14" s="145">
        <f t="shared" si="0"/>
        <v>6572</v>
      </c>
      <c r="G14" s="147">
        <f t="shared" si="1"/>
        <v>7352753.5999999996</v>
      </c>
      <c r="H14" s="147"/>
    </row>
    <row r="15" spans="1:11" x14ac:dyDescent="0.25">
      <c r="A15" s="138"/>
      <c r="B15" s="141"/>
      <c r="D15" s="138" t="s">
        <v>212</v>
      </c>
      <c r="E15" s="141">
        <v>26208</v>
      </c>
      <c r="F15" s="145">
        <f t="shared" si="0"/>
        <v>-26208</v>
      </c>
      <c r="G15" s="147">
        <f t="shared" si="1"/>
        <v>-13910232.218860228</v>
      </c>
      <c r="H15" s="147"/>
    </row>
    <row r="16" spans="1:11" x14ac:dyDescent="0.25">
      <c r="A16" s="138" t="s">
        <v>135</v>
      </c>
      <c r="B16" s="141">
        <v>96656</v>
      </c>
      <c r="D16" s="138" t="s">
        <v>135</v>
      </c>
      <c r="E16" s="141">
        <v>125066</v>
      </c>
      <c r="F16" s="145">
        <f t="shared" si="0"/>
        <v>-28410</v>
      </c>
      <c r="G16" s="147">
        <f t="shared" si="1"/>
        <v>-15078971.968018126</v>
      </c>
      <c r="H16" s="147"/>
    </row>
    <row r="17" spans="1:8" x14ac:dyDescent="0.25">
      <c r="A17" s="138" t="s">
        <v>136</v>
      </c>
      <c r="B17" s="141">
        <v>400</v>
      </c>
      <c r="D17" s="138" t="s">
        <v>136</v>
      </c>
      <c r="E17" s="141">
        <v>4000</v>
      </c>
      <c r="F17" s="145">
        <f t="shared" si="0"/>
        <v>-3600</v>
      </c>
      <c r="G17" s="147">
        <f t="shared" si="1"/>
        <v>-1910746.1839093717</v>
      </c>
      <c r="H17" s="147"/>
    </row>
    <row r="18" spans="1:8" x14ac:dyDescent="0.25">
      <c r="A18" s="138"/>
      <c r="B18" s="141"/>
      <c r="D18" s="138" t="s">
        <v>213</v>
      </c>
      <c r="E18" s="141">
        <v>47000</v>
      </c>
      <c r="F18" s="145">
        <f t="shared" si="0"/>
        <v>-47000</v>
      </c>
      <c r="G18" s="147">
        <f t="shared" si="1"/>
        <v>-24945852.956594575</v>
      </c>
      <c r="H18" s="147"/>
    </row>
    <row r="19" spans="1:8" x14ac:dyDescent="0.25">
      <c r="A19" s="138" t="s">
        <v>137</v>
      </c>
      <c r="B19" s="141">
        <v>800</v>
      </c>
      <c r="D19" s="138" t="s">
        <v>137</v>
      </c>
      <c r="E19" s="141">
        <v>9600</v>
      </c>
      <c r="F19" s="145">
        <f t="shared" si="0"/>
        <v>-8800</v>
      </c>
      <c r="G19" s="147">
        <f t="shared" si="1"/>
        <v>-4670712.8940006867</v>
      </c>
      <c r="H19" s="147"/>
    </row>
    <row r="20" spans="1:8" x14ac:dyDescent="0.25">
      <c r="A20" s="138" t="s">
        <v>138</v>
      </c>
      <c r="B20" s="141">
        <v>9355</v>
      </c>
      <c r="D20" s="138" t="s">
        <v>138</v>
      </c>
      <c r="E20" s="141">
        <v>6684</v>
      </c>
      <c r="F20" s="145">
        <f t="shared" si="0"/>
        <v>2671</v>
      </c>
      <c r="G20" s="147">
        <f t="shared" si="1"/>
        <v>2988314.8</v>
      </c>
      <c r="H20" s="147"/>
    </row>
    <row r="21" spans="1:8" x14ac:dyDescent="0.25">
      <c r="A21" s="138" t="s">
        <v>139</v>
      </c>
      <c r="B21" s="141">
        <v>13312</v>
      </c>
      <c r="D21" s="138" t="s">
        <v>139</v>
      </c>
      <c r="E21" s="141">
        <v>4238</v>
      </c>
      <c r="F21" s="145">
        <f t="shared" si="0"/>
        <v>9074</v>
      </c>
      <c r="G21" s="147">
        <f t="shared" si="1"/>
        <v>10151991.199999999</v>
      </c>
      <c r="H21" s="147"/>
    </row>
    <row r="22" spans="1:8" x14ac:dyDescent="0.25">
      <c r="A22" s="138" t="s">
        <v>140</v>
      </c>
      <c r="B22" s="141">
        <v>11784</v>
      </c>
      <c r="D22" s="138" t="s">
        <v>140</v>
      </c>
      <c r="E22" s="141">
        <v>13036</v>
      </c>
      <c r="F22" s="145">
        <f t="shared" si="0"/>
        <v>-1252</v>
      </c>
      <c r="G22" s="147">
        <f t="shared" si="1"/>
        <v>-664515.06173737044</v>
      </c>
      <c r="H22" s="147"/>
    </row>
    <row r="23" spans="1:8" x14ac:dyDescent="0.25">
      <c r="A23" s="138" t="s">
        <v>141</v>
      </c>
      <c r="B23" s="141">
        <v>400</v>
      </c>
      <c r="D23" s="138"/>
      <c r="E23" s="141"/>
      <c r="F23" s="145">
        <f t="shared" si="0"/>
        <v>400</v>
      </c>
      <c r="G23" s="147">
        <f t="shared" si="1"/>
        <v>447520</v>
      </c>
      <c r="H23" s="147"/>
    </row>
    <row r="24" spans="1:8" x14ac:dyDescent="0.25">
      <c r="A24" s="138" t="s">
        <v>214</v>
      </c>
      <c r="B24" s="141">
        <v>25137</v>
      </c>
      <c r="D24" s="138" t="s">
        <v>214</v>
      </c>
      <c r="E24" s="141">
        <v>15731</v>
      </c>
      <c r="F24" s="145">
        <f t="shared" si="0"/>
        <v>9406</v>
      </c>
      <c r="G24" s="147">
        <f t="shared" si="1"/>
        <v>10523432.799999999</v>
      </c>
      <c r="H24" s="147"/>
    </row>
    <row r="25" spans="1:8" x14ac:dyDescent="0.25">
      <c r="A25" s="138"/>
      <c r="B25" s="141"/>
      <c r="D25" s="138" t="s">
        <v>215</v>
      </c>
      <c r="E25" s="141">
        <v>2880</v>
      </c>
      <c r="F25" s="145">
        <f t="shared" si="0"/>
        <v>-2880</v>
      </c>
      <c r="G25" s="147">
        <f t="shared" si="1"/>
        <v>-1528596.9471274975</v>
      </c>
      <c r="H25" s="147"/>
    </row>
    <row r="26" spans="1:8" x14ac:dyDescent="0.25">
      <c r="A26" s="138" t="s">
        <v>142</v>
      </c>
      <c r="B26" s="141">
        <v>441775</v>
      </c>
      <c r="D26" s="138" t="s">
        <v>142</v>
      </c>
      <c r="E26" s="141">
        <v>434552</v>
      </c>
      <c r="F26" s="145">
        <f t="shared" si="0"/>
        <v>7223</v>
      </c>
      <c r="G26" s="147">
        <f t="shared" si="1"/>
        <v>8081092.3999999994</v>
      </c>
      <c r="H26" s="147"/>
    </row>
    <row r="27" spans="1:8" x14ac:dyDescent="0.25">
      <c r="A27" s="138" t="s">
        <v>143</v>
      </c>
      <c r="B27" s="141">
        <v>11070</v>
      </c>
      <c r="D27" s="138" t="s">
        <v>143</v>
      </c>
      <c r="E27" s="141">
        <v>20467</v>
      </c>
      <c r="F27" s="145">
        <f t="shared" si="0"/>
        <v>-9397</v>
      </c>
      <c r="G27" s="147">
        <f t="shared" si="1"/>
        <v>-4987578.3028323241</v>
      </c>
      <c r="H27" s="147"/>
    </row>
    <row r="28" spans="1:8" x14ac:dyDescent="0.25">
      <c r="A28" s="138" t="s">
        <v>144</v>
      </c>
      <c r="B28" s="141">
        <v>110</v>
      </c>
      <c r="D28" s="138"/>
      <c r="E28" s="141"/>
      <c r="F28" s="145">
        <f t="shared" si="0"/>
        <v>110</v>
      </c>
      <c r="G28" s="147">
        <f t="shared" si="1"/>
        <v>123068</v>
      </c>
      <c r="H28" s="147"/>
    </row>
    <row r="29" spans="1:8" x14ac:dyDescent="0.25">
      <c r="A29" s="138" t="s">
        <v>145</v>
      </c>
      <c r="B29" s="141">
        <v>16064</v>
      </c>
      <c r="D29" s="138" t="s">
        <v>145</v>
      </c>
      <c r="E29" s="141">
        <v>81000</v>
      </c>
      <c r="F29" s="145">
        <f t="shared" si="0"/>
        <v>-64936</v>
      </c>
      <c r="G29" s="147">
        <f t="shared" si="1"/>
        <v>-34465615.05509416</v>
      </c>
      <c r="H29" s="147"/>
    </row>
    <row r="30" spans="1:8" x14ac:dyDescent="0.25">
      <c r="A30" s="138" t="s">
        <v>146</v>
      </c>
      <c r="B30" s="141">
        <v>10484</v>
      </c>
      <c r="D30" s="138" t="s">
        <v>146</v>
      </c>
      <c r="E30" s="141">
        <v>67147</v>
      </c>
      <c r="F30" s="145">
        <f t="shared" si="0"/>
        <v>-56663</v>
      </c>
      <c r="G30" s="147">
        <f t="shared" si="1"/>
        <v>-30074614.17190465</v>
      </c>
      <c r="H30" s="147"/>
    </row>
    <row r="31" spans="1:8" x14ac:dyDescent="0.25">
      <c r="A31" s="138"/>
      <c r="B31" s="141"/>
      <c r="D31" s="138" t="s">
        <v>216</v>
      </c>
      <c r="E31" s="141">
        <v>13298</v>
      </c>
      <c r="F31" s="145">
        <f t="shared" si="0"/>
        <v>-13298</v>
      </c>
      <c r="G31" s="147">
        <f t="shared" si="1"/>
        <v>-7058084.0982296737</v>
      </c>
      <c r="H31" s="147"/>
    </row>
    <row r="32" spans="1:8" x14ac:dyDescent="0.25">
      <c r="A32" s="138" t="s">
        <v>147</v>
      </c>
      <c r="B32" s="141">
        <v>844661</v>
      </c>
      <c r="D32" s="138" t="s">
        <v>147</v>
      </c>
      <c r="E32" s="141">
        <v>397644</v>
      </c>
      <c r="F32" s="145">
        <f t="shared" si="0"/>
        <v>447017</v>
      </c>
      <c r="G32" s="147">
        <f t="shared" si="1"/>
        <v>500122619.59999996</v>
      </c>
      <c r="H32" s="147"/>
    </row>
    <row r="33" spans="1:8" x14ac:dyDescent="0.25">
      <c r="A33" s="138"/>
      <c r="B33" s="141"/>
      <c r="D33" s="138" t="s">
        <v>217</v>
      </c>
      <c r="E33" s="141">
        <v>2736</v>
      </c>
      <c r="F33" s="145">
        <f t="shared" si="0"/>
        <v>-2736</v>
      </c>
      <c r="G33" s="147">
        <f t="shared" si="1"/>
        <v>-1452167.0997711227</v>
      </c>
      <c r="H33" s="147"/>
    </row>
    <row r="34" spans="1:8" x14ac:dyDescent="0.25">
      <c r="A34" s="138"/>
      <c r="B34" s="141"/>
      <c r="D34" s="138" t="s">
        <v>218</v>
      </c>
      <c r="E34" s="141">
        <v>4211</v>
      </c>
      <c r="F34" s="145">
        <f t="shared" si="0"/>
        <v>-4211</v>
      </c>
      <c r="G34" s="147">
        <f t="shared" si="1"/>
        <v>-2235042.2723451015</v>
      </c>
      <c r="H34" s="147"/>
    </row>
    <row r="35" spans="1:8" x14ac:dyDescent="0.25">
      <c r="A35" s="138"/>
      <c r="B35" s="141"/>
      <c r="D35" s="138" t="s">
        <v>219</v>
      </c>
      <c r="E35" s="141">
        <v>318</v>
      </c>
      <c r="F35" s="145">
        <f t="shared" si="0"/>
        <v>-318</v>
      </c>
      <c r="G35" s="147">
        <f t="shared" si="1"/>
        <v>-168782.57957866119</v>
      </c>
      <c r="H35" s="147"/>
    </row>
    <row r="36" spans="1:8" x14ac:dyDescent="0.25">
      <c r="A36" s="138" t="s">
        <v>148</v>
      </c>
      <c r="B36" s="141">
        <v>10400</v>
      </c>
      <c r="D36" s="138"/>
      <c r="E36" s="141"/>
      <c r="F36" s="145">
        <f t="shared" si="0"/>
        <v>10400</v>
      </c>
      <c r="G36" s="147">
        <f t="shared" si="1"/>
        <v>11635520</v>
      </c>
      <c r="H36" s="147"/>
    </row>
    <row r="37" spans="1:8" x14ac:dyDescent="0.25">
      <c r="A37" s="138" t="s">
        <v>149</v>
      </c>
      <c r="B37" s="141">
        <v>47709</v>
      </c>
      <c r="D37" s="138" t="s">
        <v>149</v>
      </c>
      <c r="E37" s="141">
        <v>196834</v>
      </c>
      <c r="F37" s="145">
        <f t="shared" si="0"/>
        <v>-149125</v>
      </c>
      <c r="G37" s="147">
        <f t="shared" si="1"/>
        <v>-79150006.854301408</v>
      </c>
      <c r="H37" s="147"/>
    </row>
    <row r="38" spans="1:8" x14ac:dyDescent="0.25">
      <c r="A38" s="138" t="s">
        <v>150</v>
      </c>
      <c r="B38" s="141">
        <v>2702</v>
      </c>
      <c r="D38" s="138" t="s">
        <v>150</v>
      </c>
      <c r="E38" s="141">
        <v>2310</v>
      </c>
      <c r="F38" s="145">
        <f t="shared" si="0"/>
        <v>392</v>
      </c>
      <c r="G38" s="147">
        <f t="shared" si="1"/>
        <v>438569.6</v>
      </c>
      <c r="H38" s="147"/>
    </row>
    <row r="39" spans="1:8" x14ac:dyDescent="0.25">
      <c r="A39" s="138" t="s">
        <v>151</v>
      </c>
      <c r="B39" s="141">
        <v>74368</v>
      </c>
      <c r="D39" s="138" t="s">
        <v>151</v>
      </c>
      <c r="E39" s="141">
        <v>108425</v>
      </c>
      <c r="F39" s="145">
        <f t="shared" si="0"/>
        <v>-34057</v>
      </c>
      <c r="G39" s="147">
        <f t="shared" si="1"/>
        <v>-18076189.662611522</v>
      </c>
      <c r="H39" s="147"/>
    </row>
    <row r="40" spans="1:8" x14ac:dyDescent="0.25">
      <c r="A40" s="138" t="s">
        <v>152</v>
      </c>
      <c r="B40" s="141">
        <v>69306</v>
      </c>
      <c r="D40" s="138" t="s">
        <v>152</v>
      </c>
      <c r="E40" s="141">
        <v>58744</v>
      </c>
      <c r="F40" s="145">
        <f t="shared" si="0"/>
        <v>10562</v>
      </c>
      <c r="G40" s="147">
        <f t="shared" si="1"/>
        <v>11816765.6</v>
      </c>
      <c r="H40" s="147"/>
    </row>
    <row r="41" spans="1:8" x14ac:dyDescent="0.25">
      <c r="A41" s="138" t="s">
        <v>153</v>
      </c>
      <c r="B41" s="141">
        <v>81107</v>
      </c>
      <c r="D41" s="138" t="s">
        <v>153</v>
      </c>
      <c r="E41" s="141">
        <v>407256</v>
      </c>
      <c r="F41" s="145">
        <f t="shared" si="0"/>
        <v>-326149</v>
      </c>
      <c r="G41" s="147">
        <f t="shared" si="1"/>
        <v>-173107765.87107158</v>
      </c>
      <c r="H41" s="147"/>
    </row>
    <row r="42" spans="1:8" x14ac:dyDescent="0.25">
      <c r="A42" s="138"/>
      <c r="B42" s="141"/>
      <c r="D42" s="138" t="s">
        <v>222</v>
      </c>
      <c r="E42" s="141">
        <v>1200</v>
      </c>
      <c r="F42" s="145">
        <f t="shared" si="0"/>
        <v>-1200</v>
      </c>
      <c r="G42" s="147">
        <f t="shared" si="1"/>
        <v>-636915.39463645732</v>
      </c>
      <c r="H42" s="147"/>
    </row>
    <row r="43" spans="1:8" x14ac:dyDescent="0.25">
      <c r="A43" s="138" t="s">
        <v>220</v>
      </c>
      <c r="B43" s="141">
        <v>19158</v>
      </c>
      <c r="D43" s="138" t="s">
        <v>220</v>
      </c>
      <c r="E43" s="141">
        <v>1458</v>
      </c>
      <c r="F43" s="145">
        <f t="shared" si="0"/>
        <v>17700</v>
      </c>
      <c r="G43" s="147">
        <f t="shared" si="1"/>
        <v>19802760</v>
      </c>
      <c r="H43" s="147"/>
    </row>
    <row r="44" spans="1:8" x14ac:dyDescent="0.25">
      <c r="A44" s="138" t="s">
        <v>154</v>
      </c>
      <c r="B44" s="141">
        <v>39593</v>
      </c>
      <c r="D44" s="138" t="s">
        <v>154</v>
      </c>
      <c r="E44" s="141">
        <v>16641</v>
      </c>
      <c r="F44" s="145">
        <f t="shared" si="0"/>
        <v>22952</v>
      </c>
      <c r="G44" s="147">
        <f t="shared" si="1"/>
        <v>25678697.599999998</v>
      </c>
      <c r="H44" s="147"/>
    </row>
    <row r="45" spans="1:8" x14ac:dyDescent="0.25">
      <c r="A45" s="138" t="s">
        <v>155</v>
      </c>
      <c r="B45" s="141">
        <v>108990</v>
      </c>
      <c r="D45" s="138" t="s">
        <v>155</v>
      </c>
      <c r="E45" s="141">
        <v>46355</v>
      </c>
      <c r="F45" s="145">
        <f t="shared" si="0"/>
        <v>62635</v>
      </c>
      <c r="G45" s="147">
        <f t="shared" si="1"/>
        <v>70076038</v>
      </c>
      <c r="H45" s="147"/>
    </row>
    <row r="46" spans="1:8" x14ac:dyDescent="0.25">
      <c r="A46" s="138" t="s">
        <v>221</v>
      </c>
      <c r="B46" s="141">
        <v>9175</v>
      </c>
      <c r="D46" s="138" t="s">
        <v>221</v>
      </c>
      <c r="E46" s="141">
        <v>3820</v>
      </c>
      <c r="F46" s="145">
        <f t="shared" si="0"/>
        <v>5355</v>
      </c>
      <c r="G46" s="147">
        <f t="shared" si="1"/>
        <v>5991174</v>
      </c>
      <c r="H46" s="147"/>
    </row>
    <row r="47" spans="1:8" x14ac:dyDescent="0.25">
      <c r="A47" s="138" t="s">
        <v>156</v>
      </c>
      <c r="B47" s="141">
        <v>39571</v>
      </c>
      <c r="D47" s="138" t="s">
        <v>156</v>
      </c>
      <c r="E47" s="141">
        <v>165617</v>
      </c>
      <c r="F47" s="145">
        <f t="shared" si="0"/>
        <v>-126046</v>
      </c>
      <c r="G47" s="147">
        <f t="shared" si="1"/>
        <v>-66900531.526955746</v>
      </c>
      <c r="H47" s="147"/>
    </row>
    <row r="48" spans="1:8" x14ac:dyDescent="0.25">
      <c r="A48" s="138" t="s">
        <v>157</v>
      </c>
      <c r="B48" s="141">
        <v>85071</v>
      </c>
      <c r="D48" s="138" t="s">
        <v>157</v>
      </c>
      <c r="E48" s="141">
        <v>34120</v>
      </c>
      <c r="F48" s="145">
        <f t="shared" si="0"/>
        <v>50951</v>
      </c>
      <c r="G48" s="147">
        <f t="shared" si="1"/>
        <v>57003978.799999997</v>
      </c>
      <c r="H48" s="147"/>
    </row>
    <row r="49" spans="1:9" x14ac:dyDescent="0.25">
      <c r="D49" s="138" t="s">
        <v>224</v>
      </c>
      <c r="E49" s="141">
        <v>48</v>
      </c>
      <c r="F49" s="145">
        <f t="shared" si="0"/>
        <v>-48</v>
      </c>
      <c r="G49" s="147">
        <f t="shared" si="1"/>
        <v>-25476.615785458293</v>
      </c>
      <c r="H49" s="147"/>
    </row>
    <row r="50" spans="1:9" x14ac:dyDescent="0.25">
      <c r="D50" s="138" t="s">
        <v>225</v>
      </c>
      <c r="E50" s="141">
        <v>343</v>
      </c>
      <c r="F50" s="145">
        <f t="shared" si="0"/>
        <v>-343</v>
      </c>
      <c r="G50" s="147">
        <f t="shared" si="1"/>
        <v>-182051.65030025403</v>
      </c>
      <c r="H50" s="147"/>
    </row>
    <row r="51" spans="1:9" x14ac:dyDescent="0.25">
      <c r="A51" s="138" t="s">
        <v>158</v>
      </c>
      <c r="B51" s="141">
        <v>4</v>
      </c>
      <c r="D51" s="138" t="s">
        <v>158</v>
      </c>
      <c r="E51" s="141">
        <v>200</v>
      </c>
      <c r="F51" s="145">
        <f t="shared" si="0"/>
        <v>-196</v>
      </c>
      <c r="G51" s="147">
        <f t="shared" si="1"/>
        <v>-104029.51445728802</v>
      </c>
      <c r="H51" s="147"/>
    </row>
    <row r="52" spans="1:9" x14ac:dyDescent="0.25">
      <c r="A52" s="138" t="s">
        <v>159</v>
      </c>
      <c r="B52" s="141">
        <v>32278</v>
      </c>
      <c r="D52" s="138" t="s">
        <v>159</v>
      </c>
      <c r="E52" s="141">
        <v>17210</v>
      </c>
      <c r="F52" s="145">
        <f t="shared" si="0"/>
        <v>15068</v>
      </c>
      <c r="G52" s="147">
        <f t="shared" si="1"/>
        <v>16858078.399999999</v>
      </c>
      <c r="H52" s="147"/>
    </row>
    <row r="53" spans="1:9" x14ac:dyDescent="0.25">
      <c r="A53" s="138" t="s">
        <v>160</v>
      </c>
      <c r="B53" s="141">
        <v>134161</v>
      </c>
      <c r="D53" s="138" t="s">
        <v>160</v>
      </c>
      <c r="E53" s="141">
        <v>120874</v>
      </c>
      <c r="F53" s="145">
        <f t="shared" si="0"/>
        <v>13287</v>
      </c>
      <c r="G53" s="147">
        <f t="shared" si="1"/>
        <v>14865495.6</v>
      </c>
      <c r="H53" s="147"/>
    </row>
    <row r="54" spans="1:9" x14ac:dyDescent="0.25">
      <c r="A54" s="138" t="s">
        <v>161</v>
      </c>
      <c r="B54" s="141">
        <v>204048</v>
      </c>
      <c r="D54" s="138" t="s">
        <v>161</v>
      </c>
      <c r="E54" s="141">
        <v>403194</v>
      </c>
      <c r="F54" s="145">
        <f t="shared" si="0"/>
        <v>-199146</v>
      </c>
      <c r="G54" s="147">
        <f t="shared" si="1"/>
        <v>-105699294.31689326</v>
      </c>
      <c r="H54" s="147"/>
    </row>
    <row r="55" spans="1:9" x14ac:dyDescent="0.25">
      <c r="A55" s="138" t="s">
        <v>162</v>
      </c>
      <c r="B55" s="141">
        <v>1020</v>
      </c>
      <c r="D55" s="138" t="s">
        <v>162</v>
      </c>
      <c r="E55" s="141">
        <v>2739</v>
      </c>
      <c r="F55" s="145">
        <f t="shared" si="0"/>
        <v>-1719</v>
      </c>
      <c r="G55" s="147">
        <f t="shared" si="1"/>
        <v>-912381.30281672499</v>
      </c>
      <c r="H55" s="147"/>
    </row>
    <row r="56" spans="1:9" x14ac:dyDescent="0.25">
      <c r="A56" s="138" t="s">
        <v>163</v>
      </c>
      <c r="B56" s="141">
        <v>8925</v>
      </c>
      <c r="D56" s="138" t="s">
        <v>163</v>
      </c>
      <c r="E56" s="141">
        <v>716117</v>
      </c>
      <c r="F56" s="145">
        <f t="shared" si="0"/>
        <v>-707192</v>
      </c>
      <c r="G56" s="147">
        <f t="shared" si="1"/>
        <v>-375351226.4697879</v>
      </c>
      <c r="H56" s="147"/>
    </row>
    <row r="57" spans="1:9" x14ac:dyDescent="0.25">
      <c r="A57" s="138" t="s">
        <v>164</v>
      </c>
      <c r="B57" s="141">
        <v>3329</v>
      </c>
      <c r="D57" s="138" t="s">
        <v>164</v>
      </c>
      <c r="E57" s="141">
        <v>11973</v>
      </c>
      <c r="F57" s="145">
        <f t="shared" si="0"/>
        <v>-8644</v>
      </c>
      <c r="G57" s="147">
        <f t="shared" si="1"/>
        <v>-4587913.8926979471</v>
      </c>
      <c r="H57" s="147"/>
    </row>
    <row r="58" spans="1:9" x14ac:dyDescent="0.25">
      <c r="A58" s="138" t="s">
        <v>165</v>
      </c>
      <c r="B58" s="141">
        <v>27930</v>
      </c>
      <c r="D58" s="138" t="s">
        <v>165</v>
      </c>
      <c r="E58" s="141">
        <v>3266</v>
      </c>
      <c r="F58" s="145">
        <f t="shared" si="0"/>
        <v>24664</v>
      </c>
      <c r="G58" s="147">
        <f t="shared" si="1"/>
        <v>27594083.199999999</v>
      </c>
      <c r="H58" s="147"/>
    </row>
    <row r="59" spans="1:9" x14ac:dyDescent="0.25">
      <c r="A59" s="138" t="s">
        <v>166</v>
      </c>
      <c r="B59" s="141">
        <v>1485716</v>
      </c>
      <c r="D59" s="138" t="s">
        <v>166</v>
      </c>
      <c r="E59" s="141">
        <v>47668</v>
      </c>
      <c r="F59" s="145">
        <f t="shared" si="0"/>
        <v>1438048</v>
      </c>
      <c r="G59" s="147">
        <f t="shared" si="1"/>
        <v>1608888102.3999999</v>
      </c>
      <c r="H59" s="147"/>
    </row>
    <row r="60" spans="1:9" x14ac:dyDescent="0.25">
      <c r="A60" s="138" t="s">
        <v>223</v>
      </c>
      <c r="B60" s="141">
        <v>178524</v>
      </c>
      <c r="D60" s="138" t="s">
        <v>223</v>
      </c>
      <c r="E60" s="141">
        <v>114201</v>
      </c>
      <c r="F60" s="145">
        <f t="shared" si="0"/>
        <v>64323</v>
      </c>
      <c r="G60" s="147">
        <f t="shared" si="1"/>
        <v>71964572.399999991</v>
      </c>
      <c r="H60" s="147"/>
    </row>
    <row r="61" spans="1:9" x14ac:dyDescent="0.25">
      <c r="A61" s="138"/>
      <c r="B61" s="141"/>
      <c r="D61" s="138" t="s">
        <v>226</v>
      </c>
      <c r="E61" s="141">
        <v>12800</v>
      </c>
      <c r="F61" s="145">
        <f t="shared" si="0"/>
        <v>-12800</v>
      </c>
      <c r="G61" s="147">
        <f t="shared" si="1"/>
        <v>-6793764.2094555441</v>
      </c>
      <c r="H61" s="147"/>
    </row>
    <row r="62" spans="1:9" x14ac:dyDescent="0.25">
      <c r="D62" s="138"/>
      <c r="E62" s="141"/>
      <c r="F62" s="145"/>
    </row>
    <row r="63" spans="1:9" x14ac:dyDescent="0.25">
      <c r="A63" s="146" t="s">
        <v>228</v>
      </c>
      <c r="B63" s="145">
        <f>SUM(B5:B60)</f>
        <v>5747259</v>
      </c>
      <c r="E63" s="145">
        <f>SUM(E5:E61)</f>
        <v>4737063</v>
      </c>
      <c r="F63" s="145">
        <f t="shared" ref="F63" si="2">SUM(F5:F61)</f>
        <v>1010196</v>
      </c>
      <c r="G63" s="145">
        <f>SUM(G5:G61)/2000</f>
        <v>1132874.1124330733</v>
      </c>
      <c r="H63" s="145"/>
      <c r="I63" t="s">
        <v>234</v>
      </c>
    </row>
    <row r="64" spans="1:9" x14ac:dyDescent="0.25">
      <c r="A64" s="146" t="s">
        <v>227</v>
      </c>
      <c r="F64" t="s">
        <v>233</v>
      </c>
    </row>
    <row r="67" spans="6:6" x14ac:dyDescent="0.25">
      <c r="F67" s="145"/>
    </row>
    <row r="80" spans="6:6" x14ac:dyDescent="0.25">
      <c r="F80" s="145"/>
    </row>
    <row r="83" spans="6:6" x14ac:dyDescent="0.25">
      <c r="F83" s="145"/>
    </row>
    <row r="100" spans="6:6" x14ac:dyDescent="0.25">
      <c r="F100" s="145"/>
    </row>
    <row r="106" spans="6:6" x14ac:dyDescent="0.25">
      <c r="F106" s="145"/>
    </row>
  </sheetData>
  <mergeCells count="2">
    <mergeCell ref="D2:G2"/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180480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B3CA2475AFAC419EA0276E0C564496" ma:contentTypeVersion="76" ma:contentTypeDescription="" ma:contentTypeScope="" ma:versionID="a74966d486ecbff924a5e69ebcb792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E1F28-303A-4833-8A05-0A33588D1988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dc463f71-b30c-4ab2-9473-d307f9d3588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228D41C-4CB3-4A5A-9D11-4BACB2F698B2}"/>
</file>

<file path=customXml/itemProps3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03F30F-B655-47E4-8054-3F078A132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dcterms:created xsi:type="dcterms:W3CDTF">2016-02-08T23:38:12Z</dcterms:created>
  <dcterms:modified xsi:type="dcterms:W3CDTF">2018-05-30T15:55:20Z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0x0101006E56B4D1795A2E4DB2F0B01679ED314A00D7B3CA2475AFAC419EA0276E0C564496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