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2018\April 2018\18\UE-180185\"/>
    </mc:Choice>
  </mc:AlternateContent>
  <bookViews>
    <workbookView xWindow="-15" yWindow="45" windowWidth="7680" windowHeight="9045" tabRatio="642" activeTab="1"/>
  </bookViews>
  <sheets>
    <sheet name="Table 1" sheetId="57" r:id="rId1"/>
    <sheet name="Proforma - Proposed  Revenue" sheetId="38" r:id="rId2"/>
    <sheet name="Proforma - Proposed vs. no 120 " sheetId="24" r:id="rId3"/>
    <sheet name="Typical Res Customer Sch 120" sheetId="66" r:id="rId4"/>
    <sheet name="Effective Rate by Schedule" sheetId="70" r:id="rId5"/>
    <sheet name="Lighting Schedule Rates" sheetId="75" r:id="rId6"/>
    <sheet name="Peak Credit Budget 2018" sheetId="4" r:id="rId7"/>
    <sheet name="Sch 258 Rate Summary" sheetId="39" r:id="rId8"/>
    <sheet name="Sch 258 Rates 2017" sheetId="44" r:id="rId9"/>
    <sheet name="Peak Credit Budget 2017" sheetId="33" r:id="rId10"/>
    <sheet name="Projected Revenue on F2017" sheetId="50" r:id="rId11"/>
    <sheet name="UE-170033 LR Data Summary" sheetId="72" r:id="rId12"/>
    <sheet name="UE-170033 LR Data- Dem 4CP" sheetId="73" r:id="rId13"/>
    <sheet name="UE-170033 LR Data -Energy" sheetId="74" r:id="rId14"/>
    <sheet name="UE-141368 Final PC Alloc" sheetId="71" r:id="rId15"/>
  </sheets>
  <definedNames>
    <definedName name="_Order1">255</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 localSheetId="14">-1894858854</definedName>
    <definedName name="CBWorkbookPriority">-2060790043</definedName>
    <definedName name="HTML_CodePage">1252</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4">10</definedName>
    <definedName name="LOLD_ZZCOOM_M03_Q004ORDERS">13</definedName>
    <definedName name="LOLD_ZZCOOM_M03_Q004SKF">13</definedName>
    <definedName name="_xlnm.Print_Area" localSheetId="4">'Effective Rate by Schedule'!$A$1:$BW$37</definedName>
    <definedName name="_xlnm.Print_Area" localSheetId="5">'Lighting Schedule Rates'!$A$1:$G$195</definedName>
    <definedName name="_xlnm.Print_Area" localSheetId="9">'Peak Credit Budget 2017'!$A$1:$L$27</definedName>
    <definedName name="_xlnm.Print_Area" localSheetId="6">'Peak Credit Budget 2018'!$A$1:$L$30</definedName>
    <definedName name="_xlnm.Print_Area" localSheetId="1">'Proforma - Proposed  Revenue'!$A$1:$K$36</definedName>
    <definedName name="_xlnm.Print_Area" localSheetId="2">'Proforma - Proposed vs. no 120 '!$A$1:$N$43</definedName>
    <definedName name="_xlnm.Print_Area" localSheetId="10">'Projected Revenue on F2017'!$A$1:$M$43</definedName>
    <definedName name="_xlnm.Print_Area" localSheetId="7">'Sch 258 Rate Summary'!$A$1:$AJ$16</definedName>
    <definedName name="_xlnm.Print_Area" localSheetId="8">'Sch 258 Rates 2017'!$A$1:$E$31</definedName>
    <definedName name="_xlnm.Print_Area" localSheetId="0">'Table 1'!$A$1:$L$38</definedName>
    <definedName name="_xlnm.Print_Area" localSheetId="3">'Typical Res Customer Sch 120'!$A$1:$T$62</definedName>
    <definedName name="_xlnm.Print_Area" localSheetId="14">'UE-141368 Final PC Alloc'!$A$1:$G$56</definedName>
    <definedName name="_xlnm.Print_Area" localSheetId="12">'UE-170033 LR Data- Dem 4CP'!$A$1:$V$23</definedName>
    <definedName name="_xlnm.Print_Area" localSheetId="13">'UE-170033 LR Data -Energy'!$A$1:$K$81</definedName>
    <definedName name="_xlnm.Print_Area" localSheetId="11">'UE-170033 LR Data Summary'!$A$1:$N$26</definedName>
    <definedName name="_xlnm.Print_Titles" localSheetId="4">'Effective Rate by Schedule'!$A:$E</definedName>
    <definedName name="_xlnm.Print_Titles" localSheetId="5">'Lighting Schedule Rates'!$1:$7</definedName>
    <definedName name="_xlnm.Print_Titles" localSheetId="7">'Sch 258 Rate Summary'!$A:$C</definedName>
    <definedName name="SAPBEXhrIndnt">"Wide"</definedName>
    <definedName name="SAPsysID">"708C5W7SBKP804JT78WJ0JNKI"</definedName>
    <definedName name="SAPwbID">"ARS"</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s>
  <calcPr calcId="152511"/>
</workbook>
</file>

<file path=xl/calcChain.xml><?xml version="1.0" encoding="utf-8"?>
<calcChain xmlns="http://schemas.openxmlformats.org/spreadsheetml/2006/main">
  <c r="I25" i="33" l="1"/>
  <c r="H38" i="24"/>
  <c r="B169" i="75" l="1"/>
  <c r="B170" i="75" s="1"/>
  <c r="B171" i="75" s="1"/>
  <c r="B172" i="75" s="1"/>
  <c r="B173" i="75" s="1"/>
  <c r="B174" i="75" s="1"/>
  <c r="B175" i="75" s="1"/>
  <c r="B176" i="75" s="1"/>
  <c r="B177" i="75" s="1"/>
  <c r="B178" i="75" s="1"/>
  <c r="B179" i="75" s="1"/>
  <c r="B180" i="75" s="1"/>
  <c r="B181" i="75" s="1"/>
  <c r="B182" i="75" s="1"/>
  <c r="B164" i="75"/>
  <c r="B165" i="75" s="1"/>
  <c r="B154" i="75"/>
  <c r="B155" i="75" s="1"/>
  <c r="B156" i="75" s="1"/>
  <c r="B157" i="75" s="1"/>
  <c r="B147" i="75"/>
  <c r="B159" i="75" s="1"/>
  <c r="B160" i="75" s="1"/>
  <c r="B161" i="75" s="1"/>
  <c r="B162" i="75" s="1"/>
  <c r="B127" i="75"/>
  <c r="B128" i="75" s="1"/>
  <c r="B129" i="75" s="1"/>
  <c r="B130" i="75" s="1"/>
  <c r="B131" i="75" s="1"/>
  <c r="B133" i="75" s="1"/>
  <c r="B105" i="75"/>
  <c r="B106" i="75" s="1"/>
  <c r="B107" i="75" s="1"/>
  <c r="B108" i="75" s="1"/>
  <c r="B109" i="75" s="1"/>
  <c r="B110" i="75" s="1"/>
  <c r="B111" i="75" s="1"/>
  <c r="B112" i="75" s="1"/>
  <c r="B115" i="75" s="1"/>
  <c r="B116" i="75" s="1"/>
  <c r="B117" i="75" s="1"/>
  <c r="B118" i="75" s="1"/>
  <c r="B119" i="75" s="1"/>
  <c r="B120" i="75" s="1"/>
  <c r="B121" i="75" s="1"/>
  <c r="B122" i="75" s="1"/>
  <c r="B123" i="75" s="1"/>
  <c r="B77" i="75"/>
  <c r="B78" i="75" s="1"/>
  <c r="B79" i="75" s="1"/>
  <c r="B80" i="75" s="1"/>
  <c r="B81" i="75" s="1"/>
  <c r="B82" i="75" s="1"/>
  <c r="B83" i="75" s="1"/>
  <c r="B84" i="75" s="1"/>
  <c r="B86" i="75" s="1"/>
  <c r="B87" i="75" s="1"/>
  <c r="B88" i="75" s="1"/>
  <c r="B89" i="75" s="1"/>
  <c r="B90" i="75" s="1"/>
  <c r="B91" i="75" s="1"/>
  <c r="B93" i="75" s="1"/>
  <c r="B94" i="75" s="1"/>
  <c r="B95" i="75" s="1"/>
  <c r="B96" i="75" s="1"/>
  <c r="B97" i="75" s="1"/>
  <c r="B98" i="75" s="1"/>
  <c r="B99" i="75" s="1"/>
  <c r="B100" i="75" s="1"/>
  <c r="B101" i="75" s="1"/>
  <c r="B51" i="75"/>
  <c r="B52" i="75" s="1"/>
  <c r="B53" i="75" s="1"/>
  <c r="B54" i="75" s="1"/>
  <c r="B55" i="75" s="1"/>
  <c r="B56" i="75" s="1"/>
  <c r="B57" i="75" s="1"/>
  <c r="B58" i="75" s="1"/>
  <c r="B60" i="75" s="1"/>
  <c r="B61" i="75" s="1"/>
  <c r="B62" i="75" s="1"/>
  <c r="B63" i="75" s="1"/>
  <c r="B64" i="75" s="1"/>
  <c r="B66" i="75" s="1"/>
  <c r="B67" i="75" s="1"/>
  <c r="B68" i="75" s="1"/>
  <c r="B69" i="75" s="1"/>
  <c r="B70" i="75" s="1"/>
  <c r="B71" i="75" s="1"/>
  <c r="B72" i="75" s="1"/>
  <c r="B73" i="75" s="1"/>
  <c r="B74" i="75" s="1"/>
  <c r="C45" i="75"/>
  <c r="C46" i="75" s="1"/>
  <c r="C47" i="75" s="1"/>
  <c r="B33" i="75"/>
  <c r="B34" i="75" s="1"/>
  <c r="B35" i="75" s="1"/>
  <c r="B36" i="75" s="1"/>
  <c r="B16" i="75"/>
  <c r="B17" i="75" s="1"/>
  <c r="B18" i="75" s="1"/>
  <c r="C13" i="75"/>
  <c r="C14" i="75" s="1"/>
  <c r="C15" i="75" s="1"/>
  <c r="C16" i="75" s="1"/>
  <c r="C17" i="75" s="1"/>
  <c r="C18" i="75" s="1"/>
  <c r="B13" i="75"/>
  <c r="B14" i="75" s="1"/>
  <c r="A10" i="75"/>
  <c r="A11" i="75" s="1"/>
  <c r="A12" i="75" s="1"/>
  <c r="A13" i="75" s="1"/>
  <c r="A14" i="75" s="1"/>
  <c r="A15" i="75" s="1"/>
  <c r="A16" i="75" s="1"/>
  <c r="A17" i="75" s="1"/>
  <c r="A18" i="75" s="1"/>
  <c r="A19" i="75" s="1"/>
  <c r="A20" i="75" s="1"/>
  <c r="A21" i="75" s="1"/>
  <c r="A22" i="75" s="1"/>
  <c r="A23" i="75" s="1"/>
  <c r="A24" i="75" s="1"/>
  <c r="A25" i="75" s="1"/>
  <c r="A26" i="75" s="1"/>
  <c r="A27" i="75" s="1"/>
  <c r="A28" i="75" s="1"/>
  <c r="A29" i="75" s="1"/>
  <c r="A30" i="75" s="1"/>
  <c r="A31" i="75" s="1"/>
  <c r="A32" i="75" s="1"/>
  <c r="A33" i="75" s="1"/>
  <c r="A34" i="75" s="1"/>
  <c r="A35" i="75" s="1"/>
  <c r="A36" i="75" s="1"/>
  <c r="A37" i="75" s="1"/>
  <c r="A38" i="75" s="1"/>
  <c r="A39" i="75" s="1"/>
  <c r="A40" i="75" s="1"/>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A65" i="75" s="1"/>
  <c r="A66" i="75" s="1"/>
  <c r="A67" i="75" s="1"/>
  <c r="A68" i="75" s="1"/>
  <c r="A69" i="75" s="1"/>
  <c r="A70" i="75" s="1"/>
  <c r="A71" i="75" s="1"/>
  <c r="A72" i="75" s="1"/>
  <c r="A73" i="75" s="1"/>
  <c r="A74" i="75" s="1"/>
  <c r="A75" i="75" s="1"/>
  <c r="A76" i="75" s="1"/>
  <c r="A77" i="75" s="1"/>
  <c r="A78" i="75" s="1"/>
  <c r="A79" i="75" s="1"/>
  <c r="A80" i="75" s="1"/>
  <c r="A81" i="75" s="1"/>
  <c r="A82" i="75" s="1"/>
  <c r="A83" i="75" s="1"/>
  <c r="A84" i="75" s="1"/>
  <c r="A85" i="75" s="1"/>
  <c r="A86" i="75" s="1"/>
  <c r="A87" i="75" s="1"/>
  <c r="A88" i="75" s="1"/>
  <c r="A89" i="75" s="1"/>
  <c r="A90" i="75" s="1"/>
  <c r="A91" i="75" s="1"/>
  <c r="A92" i="75" s="1"/>
  <c r="A93" i="75" s="1"/>
  <c r="A94" i="75" s="1"/>
  <c r="A95" i="75" s="1"/>
  <c r="A96" i="75" s="1"/>
  <c r="A97" i="75" s="1"/>
  <c r="A98" i="75" s="1"/>
  <c r="A99" i="75" s="1"/>
  <c r="A100" i="75" s="1"/>
  <c r="A101" i="75" s="1"/>
  <c r="A102" i="75" s="1"/>
  <c r="A103" i="75" s="1"/>
  <c r="A104" i="75" s="1"/>
  <c r="A105" i="75" s="1"/>
  <c r="A106" i="75" s="1"/>
  <c r="A107" i="75" s="1"/>
  <c r="A108" i="75" s="1"/>
  <c r="A109" i="75" s="1"/>
  <c r="A110" i="75" s="1"/>
  <c r="A111" i="75" s="1"/>
  <c r="A112" i="75" s="1"/>
  <c r="A113" i="75" s="1"/>
  <c r="A114" i="75" s="1"/>
  <c r="A115" i="75" s="1"/>
  <c r="A116" i="75" s="1"/>
  <c r="A117" i="75" s="1"/>
  <c r="A118" i="75" s="1"/>
  <c r="A119" i="75" s="1"/>
  <c r="A120" i="75" s="1"/>
  <c r="A121" i="75" s="1"/>
  <c r="A122" i="75" s="1"/>
  <c r="A123" i="75" s="1"/>
  <c r="A124" i="75" s="1"/>
  <c r="A125" i="75" s="1"/>
  <c r="A126" i="75" s="1"/>
  <c r="A127" i="75" s="1"/>
  <c r="A128" i="75" s="1"/>
  <c r="A129" i="75" s="1"/>
  <c r="A130" i="75" s="1"/>
  <c r="A131" i="75" s="1"/>
  <c r="A132" i="75" s="1"/>
  <c r="A133" i="75" s="1"/>
  <c r="A134" i="75" s="1"/>
  <c r="A135" i="75" s="1"/>
  <c r="A136" i="75" s="1"/>
  <c r="A137" i="75" s="1"/>
  <c r="A138" i="75" s="1"/>
  <c r="A139" i="75" s="1"/>
  <c r="A140" i="75" s="1"/>
  <c r="A141" i="75" s="1"/>
  <c r="A142" i="75" s="1"/>
  <c r="A143" i="75" s="1"/>
  <c r="A144" i="75" s="1"/>
  <c r="A145" i="75" s="1"/>
  <c r="A146" i="75" s="1"/>
  <c r="A147" i="75" s="1"/>
  <c r="A148" i="75" s="1"/>
  <c r="A149" i="75" s="1"/>
  <c r="A150" i="75" s="1"/>
  <c r="A151" i="75" s="1"/>
  <c r="A152" i="75" s="1"/>
  <c r="A153" i="75" s="1"/>
  <c r="A154" i="75" s="1"/>
  <c r="A155" i="75" s="1"/>
  <c r="A156" i="75" s="1"/>
  <c r="A157" i="75" s="1"/>
  <c r="A158" i="75" s="1"/>
  <c r="A159" i="75" s="1"/>
  <c r="A160" i="75" s="1"/>
  <c r="A161" i="75" s="1"/>
  <c r="A162" i="75" s="1"/>
  <c r="A163" i="75" s="1"/>
  <c r="A164" i="75" s="1"/>
  <c r="A165" i="75" s="1"/>
  <c r="A166" i="75" s="1"/>
  <c r="A167" i="75" s="1"/>
  <c r="A168" i="75" s="1"/>
  <c r="A169" i="75" s="1"/>
  <c r="A170" i="75" s="1"/>
  <c r="A171" i="75" s="1"/>
  <c r="A172" i="75" s="1"/>
  <c r="A173" i="75" s="1"/>
  <c r="A174" i="75" s="1"/>
  <c r="A175" i="75" s="1"/>
  <c r="A176" i="75" s="1"/>
  <c r="A177" i="75" s="1"/>
  <c r="A178" i="75" s="1"/>
  <c r="A179" i="75" s="1"/>
  <c r="A180" i="75" s="1"/>
  <c r="A181" i="75" s="1"/>
  <c r="A182" i="75" s="1"/>
  <c r="A183" i="75" s="1"/>
  <c r="A184" i="75" s="1"/>
  <c r="A185" i="75" s="1"/>
  <c r="A186" i="75" s="1"/>
  <c r="A187" i="75" s="1"/>
  <c r="A188" i="75" s="1"/>
  <c r="A189" i="75" s="1"/>
  <c r="A190" i="75" s="1"/>
  <c r="A191" i="75" s="1"/>
  <c r="A192" i="75" s="1"/>
  <c r="A193" i="75" s="1"/>
  <c r="A194" i="75" s="1"/>
  <c r="A195" i="75" s="1"/>
  <c r="F193" i="75" l="1"/>
  <c r="F195" i="75" s="1"/>
  <c r="B41" i="75"/>
  <c r="B37" i="75"/>
  <c r="B148" i="75"/>
  <c r="B149" i="75" s="1"/>
  <c r="B150" i="75" s="1"/>
  <c r="B151" i="75" s="1"/>
  <c r="B42" i="75" l="1"/>
  <c r="B38" i="75"/>
  <c r="B39" i="75" l="1"/>
  <c r="B44" i="75" s="1"/>
  <c r="B45" i="75" s="1"/>
  <c r="B46" i="75" s="1"/>
  <c r="B47" i="75" s="1"/>
  <c r="B43" i="75"/>
  <c r="C27" i="73" l="1"/>
  <c r="C29" i="73"/>
  <c r="C28" i="73"/>
  <c r="F13" i="4"/>
  <c r="D18" i="4"/>
  <c r="O34" i="74"/>
  <c r="J32" i="74"/>
  <c r="J31" i="74"/>
  <c r="J30" i="74"/>
  <c r="D19" i="4" s="1"/>
  <c r="J29" i="74"/>
  <c r="J28" i="74"/>
  <c r="O27" i="74"/>
  <c r="N27" i="74"/>
  <c r="N34" i="74" s="1"/>
  <c r="J26" i="74"/>
  <c r="P25" i="74"/>
  <c r="P34" i="74" s="1"/>
  <c r="J25" i="74"/>
  <c r="J24" i="74"/>
  <c r="D10" i="4" s="1"/>
  <c r="J23" i="74"/>
  <c r="J22" i="74"/>
  <c r="K11" i="72" s="1"/>
  <c r="J21" i="74"/>
  <c r="K10" i="72" s="1"/>
  <c r="C10" i="72" s="1"/>
  <c r="D10" i="72" s="1"/>
  <c r="D7" i="4" s="1"/>
  <c r="J20" i="74"/>
  <c r="G19" i="73"/>
  <c r="G21" i="73" s="1"/>
  <c r="G23" i="73" s="1"/>
  <c r="V26" i="73"/>
  <c r="U26" i="73"/>
  <c r="U19" i="73" s="1"/>
  <c r="U21" i="73" s="1"/>
  <c r="U23" i="73" s="1"/>
  <c r="T26" i="73"/>
  <c r="T19" i="73" s="1"/>
  <c r="S26" i="73"/>
  <c r="R26" i="73"/>
  <c r="Q26" i="73"/>
  <c r="Q19" i="73" s="1"/>
  <c r="P26" i="73"/>
  <c r="P19" i="73" s="1"/>
  <c r="O26" i="73"/>
  <c r="N26" i="73"/>
  <c r="M26" i="73"/>
  <c r="M19" i="73" s="1"/>
  <c r="L26" i="73"/>
  <c r="L19" i="73" s="1"/>
  <c r="L15" i="72" s="1"/>
  <c r="K26" i="73"/>
  <c r="K19" i="73" s="1"/>
  <c r="J26" i="73"/>
  <c r="I26" i="73"/>
  <c r="I19" i="73" s="1"/>
  <c r="I21" i="73" s="1"/>
  <c r="I23" i="73" s="1"/>
  <c r="H26" i="73"/>
  <c r="H19" i="73" s="1"/>
  <c r="G26" i="73"/>
  <c r="F26" i="73"/>
  <c r="F19" i="73" s="1"/>
  <c r="L11" i="72" s="1"/>
  <c r="E26" i="73"/>
  <c r="E19" i="73" s="1"/>
  <c r="D26" i="73"/>
  <c r="P23" i="73"/>
  <c r="L23" i="73"/>
  <c r="N21" i="73"/>
  <c r="V19" i="73"/>
  <c r="S19" i="73"/>
  <c r="S21" i="73" s="1"/>
  <c r="S23" i="73" s="1"/>
  <c r="R19" i="73"/>
  <c r="R21" i="73" s="1"/>
  <c r="R23" i="73" s="1"/>
  <c r="O19" i="73"/>
  <c r="O21" i="73" s="1"/>
  <c r="N19" i="73"/>
  <c r="J19" i="73"/>
  <c r="L14" i="72" s="1"/>
  <c r="H14" i="72" s="1"/>
  <c r="I14" i="72" s="1"/>
  <c r="F12" i="4" s="1"/>
  <c r="A27" i="73"/>
  <c r="K24" i="72"/>
  <c r="D24" i="72"/>
  <c r="C24" i="72"/>
  <c r="L21" i="72"/>
  <c r="H21" i="72" s="1"/>
  <c r="I21" i="72" s="1"/>
  <c r="K21" i="72"/>
  <c r="C21" i="72" s="1"/>
  <c r="D21" i="72" s="1"/>
  <c r="K20" i="72"/>
  <c r="C20" i="72" s="1"/>
  <c r="L19" i="72"/>
  <c r="H19" i="72" s="1"/>
  <c r="K19" i="72"/>
  <c r="C19" i="72" s="1"/>
  <c r="K18" i="72"/>
  <c r="C18" i="72" s="1"/>
  <c r="D18" i="72" s="1"/>
  <c r="D23" i="4" s="1"/>
  <c r="K15" i="72"/>
  <c r="C15" i="72" s="1"/>
  <c r="D15" i="72" s="1"/>
  <c r="D13" i="4" s="1"/>
  <c r="I15" i="72"/>
  <c r="K14" i="72"/>
  <c r="C14" i="72" s="1"/>
  <c r="D14" i="72" s="1"/>
  <c r="D12" i="4" s="1"/>
  <c r="K13" i="72"/>
  <c r="C13" i="72" s="1"/>
  <c r="D13" i="72" s="1"/>
  <c r="D11" i="4" s="1"/>
  <c r="K12" i="72"/>
  <c r="D9" i="4" s="1"/>
  <c r="C11" i="72"/>
  <c r="K9" i="72"/>
  <c r="L10" i="72" l="1"/>
  <c r="H10" i="72" s="1"/>
  <c r="I10" i="72" s="1"/>
  <c r="F7" i="4" s="1"/>
  <c r="E21" i="73"/>
  <c r="E23" i="73" s="1"/>
  <c r="M21" i="73"/>
  <c r="L20" i="72"/>
  <c r="H20" i="72" s="1"/>
  <c r="F19" i="4"/>
  <c r="Q21" i="73"/>
  <c r="F10" i="4"/>
  <c r="H21" i="73"/>
  <c r="H23" i="73" s="1"/>
  <c r="L17" i="72"/>
  <c r="T21" i="73"/>
  <c r="T23" i="73" s="1"/>
  <c r="L18" i="72"/>
  <c r="H18" i="72" s="1"/>
  <c r="I18" i="72" s="1"/>
  <c r="F23" i="4" s="1"/>
  <c r="K23" i="72"/>
  <c r="K25" i="72" s="1"/>
  <c r="J21" i="73"/>
  <c r="J23" i="73" s="1"/>
  <c r="D8" i="4"/>
  <c r="C9" i="72"/>
  <c r="D9" i="72" s="1"/>
  <c r="D6" i="4" s="1"/>
  <c r="L9" i="72"/>
  <c r="H9" i="72" s="1"/>
  <c r="I9" i="72" s="1"/>
  <c r="F6" i="4" s="1"/>
  <c r="J27" i="74"/>
  <c r="K16" i="72" s="1"/>
  <c r="C16" i="72" s="1"/>
  <c r="D16" i="72" s="1"/>
  <c r="D16" i="4" s="1"/>
  <c r="K17" i="72"/>
  <c r="C17" i="72" s="1"/>
  <c r="D17" i="72" s="1"/>
  <c r="C12" i="72"/>
  <c r="D12" i="72" s="1"/>
  <c r="L12" i="72"/>
  <c r="H12" i="72" s="1"/>
  <c r="I12" i="72" s="1"/>
  <c r="F9" i="4" s="1"/>
  <c r="F21" i="73"/>
  <c r="L16" i="72"/>
  <c r="H16" i="72" s="1"/>
  <c r="I16" i="72" s="1"/>
  <c r="F16" i="4"/>
  <c r="K21" i="73"/>
  <c r="K23" i="73" s="1"/>
  <c r="F8" i="4"/>
  <c r="H11" i="72"/>
  <c r="F23" i="73"/>
  <c r="D11" i="72"/>
  <c r="L13" i="72"/>
  <c r="H13" i="72" s="1"/>
  <c r="I13" i="72" s="1"/>
  <c r="F11" i="4" s="1"/>
  <c r="D19" i="73"/>
  <c r="L24" i="72" s="1"/>
  <c r="Q23" i="73" l="1"/>
  <c r="H17" i="72"/>
  <c r="I17" i="72" s="1"/>
  <c r="D23" i="72"/>
  <c r="D25" i="72" s="1"/>
  <c r="C23" i="72"/>
  <c r="C25" i="72" s="1"/>
  <c r="D23" i="73"/>
  <c r="I24" i="72" s="1"/>
  <c r="D21" i="73"/>
  <c r="H24" i="72" s="1"/>
  <c r="H23" i="72"/>
  <c r="I11" i="72"/>
  <c r="I23" i="72" s="1"/>
  <c r="L23" i="72"/>
  <c r="L25" i="72" s="1"/>
  <c r="D28" i="72" l="1"/>
  <c r="H25" i="72"/>
  <c r="I25" i="72"/>
  <c r="I28" i="72"/>
  <c r="J10" i="50"/>
  <c r="F31" i="50" l="1"/>
  <c r="I31" i="50"/>
  <c r="F10" i="50"/>
  <c r="I10" i="50"/>
  <c r="E43" i="50"/>
  <c r="H43" i="50"/>
  <c r="L43" i="50"/>
  <c r="I43" i="50"/>
  <c r="F19" i="50"/>
  <c r="I19" i="50"/>
  <c r="E19" i="50"/>
  <c r="H19" i="50"/>
  <c r="L19" i="50"/>
  <c r="J19" i="50"/>
  <c r="J25" i="50"/>
  <c r="F43" i="50"/>
  <c r="G25" i="50"/>
  <c r="J43" i="50"/>
  <c r="G19" i="50"/>
  <c r="K19" i="50"/>
  <c r="E25" i="50"/>
  <c r="H25" i="50"/>
  <c r="L25" i="50"/>
  <c r="G31" i="50"/>
  <c r="K31" i="50"/>
  <c r="J31" i="50"/>
  <c r="K25" i="50"/>
  <c r="E10" i="50"/>
  <c r="H10" i="50"/>
  <c r="L10" i="50"/>
  <c r="G10" i="50"/>
  <c r="K10" i="50"/>
  <c r="F25" i="50"/>
  <c r="I25" i="50"/>
  <c r="E31" i="50"/>
  <c r="H31" i="50"/>
  <c r="L31" i="50"/>
  <c r="G43" i="50"/>
  <c r="K43" i="50"/>
  <c r="G47" i="66"/>
  <c r="G46" i="66"/>
  <c r="G45" i="66"/>
  <c r="G44" i="66"/>
  <c r="F31" i="38"/>
  <c r="F29" i="38"/>
  <c r="F25" i="38"/>
  <c r="F24" i="38"/>
  <c r="F22" i="38"/>
  <c r="F18" i="38"/>
  <c r="F17" i="38"/>
  <c r="F16" i="38"/>
  <c r="F12" i="38"/>
  <c r="F11" i="38"/>
  <c r="F10" i="38"/>
  <c r="F9" i="38"/>
  <c r="F7" i="38"/>
  <c r="AG14" i="39"/>
  <c r="AG13" i="39"/>
  <c r="AG11" i="39"/>
  <c r="AG10" i="39"/>
  <c r="AG8" i="39"/>
  <c r="AG7" i="39"/>
  <c r="AG15" i="39"/>
  <c r="F37" i="50" l="1"/>
  <c r="F41" i="50" s="1"/>
  <c r="I37" i="50"/>
  <c r="I41" i="50" s="1"/>
  <c r="L37" i="50"/>
  <c r="L41" i="50" s="1"/>
  <c r="K37" i="50"/>
  <c r="K41" i="50" s="1"/>
  <c r="E37" i="50"/>
  <c r="E41" i="50" s="1"/>
  <c r="H37" i="50"/>
  <c r="H41" i="50" s="1"/>
  <c r="J37" i="50"/>
  <c r="J41" i="50" s="1"/>
  <c r="G37" i="50"/>
  <c r="G41" i="50" s="1"/>
  <c r="A7" i="33"/>
  <c r="A8" i="33" s="1"/>
  <c r="A9" i="33" s="1"/>
  <c r="A10" i="33" s="1"/>
  <c r="A11" i="33" s="1"/>
  <c r="A12" i="33" s="1"/>
  <c r="A13" i="33" s="1"/>
  <c r="A14" i="33" s="1"/>
  <c r="A15" i="33" s="1"/>
  <c r="A16" i="33" s="1"/>
  <c r="A17" i="33" s="1"/>
  <c r="A18" i="33" s="1"/>
  <c r="A19" i="33" s="1"/>
  <c r="A20" i="33" s="1"/>
  <c r="A21" i="33" s="1"/>
  <c r="A22" i="33" s="1"/>
  <c r="A23" i="33" s="1"/>
  <c r="A24" i="33" s="1"/>
  <c r="A25" i="33" s="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8" i="70"/>
  <c r="A9" i="70" s="1"/>
  <c r="A10" i="70" s="1"/>
  <c r="A11" i="70" s="1"/>
  <c r="A12" i="70" s="1"/>
  <c r="A13" i="70" s="1"/>
  <c r="A14" i="70" s="1"/>
  <c r="A15" i="70" s="1"/>
  <c r="A16" i="70" s="1"/>
  <c r="A17" i="70" s="1"/>
  <c r="A18" i="70" s="1"/>
  <c r="A19" i="70" s="1"/>
  <c r="A20" i="70" s="1"/>
  <c r="A21" i="70" s="1"/>
  <c r="A22" i="70" s="1"/>
  <c r="A23" i="70" s="1"/>
  <c r="A24" i="70" s="1"/>
  <c r="A25" i="70" s="1"/>
  <c r="A26" i="70" s="1"/>
  <c r="A27" i="70" s="1"/>
  <c r="A28" i="70" s="1"/>
  <c r="A29" i="70" s="1"/>
  <c r="A30" i="70" s="1"/>
  <c r="A31" i="70" s="1"/>
  <c r="A32" i="70" s="1"/>
  <c r="A33" i="70" s="1"/>
  <c r="A34" i="70" s="1"/>
  <c r="A35" i="70" s="1"/>
  <c r="A8" i="66"/>
  <c r="A9" i="66" s="1"/>
  <c r="A10" i="66" s="1"/>
  <c r="A11" i="66" s="1"/>
  <c r="A12" i="66" s="1"/>
  <c r="A13" i="66" s="1"/>
  <c r="A14" i="66" s="1"/>
  <c r="A15" i="66" s="1"/>
  <c r="A16" i="66" s="1"/>
  <c r="A17" i="66" s="1"/>
  <c r="A18" i="66" s="1"/>
  <c r="A19" i="66" s="1"/>
  <c r="A20" i="66" s="1"/>
  <c r="A21" i="66" s="1"/>
  <c r="A22" i="66" s="1"/>
  <c r="A23" i="66" s="1"/>
  <c r="A24" i="66" s="1"/>
  <c r="A25" i="66" s="1"/>
  <c r="A26" i="66" s="1"/>
  <c r="A27" i="66" s="1"/>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8" i="38"/>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7" i="38"/>
  <c r="A28" i="66" l="1"/>
  <c r="A30" i="66" s="1"/>
  <c r="A31" i="66" s="1"/>
  <c r="A32" i="66" s="1"/>
  <c r="A33" i="66" s="1"/>
  <c r="A34" i="66" s="1"/>
  <c r="A35" i="66" s="1"/>
  <c r="A36" i="66" s="1"/>
  <c r="A37" i="66" s="1"/>
  <c r="A38" i="66" s="1"/>
  <c r="A39" i="66" s="1"/>
  <c r="A40" i="66" s="1"/>
  <c r="A41" i="66" s="1"/>
  <c r="A42" i="66" s="1"/>
  <c r="A43" i="66" s="1"/>
  <c r="A44" i="66" s="1"/>
  <c r="A45" i="66" s="1"/>
  <c r="A46" i="66" s="1"/>
  <c r="A47" i="66" s="1"/>
  <c r="A48" i="66" s="1"/>
  <c r="A49" i="66" s="1"/>
  <c r="A50" i="66" s="1"/>
  <c r="A51" i="66" s="1"/>
  <c r="A52" i="66" s="1"/>
  <c r="A53" i="66" s="1"/>
  <c r="A54" i="66" s="1"/>
  <c r="A55" i="66" s="1"/>
  <c r="A56" i="66" s="1"/>
  <c r="A57" i="66" s="1"/>
  <c r="A58" i="66" s="1"/>
  <c r="A59" i="66" s="1"/>
  <c r="A60" i="66" s="1"/>
  <c r="A61" i="66" s="1"/>
  <c r="A62" i="66" s="1"/>
  <c r="H45" i="66"/>
  <c r="C80" i="66"/>
  <c r="E79" i="66"/>
  <c r="C18" i="66" s="1"/>
  <c r="B79" i="66"/>
  <c r="E78" i="66"/>
  <c r="C17" i="66" s="1"/>
  <c r="I17" i="66" s="1"/>
  <c r="B78" i="66"/>
  <c r="E77" i="66"/>
  <c r="B77" i="66"/>
  <c r="E76" i="66"/>
  <c r="C15" i="66" s="1"/>
  <c r="B76" i="66"/>
  <c r="E75" i="66"/>
  <c r="C14" i="66" s="1"/>
  <c r="B75" i="66"/>
  <c r="E74" i="66"/>
  <c r="C13" i="66" s="1"/>
  <c r="I13" i="66" s="1"/>
  <c r="B74" i="66"/>
  <c r="E73" i="66"/>
  <c r="C12" i="66" s="1"/>
  <c r="I12" i="66" s="1"/>
  <c r="B73" i="66"/>
  <c r="E72" i="66"/>
  <c r="C11" i="66" s="1"/>
  <c r="B72" i="66"/>
  <c r="E71" i="66"/>
  <c r="C10" i="66" s="1"/>
  <c r="B71" i="66"/>
  <c r="E70" i="66"/>
  <c r="C9" i="66" s="1"/>
  <c r="I9" i="66" s="1"/>
  <c r="B70" i="66"/>
  <c r="E69" i="66"/>
  <c r="C8" i="66" s="1"/>
  <c r="B69" i="66"/>
  <c r="B68" i="66"/>
  <c r="H58" i="66"/>
  <c r="H57" i="66"/>
  <c r="H55" i="66"/>
  <c r="H54" i="66"/>
  <c r="H51" i="66"/>
  <c r="H50" i="66"/>
  <c r="H47" i="66"/>
  <c r="H46" i="66"/>
  <c r="H44" i="66"/>
  <c r="H43" i="66"/>
  <c r="G41" i="66"/>
  <c r="H40" i="66"/>
  <c r="H39" i="66"/>
  <c r="H38" i="66"/>
  <c r="H37" i="66"/>
  <c r="H36" i="66"/>
  <c r="G34" i="66"/>
  <c r="H33" i="66"/>
  <c r="H34" i="66" s="1"/>
  <c r="H32" i="66"/>
  <c r="N26" i="66"/>
  <c r="M26" i="66"/>
  <c r="L26" i="66"/>
  <c r="K26" i="66"/>
  <c r="J26" i="66"/>
  <c r="I26" i="66"/>
  <c r="H26" i="66"/>
  <c r="F26" i="66"/>
  <c r="E26" i="66"/>
  <c r="D26" i="66"/>
  <c r="C16" i="66"/>
  <c r="H41" i="66" l="1"/>
  <c r="I8" i="66"/>
  <c r="I16" i="66"/>
  <c r="H48" i="66"/>
  <c r="L10" i="66"/>
  <c r="H10" i="66"/>
  <c r="D10" i="66"/>
  <c r="N10" i="66"/>
  <c r="J10" i="66"/>
  <c r="F10" i="66"/>
  <c r="M10" i="66"/>
  <c r="E10" i="66"/>
  <c r="K10" i="66"/>
  <c r="I10" i="66"/>
  <c r="L14" i="66"/>
  <c r="H14" i="66"/>
  <c r="D14" i="66"/>
  <c r="N14" i="66"/>
  <c r="J14" i="66"/>
  <c r="F14" i="66"/>
  <c r="M14" i="66"/>
  <c r="E14" i="66"/>
  <c r="K14" i="66"/>
  <c r="I14" i="66"/>
  <c r="L18" i="66"/>
  <c r="H18" i="66"/>
  <c r="D18" i="66"/>
  <c r="N18" i="66"/>
  <c r="J18" i="66"/>
  <c r="F18" i="66"/>
  <c r="M18" i="66"/>
  <c r="E18" i="66"/>
  <c r="K18" i="66"/>
  <c r="I18" i="66"/>
  <c r="K8" i="66"/>
  <c r="L12" i="66"/>
  <c r="H12" i="66"/>
  <c r="D12" i="66"/>
  <c r="N12" i="66"/>
  <c r="J12" i="66"/>
  <c r="F12" i="66"/>
  <c r="E8" i="66"/>
  <c r="M8" i="66"/>
  <c r="N9" i="66"/>
  <c r="J9" i="66"/>
  <c r="F9" i="66"/>
  <c r="L9" i="66"/>
  <c r="H9" i="66"/>
  <c r="D9" i="66"/>
  <c r="K9" i="66"/>
  <c r="E12" i="66"/>
  <c r="M12" i="66"/>
  <c r="N13" i="66"/>
  <c r="J13" i="66"/>
  <c r="F13" i="66"/>
  <c r="L13" i="66"/>
  <c r="H13" i="66"/>
  <c r="D13" i="66"/>
  <c r="K13" i="66"/>
  <c r="E16" i="66"/>
  <c r="M16" i="66"/>
  <c r="N17" i="66"/>
  <c r="J17" i="66"/>
  <c r="F17" i="66"/>
  <c r="L17" i="66"/>
  <c r="H17" i="66"/>
  <c r="D17" i="66"/>
  <c r="K17" i="66"/>
  <c r="G48" i="66"/>
  <c r="E9" i="66"/>
  <c r="M9" i="66"/>
  <c r="I11" i="66"/>
  <c r="E13" i="66"/>
  <c r="M13" i="66"/>
  <c r="I15" i="66"/>
  <c r="E17" i="66"/>
  <c r="M17" i="66"/>
  <c r="E68" i="66"/>
  <c r="D80" i="66"/>
  <c r="N11" i="66"/>
  <c r="J11" i="66"/>
  <c r="F11" i="66"/>
  <c r="L11" i="66"/>
  <c r="H11" i="66"/>
  <c r="D11" i="66"/>
  <c r="K11" i="66"/>
  <c r="N15" i="66"/>
  <c r="J15" i="66"/>
  <c r="F15" i="66"/>
  <c r="L15" i="66"/>
  <c r="H15" i="66"/>
  <c r="D15" i="66"/>
  <c r="K15" i="66"/>
  <c r="L8" i="66"/>
  <c r="H8" i="66"/>
  <c r="D8" i="66"/>
  <c r="N8" i="66"/>
  <c r="J8" i="66"/>
  <c r="F8" i="66"/>
  <c r="E11" i="66"/>
  <c r="M11" i="66"/>
  <c r="K12" i="66"/>
  <c r="E15" i="66"/>
  <c r="M15" i="66"/>
  <c r="L16" i="66"/>
  <c r="H16" i="66"/>
  <c r="D16" i="66"/>
  <c r="N16" i="66"/>
  <c r="J16" i="66"/>
  <c r="F16" i="66"/>
  <c r="K16" i="66"/>
  <c r="E82" i="66" l="1"/>
  <c r="E80" i="66"/>
  <c r="C7" i="66"/>
  <c r="N7" i="66" l="1"/>
  <c r="N20" i="66" s="1"/>
  <c r="J7" i="66"/>
  <c r="J20" i="66" s="1"/>
  <c r="F7" i="66"/>
  <c r="F20" i="66" s="1"/>
  <c r="L7" i="66"/>
  <c r="L20" i="66" s="1"/>
  <c r="H7" i="66"/>
  <c r="H20" i="66" s="1"/>
  <c r="D7" i="66"/>
  <c r="C20" i="66"/>
  <c r="C22" i="66" s="1"/>
  <c r="C28" i="66" s="1"/>
  <c r="K7" i="66"/>
  <c r="K20" i="66" s="1"/>
  <c r="I7" i="66"/>
  <c r="I20" i="66" s="1"/>
  <c r="M7" i="66"/>
  <c r="M20" i="66" s="1"/>
  <c r="E7" i="66"/>
  <c r="E20" i="66" s="1"/>
  <c r="N28" i="66" l="1"/>
  <c r="L28" i="66"/>
  <c r="D28" i="66"/>
  <c r="K28" i="66"/>
  <c r="H28" i="66"/>
  <c r="E28" i="66"/>
  <c r="I28" i="66"/>
  <c r="M28" i="66"/>
  <c r="F28" i="66"/>
  <c r="J28" i="66"/>
  <c r="L22" i="66"/>
  <c r="L24" i="66"/>
  <c r="F22" i="66"/>
  <c r="F24" i="66"/>
  <c r="I24" i="66"/>
  <c r="I22" i="66"/>
  <c r="D20" i="66"/>
  <c r="J22" i="66"/>
  <c r="J24" i="66"/>
  <c r="M24" i="66"/>
  <c r="M22" i="66"/>
  <c r="K24" i="66"/>
  <c r="K22" i="66"/>
  <c r="E24" i="66"/>
  <c r="E22" i="66"/>
  <c r="H22" i="66"/>
  <c r="H24" i="66"/>
  <c r="N22" i="66"/>
  <c r="N24" i="66"/>
  <c r="D22" i="66" l="1"/>
  <c r="D24" i="66"/>
  <c r="B36" i="24" l="1"/>
  <c r="G56" i="66" l="1"/>
  <c r="G28" i="66" s="1"/>
  <c r="N29" i="24"/>
  <c r="AE14" i="39"/>
  <c r="AE13" i="39"/>
  <c r="AE11" i="39"/>
  <c r="AE15" i="39" s="1"/>
  <c r="AE10" i="39"/>
  <c r="AE8" i="39"/>
  <c r="AE7" i="39"/>
  <c r="P28" i="66" l="1"/>
  <c r="O28" i="66"/>
  <c r="G17" i="66"/>
  <c r="G16" i="66"/>
  <c r="G10" i="66"/>
  <c r="G18" i="66"/>
  <c r="G59" i="66"/>
  <c r="G11" i="66"/>
  <c r="G9" i="66"/>
  <c r="G8" i="66"/>
  <c r="G15" i="66"/>
  <c r="G12" i="66"/>
  <c r="G26" i="66"/>
  <c r="G13" i="66"/>
  <c r="G14" i="66"/>
  <c r="G7" i="66"/>
  <c r="D28" i="70"/>
  <c r="D31" i="24" s="1"/>
  <c r="D31" i="38" s="1"/>
  <c r="D24" i="70"/>
  <c r="D25" i="24" s="1"/>
  <c r="D25" i="38" s="1"/>
  <c r="D21" i="70"/>
  <c r="D22" i="24" s="1"/>
  <c r="D22" i="38" s="1"/>
  <c r="D16" i="70"/>
  <c r="D18" i="24" s="1"/>
  <c r="D18" i="38" s="1"/>
  <c r="K12" i="33"/>
  <c r="D12" i="70"/>
  <c r="D12" i="24" s="1"/>
  <c r="D12" i="38" s="1"/>
  <c r="D7" i="70"/>
  <c r="D26" i="70"/>
  <c r="D29" i="24" s="1"/>
  <c r="D29" i="38" s="1"/>
  <c r="A9" i="50"/>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P13" i="66" l="1"/>
  <c r="O13" i="66"/>
  <c r="P8" i="66"/>
  <c r="O8" i="66"/>
  <c r="P18" i="66"/>
  <c r="O18" i="66"/>
  <c r="P26" i="66"/>
  <c r="O26" i="66"/>
  <c r="P9" i="66"/>
  <c r="O9" i="66"/>
  <c r="P10" i="66"/>
  <c r="O10" i="66"/>
  <c r="P7" i="66"/>
  <c r="G20" i="66"/>
  <c r="O7" i="66"/>
  <c r="P12" i="66"/>
  <c r="O12" i="66"/>
  <c r="P11" i="66"/>
  <c r="O11" i="66"/>
  <c r="P16" i="66"/>
  <c r="O16" i="66"/>
  <c r="P14" i="66"/>
  <c r="O14" i="66"/>
  <c r="P15" i="66"/>
  <c r="O15" i="66"/>
  <c r="G61" i="66"/>
  <c r="G62" i="66"/>
  <c r="P17" i="66"/>
  <c r="O17" i="66"/>
  <c r="D9" i="70"/>
  <c r="D9" i="24" s="1"/>
  <c r="D9" i="38" s="1"/>
  <c r="D11" i="70"/>
  <c r="D11" i="24" s="1"/>
  <c r="D11" i="38" s="1"/>
  <c r="K13" i="33"/>
  <c r="K21" i="33"/>
  <c r="D17" i="44" s="1"/>
  <c r="D10" i="70"/>
  <c r="D10" i="24" s="1"/>
  <c r="D10" i="38" s="1"/>
  <c r="D14" i="70"/>
  <c r="D16" i="24" s="1"/>
  <c r="D16" i="38" s="1"/>
  <c r="K19" i="33"/>
  <c r="C31" i="50"/>
  <c r="D23" i="70"/>
  <c r="D24" i="24" s="1"/>
  <c r="K9" i="33"/>
  <c r="C25" i="50"/>
  <c r="D15" i="70"/>
  <c r="D17" i="24" s="1"/>
  <c r="D17" i="38" s="1"/>
  <c r="K6" i="33"/>
  <c r="K10" i="33"/>
  <c r="K16" i="33"/>
  <c r="K23" i="33"/>
  <c r="K8" i="33"/>
  <c r="D7" i="24"/>
  <c r="K7" i="33"/>
  <c r="K11" i="33"/>
  <c r="K18" i="33"/>
  <c r="C43" i="50"/>
  <c r="C10" i="50"/>
  <c r="C19" i="50"/>
  <c r="BQ33" i="70" l="1"/>
  <c r="O20" i="66"/>
  <c r="G24" i="66"/>
  <c r="G22" i="66"/>
  <c r="P20" i="66"/>
  <c r="Q33" i="70"/>
  <c r="AO33" i="70"/>
  <c r="AX33" i="70"/>
  <c r="BN33" i="70"/>
  <c r="AJ33" i="70"/>
  <c r="AV33" i="70"/>
  <c r="BA33" i="70"/>
  <c r="K25" i="33"/>
  <c r="G33" i="70"/>
  <c r="AW33" i="70"/>
  <c r="AF33" i="70"/>
  <c r="T33" i="70"/>
  <c r="X33" i="70"/>
  <c r="U33" i="70"/>
  <c r="AK33" i="70"/>
  <c r="C37" i="50"/>
  <c r="C41" i="50" s="1"/>
  <c r="H33" i="70"/>
  <c r="L21" i="33"/>
  <c r="BU26" i="70" s="1"/>
  <c r="K21" i="4"/>
  <c r="BB33" i="70"/>
  <c r="BE33" i="70"/>
  <c r="AB33" i="70"/>
  <c r="BF33" i="70"/>
  <c r="AN33" i="70"/>
  <c r="AG33" i="70"/>
  <c r="M33" i="70"/>
  <c r="AS33" i="70"/>
  <c r="P33" i="70"/>
  <c r="Y33" i="70"/>
  <c r="L33" i="70"/>
  <c r="AR33" i="70"/>
  <c r="I33" i="70"/>
  <c r="BJ33" i="70"/>
  <c r="BM33" i="70"/>
  <c r="AC33" i="70"/>
  <c r="BI33" i="70"/>
  <c r="D7" i="38"/>
  <c r="D24" i="38"/>
  <c r="O24" i="66" l="1"/>
  <c r="O22" i="66"/>
  <c r="P22" i="66"/>
  <c r="P24" i="66"/>
  <c r="D40" i="70"/>
  <c r="F23" i="33" l="1"/>
  <c r="D23" i="33"/>
  <c r="F19" i="33"/>
  <c r="D19" i="33"/>
  <c r="D18" i="33"/>
  <c r="F16" i="33"/>
  <c r="D16" i="33"/>
  <c r="D13" i="33"/>
  <c r="F12" i="33"/>
  <c r="D12" i="33"/>
  <c r="F11" i="33"/>
  <c r="D11" i="33"/>
  <c r="F10" i="33"/>
  <c r="D10" i="33"/>
  <c r="F9" i="33"/>
  <c r="D9" i="33"/>
  <c r="F8" i="33"/>
  <c r="D8" i="33"/>
  <c r="F7" i="33"/>
  <c r="D7" i="33"/>
  <c r="F6" i="33"/>
  <c r="D6" i="33"/>
  <c r="BK28" i="70"/>
  <c r="BK24" i="70"/>
  <c r="BK23" i="70"/>
  <c r="AC10" i="39" s="1"/>
  <c r="BK20" i="70"/>
  <c r="BK18" i="70"/>
  <c r="AC13" i="39" s="1"/>
  <c r="BK16" i="70"/>
  <c r="BK15" i="70"/>
  <c r="BK14" i="70"/>
  <c r="BK12" i="70"/>
  <c r="BK11" i="70"/>
  <c r="BK10" i="70"/>
  <c r="BK9" i="70"/>
  <c r="F25" i="33" l="1"/>
  <c r="G13" i="33" s="1"/>
  <c r="AC11" i="39"/>
  <c r="AC15" i="39" s="1"/>
  <c r="D25" i="33"/>
  <c r="E18" i="33" s="1"/>
  <c r="G18" i="33"/>
  <c r="G16" i="33"/>
  <c r="G11" i="33"/>
  <c r="G8" i="33"/>
  <c r="G10" i="33"/>
  <c r="BK7" i="70"/>
  <c r="E7" i="33" l="1"/>
  <c r="E16" i="33"/>
  <c r="E23" i="33"/>
  <c r="E19" i="33"/>
  <c r="E8" i="33"/>
  <c r="H8" i="33" s="1"/>
  <c r="H16" i="33"/>
  <c r="G6" i="33"/>
  <c r="G23" i="33"/>
  <c r="G7" i="33"/>
  <c r="H7" i="33" s="1"/>
  <c r="G19" i="33"/>
  <c r="H19" i="33" s="1"/>
  <c r="E6" i="33"/>
  <c r="E13" i="33"/>
  <c r="H13" i="33" s="1"/>
  <c r="G12" i="33"/>
  <c r="G9" i="33"/>
  <c r="E12" i="33"/>
  <c r="E9" i="33"/>
  <c r="H9" i="33" s="1"/>
  <c r="E10" i="33"/>
  <c r="E11" i="33"/>
  <c r="H18" i="33"/>
  <c r="H11" i="33"/>
  <c r="BK21" i="70"/>
  <c r="BK19" i="70"/>
  <c r="AC14" i="39" s="1"/>
  <c r="H12" i="33" l="1"/>
  <c r="H23" i="33"/>
  <c r="G25" i="33"/>
  <c r="H6" i="33"/>
  <c r="H25" i="33" s="1"/>
  <c r="E25" i="33"/>
  <c r="H10" i="33"/>
  <c r="E27" i="71" l="1"/>
  <c r="E30" i="71" s="1"/>
  <c r="C27" i="71"/>
  <c r="C30" i="71" s="1"/>
  <c r="G9" i="71" l="1"/>
  <c r="G12" i="71"/>
  <c r="G14" i="71"/>
  <c r="G25" i="71"/>
  <c r="G10" i="71" l="1"/>
  <c r="G21" i="71"/>
  <c r="G17" i="71"/>
  <c r="G13" i="71"/>
  <c r="G11" i="71"/>
  <c r="G15" i="71"/>
  <c r="F27" i="71"/>
  <c r="G8" i="71"/>
  <c r="D27" i="71"/>
  <c r="G20" i="71"/>
  <c r="G23" i="71"/>
  <c r="G27" i="71" l="1"/>
  <c r="Q14" i="39" l="1"/>
  <c r="Q13" i="39"/>
  <c r="N15" i="39"/>
  <c r="N14" i="39"/>
  <c r="N13" i="39"/>
  <c r="M14" i="39"/>
  <c r="M13" i="39"/>
  <c r="BG28" i="70" l="1"/>
  <c r="BG26" i="70"/>
  <c r="BG24" i="70"/>
  <c r="BG23" i="70"/>
  <c r="AA10" i="39" s="1"/>
  <c r="BG21" i="70"/>
  <c r="BG20" i="70"/>
  <c r="BG19" i="70"/>
  <c r="AA14" i="39" s="1"/>
  <c r="BG18" i="70"/>
  <c r="AA13" i="39" s="1"/>
  <c r="BG16" i="70"/>
  <c r="BG15" i="70"/>
  <c r="BG14" i="70"/>
  <c r="BG12" i="70"/>
  <c r="BG11" i="70"/>
  <c r="BG10" i="70"/>
  <c r="BG9" i="70"/>
  <c r="BG7" i="70"/>
  <c r="BC28" i="70"/>
  <c r="BC26" i="70"/>
  <c r="BC24" i="70"/>
  <c r="Y11" i="39" s="1"/>
  <c r="Y15" i="39" s="1"/>
  <c r="BC23" i="70"/>
  <c r="Y10" i="39" s="1"/>
  <c r="BC21" i="70"/>
  <c r="BC20" i="70"/>
  <c r="BC19" i="70"/>
  <c r="Y14" i="39" s="1"/>
  <c r="BC18" i="70"/>
  <c r="Y13" i="39" s="1"/>
  <c r="BC16" i="70"/>
  <c r="BC15" i="70"/>
  <c r="BC14" i="70"/>
  <c r="BC12" i="70"/>
  <c r="BC11" i="70"/>
  <c r="BC10" i="70"/>
  <c r="BC9" i="70"/>
  <c r="AY28" i="70"/>
  <c r="AY26" i="70"/>
  <c r="AY24" i="70"/>
  <c r="W11" i="39" s="1"/>
  <c r="W15" i="39" s="1"/>
  <c r="AY23" i="70"/>
  <c r="W10" i="39" s="1"/>
  <c r="AY21" i="70"/>
  <c r="AY20" i="70"/>
  <c r="AY19" i="70"/>
  <c r="W14" i="39" s="1"/>
  <c r="AY18" i="70"/>
  <c r="W13" i="39" s="1"/>
  <c r="AY16" i="70"/>
  <c r="AY15" i="70"/>
  <c r="AY14" i="70"/>
  <c r="AY12" i="70"/>
  <c r="AY11" i="70"/>
  <c r="AY10" i="70"/>
  <c r="AY9" i="70"/>
  <c r="AY7" i="70"/>
  <c r="AT28" i="70"/>
  <c r="AT26" i="70"/>
  <c r="AT24" i="70"/>
  <c r="U11" i="39" s="1"/>
  <c r="AT23" i="70"/>
  <c r="U10" i="39" s="1"/>
  <c r="AT21" i="70"/>
  <c r="AT20" i="70"/>
  <c r="AT19" i="70"/>
  <c r="U14" i="39" s="1"/>
  <c r="AT18" i="70"/>
  <c r="U13" i="39" s="1"/>
  <c r="AT16" i="70"/>
  <c r="AT15" i="70"/>
  <c r="AT14" i="70"/>
  <c r="AT12" i="70"/>
  <c r="AT11" i="70"/>
  <c r="AT10" i="70"/>
  <c r="AT9" i="70"/>
  <c r="AP28" i="70"/>
  <c r="AP26" i="70"/>
  <c r="AP24" i="70"/>
  <c r="S11" i="39" s="1"/>
  <c r="AP23" i="70"/>
  <c r="S10" i="39" s="1"/>
  <c r="AP21" i="70"/>
  <c r="AP20" i="70"/>
  <c r="AP19" i="70"/>
  <c r="S14" i="39" s="1"/>
  <c r="AP18" i="70"/>
  <c r="S13" i="39" s="1"/>
  <c r="AP16" i="70"/>
  <c r="AP15" i="70"/>
  <c r="AP14" i="70"/>
  <c r="AP12" i="70"/>
  <c r="AP11" i="70"/>
  <c r="AP10" i="70"/>
  <c r="AP9" i="70"/>
  <c r="AL28" i="70"/>
  <c r="AL26" i="70"/>
  <c r="AL24" i="70"/>
  <c r="AL23" i="70"/>
  <c r="AL21" i="70"/>
  <c r="AL20" i="70"/>
  <c r="AL19" i="70"/>
  <c r="AL18" i="70"/>
  <c r="AL16" i="70"/>
  <c r="AL15" i="70"/>
  <c r="AL14" i="70"/>
  <c r="AL12" i="70"/>
  <c r="AL11" i="70"/>
  <c r="AL10" i="70"/>
  <c r="AL9" i="70"/>
  <c r="AH28" i="70"/>
  <c r="AH26" i="70"/>
  <c r="AH24" i="70"/>
  <c r="AH23" i="70"/>
  <c r="AH21" i="70"/>
  <c r="AH20" i="70"/>
  <c r="AH19" i="70"/>
  <c r="AH18" i="70"/>
  <c r="AH16" i="70"/>
  <c r="AH15" i="70"/>
  <c r="AH14" i="70"/>
  <c r="AH12" i="70"/>
  <c r="AH11" i="70"/>
  <c r="AH10" i="70"/>
  <c r="AH9" i="70"/>
  <c r="AD28" i="70"/>
  <c r="AD26" i="70"/>
  <c r="AD24" i="70"/>
  <c r="AD23" i="70"/>
  <c r="AD21" i="70"/>
  <c r="AD20" i="70"/>
  <c r="AD19" i="70"/>
  <c r="AD18" i="70"/>
  <c r="AD16" i="70"/>
  <c r="AD15" i="70"/>
  <c r="AD14" i="70"/>
  <c r="AD12" i="70"/>
  <c r="AD11" i="70"/>
  <c r="AD10" i="70"/>
  <c r="AD9" i="70"/>
  <c r="Z28" i="70"/>
  <c r="Z26" i="70"/>
  <c r="Z24" i="70"/>
  <c r="Z23" i="70"/>
  <c r="Z21" i="70"/>
  <c r="Z20" i="70"/>
  <c r="Z19" i="70"/>
  <c r="Z18" i="70"/>
  <c r="Z16" i="70"/>
  <c r="Z15" i="70"/>
  <c r="Z14" i="70"/>
  <c r="Z12" i="70"/>
  <c r="Z11" i="70"/>
  <c r="Z10" i="70"/>
  <c r="Z9" i="70"/>
  <c r="V28" i="70"/>
  <c r="V26" i="70"/>
  <c r="V24" i="70"/>
  <c r="V23" i="70"/>
  <c r="V21" i="70"/>
  <c r="V20" i="70"/>
  <c r="V19" i="70"/>
  <c r="V18" i="70"/>
  <c r="V16" i="70"/>
  <c r="V15" i="70"/>
  <c r="V14" i="70"/>
  <c r="V12" i="70"/>
  <c r="V11" i="70"/>
  <c r="V10" i="70"/>
  <c r="V9" i="70"/>
  <c r="R21" i="70"/>
  <c r="R20" i="70"/>
  <c r="R19" i="70"/>
  <c r="R18" i="70"/>
  <c r="R28" i="70"/>
  <c r="R26" i="70"/>
  <c r="R24" i="70"/>
  <c r="R23" i="70"/>
  <c r="R16" i="70"/>
  <c r="R15" i="70"/>
  <c r="R14" i="70"/>
  <c r="R12" i="70"/>
  <c r="R11" i="70"/>
  <c r="R10" i="70"/>
  <c r="R9" i="70"/>
  <c r="R7" i="70"/>
  <c r="N28" i="70"/>
  <c r="N24" i="70"/>
  <c r="N16" i="70"/>
  <c r="N14" i="70"/>
  <c r="N11" i="70"/>
  <c r="N9" i="70"/>
  <c r="J28" i="70"/>
  <c r="J26" i="70"/>
  <c r="J24" i="70"/>
  <c r="J23" i="70"/>
  <c r="J16" i="70"/>
  <c r="J15" i="70"/>
  <c r="J14" i="70"/>
  <c r="J12" i="70"/>
  <c r="J11" i="70"/>
  <c r="J10" i="70"/>
  <c r="J9" i="70"/>
  <c r="J7" i="70"/>
  <c r="N26" i="70"/>
  <c r="N23" i="70"/>
  <c r="N15" i="70"/>
  <c r="N12" i="70"/>
  <c r="N10" i="70"/>
  <c r="Z7" i="70"/>
  <c r="N7" i="70"/>
  <c r="E4" i="70"/>
  <c r="D4" i="70"/>
  <c r="J33" i="70" l="1"/>
  <c r="Y8" i="39"/>
  <c r="Y7" i="39"/>
  <c r="AA8" i="39"/>
  <c r="AA7" i="39"/>
  <c r="C28" i="44" s="1"/>
  <c r="S8" i="39"/>
  <c r="S7" i="39"/>
  <c r="U8" i="39"/>
  <c r="U7" i="39"/>
  <c r="W8" i="39"/>
  <c r="W7" i="39"/>
  <c r="AA11" i="39"/>
  <c r="AA15" i="39" s="1"/>
  <c r="BC7" i="70"/>
  <c r="AT7" i="70"/>
  <c r="AP7" i="70"/>
  <c r="AL7" i="70"/>
  <c r="AH7" i="70"/>
  <c r="AD7" i="70"/>
  <c r="V7" i="70"/>
  <c r="C24" i="44" l="1"/>
  <c r="C26" i="44" s="1"/>
  <c r="C29" i="44" s="1"/>
  <c r="C30" i="44" l="1"/>
  <c r="E17" i="44" l="1"/>
  <c r="C17" i="44" s="1"/>
  <c r="BK26" i="70"/>
  <c r="AC7" i="39" s="1"/>
  <c r="BV26" i="70"/>
  <c r="BR33" i="70" l="1"/>
  <c r="BW26" i="70"/>
  <c r="G29" i="38" s="1"/>
  <c r="AC8" i="39"/>
  <c r="BS33" i="70" l="1"/>
  <c r="F29" i="24"/>
  <c r="AI8" i="39"/>
  <c r="AI7" i="39"/>
  <c r="K23" i="4" l="1"/>
  <c r="D13" i="44"/>
  <c r="K18" i="4"/>
  <c r="K6" i="4" l="1"/>
  <c r="K8" i="4"/>
  <c r="K13" i="4"/>
  <c r="K10" i="4"/>
  <c r="K9" i="4"/>
  <c r="K11" i="4"/>
  <c r="K12" i="4"/>
  <c r="K19" i="4"/>
  <c r="D14" i="44"/>
  <c r="K16" i="4"/>
  <c r="D9" i="44"/>
  <c r="K7" i="4" l="1"/>
  <c r="K25" i="4" s="1"/>
  <c r="K3" i="33"/>
  <c r="Q15" i="39"/>
  <c r="M15" i="39"/>
  <c r="D25" i="4"/>
  <c r="D29" i="72" s="1"/>
  <c r="D30" i="72" s="1"/>
  <c r="E8" i="4" l="1"/>
  <c r="E10" i="4"/>
  <c r="E12" i="4"/>
  <c r="E16" i="4"/>
  <c r="E19" i="4"/>
  <c r="E7" i="4"/>
  <c r="E9" i="4"/>
  <c r="E11" i="4"/>
  <c r="E13" i="4"/>
  <c r="E18" i="4"/>
  <c r="E23" i="4"/>
  <c r="E6" i="4"/>
  <c r="A9" i="44"/>
  <c r="B37" i="70" l="1"/>
  <c r="S15" i="39" l="1"/>
  <c r="A10" i="44"/>
  <c r="A11" i="44" s="1"/>
  <c r="A12" i="44" s="1"/>
  <c r="A13" i="44" s="1"/>
  <c r="A14" i="44" s="1"/>
  <c r="A15" i="44" s="1"/>
  <c r="A16" i="44" s="1"/>
  <c r="E4" i="24"/>
  <c r="D4" i="24"/>
  <c r="A18" i="44" l="1"/>
  <c r="A19" i="44" s="1"/>
  <c r="A21" i="44" s="1"/>
  <c r="A22" i="44" s="1"/>
  <c r="A23" i="44" s="1"/>
  <c r="A24" i="44" s="1"/>
  <c r="A25" i="44" s="1"/>
  <c r="A26" i="44" s="1"/>
  <c r="A27" i="44" s="1"/>
  <c r="A28" i="44" s="1"/>
  <c r="A29" i="44" s="1"/>
  <c r="A30" i="44" s="1"/>
  <c r="A17" i="44"/>
  <c r="D15" i="44"/>
  <c r="O15" i="39"/>
  <c r="O13" i="39"/>
  <c r="O14" i="39" l="1"/>
  <c r="E25" i="4"/>
  <c r="D19" i="44"/>
  <c r="D27" i="38" l="1"/>
  <c r="F27" i="38" s="1"/>
  <c r="D20" i="38"/>
  <c r="F20" i="38" s="1"/>
  <c r="D14" i="38"/>
  <c r="D33" i="38" l="1"/>
  <c r="F14" i="38"/>
  <c r="D27" i="24"/>
  <c r="D14" i="24"/>
  <c r="D20" i="24"/>
  <c r="F33" i="38" l="1"/>
  <c r="D33" i="24"/>
  <c r="D30" i="70"/>
  <c r="BQ30" i="70" l="1"/>
  <c r="BR30" i="70"/>
  <c r="BS30" i="70"/>
  <c r="D41" i="70"/>
  <c r="BM30" i="70"/>
  <c r="BN30" i="70"/>
  <c r="BO33" i="70"/>
  <c r="BO30" i="70" s="1"/>
  <c r="BI30" i="70"/>
  <c r="BK33" i="70"/>
  <c r="BJ30" i="70"/>
  <c r="BG33" i="70"/>
  <c r="H30" i="70"/>
  <c r="Y30" i="70"/>
  <c r="L30" i="70"/>
  <c r="N33" i="70"/>
  <c r="U30" i="70"/>
  <c r="AC30" i="70"/>
  <c r="AK30" i="70"/>
  <c r="AS30" i="70"/>
  <c r="BB30" i="70"/>
  <c r="G30" i="70"/>
  <c r="M30" i="70"/>
  <c r="T30" i="70"/>
  <c r="V33" i="70"/>
  <c r="AD33" i="70"/>
  <c r="AB30" i="70"/>
  <c r="AL33" i="70"/>
  <c r="AJ30" i="70"/>
  <c r="AT33" i="70"/>
  <c r="AR30" i="70"/>
  <c r="AX30" i="70"/>
  <c r="BE30" i="70"/>
  <c r="P30" i="70"/>
  <c r="R33" i="70"/>
  <c r="AG30" i="70"/>
  <c r="AO30" i="70"/>
  <c r="AW30" i="70"/>
  <c r="BF30" i="70"/>
  <c r="I30" i="70"/>
  <c r="Q30" i="70"/>
  <c r="X30" i="70"/>
  <c r="Z33" i="70"/>
  <c r="AF30" i="70"/>
  <c r="AH33" i="70"/>
  <c r="AN30" i="70"/>
  <c r="AP33" i="70"/>
  <c r="AV30" i="70"/>
  <c r="AY33" i="70"/>
  <c r="BA30" i="70"/>
  <c r="BC33" i="70"/>
  <c r="BK30" i="70" l="1"/>
  <c r="AY30" i="70"/>
  <c r="BG30" i="70"/>
  <c r="AL30" i="70"/>
  <c r="V30" i="70"/>
  <c r="N30" i="70"/>
  <c r="BC30" i="70"/>
  <c r="AP30" i="70"/>
  <c r="Z30" i="70"/>
  <c r="R30" i="70"/>
  <c r="AT30" i="70"/>
  <c r="AD30" i="70"/>
  <c r="J30" i="70"/>
  <c r="AH30" i="70"/>
  <c r="U15" i="39"/>
  <c r="F25" i="4" l="1"/>
  <c r="I29" i="72" s="1"/>
  <c r="I30" i="72" s="1"/>
  <c r="G18" i="4" l="1"/>
  <c r="H18" i="4" s="1"/>
  <c r="J18" i="4" s="1"/>
  <c r="G13" i="4"/>
  <c r="H13" i="4" s="1"/>
  <c r="J13" i="4" s="1"/>
  <c r="G7" i="4"/>
  <c r="H7" i="4" s="1"/>
  <c r="J7" i="4" s="1"/>
  <c r="G9" i="4"/>
  <c r="H9" i="4" s="1"/>
  <c r="J9" i="4" s="1"/>
  <c r="G11" i="4"/>
  <c r="H11" i="4" s="1"/>
  <c r="J11" i="4" s="1"/>
  <c r="G16" i="4"/>
  <c r="H16" i="4" s="1"/>
  <c r="J16" i="4" s="1"/>
  <c r="G23" i="4"/>
  <c r="H23" i="4" s="1"/>
  <c r="J23" i="4" s="1"/>
  <c r="G8" i="4"/>
  <c r="H8" i="4" s="1"/>
  <c r="J8" i="4" s="1"/>
  <c r="G10" i="4"/>
  <c r="H10" i="4" s="1"/>
  <c r="J10" i="4" s="1"/>
  <c r="G12" i="4"/>
  <c r="H12" i="4" s="1"/>
  <c r="J12" i="4" s="1"/>
  <c r="G19" i="4"/>
  <c r="H19" i="4" s="1"/>
  <c r="J19" i="4" s="1"/>
  <c r="G6" i="4"/>
  <c r="M31" i="24" l="1"/>
  <c r="L23" i="4"/>
  <c r="BV28" i="70" s="1"/>
  <c r="M9" i="24"/>
  <c r="L7" i="4"/>
  <c r="BV9" i="70" s="1"/>
  <c r="M12" i="24"/>
  <c r="L10" i="4"/>
  <c r="BV12" i="70" s="1"/>
  <c r="M17" i="24"/>
  <c r="L12" i="4"/>
  <c r="BV15" i="70" s="1"/>
  <c r="M18" i="24"/>
  <c r="L13" i="4"/>
  <c r="BV16" i="70" s="1"/>
  <c r="M16" i="24"/>
  <c r="L11" i="4"/>
  <c r="BV14" i="70" s="1"/>
  <c r="M25" i="24"/>
  <c r="L19" i="4"/>
  <c r="BV24" i="70" s="1"/>
  <c r="BV20" i="70" s="1"/>
  <c r="M22" i="24"/>
  <c r="L16" i="4"/>
  <c r="BV18" i="70" s="1"/>
  <c r="BV19" i="70" s="1"/>
  <c r="BV21" i="70" s="1"/>
  <c r="M24" i="24"/>
  <c r="L18" i="4"/>
  <c r="BV23" i="70" s="1"/>
  <c r="M10" i="24"/>
  <c r="L8" i="4"/>
  <c r="BV10" i="70" s="1"/>
  <c r="M11" i="24"/>
  <c r="L9" i="4"/>
  <c r="BV11" i="70" s="1"/>
  <c r="G25" i="4"/>
  <c r="H6" i="4"/>
  <c r="J6" i="4" s="1"/>
  <c r="J25" i="4" l="1"/>
  <c r="H25" i="4"/>
  <c r="L6" i="4" l="1"/>
  <c r="BV7" i="70" s="1"/>
  <c r="BV33" i="70" s="1"/>
  <c r="BV30" i="70" s="1"/>
  <c r="M7" i="24"/>
  <c r="J9" i="33" l="1"/>
  <c r="L9" i="33" s="1"/>
  <c r="BU11" i="70" s="1"/>
  <c r="BW11" i="70" s="1"/>
  <c r="J13" i="33"/>
  <c r="L13" i="33" s="1"/>
  <c r="BU16" i="70" s="1"/>
  <c r="BW16" i="70" s="1"/>
  <c r="J23" i="33"/>
  <c r="L23" i="33" s="1"/>
  <c r="BU28" i="70" s="1"/>
  <c r="BW28" i="70" s="1"/>
  <c r="J8" i="33"/>
  <c r="L8" i="33" s="1"/>
  <c r="BU10" i="70" s="1"/>
  <c r="BW10" i="70" s="1"/>
  <c r="J12" i="33"/>
  <c r="L12" i="33" s="1"/>
  <c r="BU15" i="70" s="1"/>
  <c r="BW15" i="70" s="1"/>
  <c r="J7" i="33"/>
  <c r="L7" i="33" s="1"/>
  <c r="BU9" i="70" s="1"/>
  <c r="BW9" i="70" s="1"/>
  <c r="J19" i="33"/>
  <c r="L19" i="33" s="1"/>
  <c r="BU24" i="70" s="1"/>
  <c r="J11" i="33"/>
  <c r="L11" i="33" s="1"/>
  <c r="BU14" i="70" s="1"/>
  <c r="BW14" i="70" s="1"/>
  <c r="J18" i="33"/>
  <c r="L18" i="33" s="1"/>
  <c r="BU23" i="70" s="1"/>
  <c r="BW23" i="70" s="1"/>
  <c r="AI10" i="39" s="1"/>
  <c r="J6" i="33"/>
  <c r="J10" i="33"/>
  <c r="L10" i="33" s="1"/>
  <c r="BU12" i="70" s="1"/>
  <c r="BW12" i="70" s="1"/>
  <c r="J16" i="33"/>
  <c r="L16" i="33" s="1"/>
  <c r="BU18" i="70" s="1"/>
  <c r="L6" i="33" l="1"/>
  <c r="BU7" i="70" s="1"/>
  <c r="BW7" i="70" s="1"/>
  <c r="J25" i="33"/>
  <c r="L25" i="33" s="1"/>
  <c r="BU19" i="70"/>
  <c r="BW18" i="70"/>
  <c r="AI13" i="39" s="1"/>
  <c r="G16" i="38"/>
  <c r="F16" i="24"/>
  <c r="G9" i="38"/>
  <c r="F9" i="24"/>
  <c r="G10" i="38"/>
  <c r="F10" i="24"/>
  <c r="F18" i="24"/>
  <c r="G18" i="38"/>
  <c r="F12" i="24"/>
  <c r="G12" i="38"/>
  <c r="G24" i="38"/>
  <c r="F24" i="24"/>
  <c r="BU20" i="70"/>
  <c r="BW20" i="70" s="1"/>
  <c r="BW24" i="70"/>
  <c r="AI11" i="39" s="1"/>
  <c r="AI15" i="39" s="1"/>
  <c r="G17" i="38"/>
  <c r="F17" i="24"/>
  <c r="F31" i="24"/>
  <c r="G31" i="38"/>
  <c r="G11" i="38"/>
  <c r="F11" i="24"/>
  <c r="N12" i="24"/>
  <c r="L12" i="24" s="1"/>
  <c r="N24" i="24"/>
  <c r="L24" i="24" s="1"/>
  <c r="N25" i="24"/>
  <c r="L25" i="24" s="1"/>
  <c r="N17" i="24"/>
  <c r="L17" i="24" s="1"/>
  <c r="N31" i="24"/>
  <c r="L31" i="24" s="1"/>
  <c r="N11" i="24"/>
  <c r="L11" i="24" s="1"/>
  <c r="N22" i="24"/>
  <c r="L22" i="24" s="1"/>
  <c r="N7" i="24"/>
  <c r="N16" i="24"/>
  <c r="L16" i="24" s="1"/>
  <c r="N9" i="24"/>
  <c r="L9" i="24" s="1"/>
  <c r="N10" i="24"/>
  <c r="L10" i="24" s="1"/>
  <c r="N18" i="24"/>
  <c r="L18" i="24" s="1"/>
  <c r="F14" i="24" l="1"/>
  <c r="F20" i="24"/>
  <c r="E9" i="44"/>
  <c r="C9" i="44" s="1"/>
  <c r="G22" i="38"/>
  <c r="F22" i="24"/>
  <c r="G25" i="38"/>
  <c r="F25" i="24"/>
  <c r="G14" i="38"/>
  <c r="G20" i="38"/>
  <c r="G7" i="38"/>
  <c r="H56" i="66" s="1"/>
  <c r="Q28" i="66" s="1"/>
  <c r="R28" i="66" s="1"/>
  <c r="F7" i="24"/>
  <c r="BU21" i="70"/>
  <c r="BU33" i="70" s="1"/>
  <c r="BW19" i="70"/>
  <c r="AI14" i="39" s="1"/>
  <c r="L7" i="24"/>
  <c r="N33" i="24"/>
  <c r="S28" i="66" l="1"/>
  <c r="T28" i="66"/>
  <c r="Q26" i="66"/>
  <c r="R26" i="66" s="1"/>
  <c r="Q17" i="66"/>
  <c r="R17" i="66" s="1"/>
  <c r="Q15" i="66"/>
  <c r="R15" i="66" s="1"/>
  <c r="Q13" i="66"/>
  <c r="R13" i="66" s="1"/>
  <c r="Q11" i="66"/>
  <c r="R11" i="66" s="1"/>
  <c r="Q9" i="66"/>
  <c r="R9" i="66" s="1"/>
  <c r="Q7" i="66"/>
  <c r="Q18" i="66"/>
  <c r="R18" i="66" s="1"/>
  <c r="Q16" i="66"/>
  <c r="R16" i="66" s="1"/>
  <c r="Q14" i="66"/>
  <c r="R14" i="66" s="1"/>
  <c r="Q12" i="66"/>
  <c r="R12" i="66" s="1"/>
  <c r="Q10" i="66"/>
  <c r="R10" i="66" s="1"/>
  <c r="Q8" i="66"/>
  <c r="R8" i="66" s="1"/>
  <c r="H59" i="66"/>
  <c r="F27" i="24"/>
  <c r="F33" i="24" s="1"/>
  <c r="G27" i="38"/>
  <c r="G33" i="38" s="1"/>
  <c r="BU30" i="70"/>
  <c r="BW21" i="70"/>
  <c r="E13" i="44"/>
  <c r="C13" i="44" s="1"/>
  <c r="T10" i="66" l="1"/>
  <c r="S10" i="66"/>
  <c r="T13" i="66"/>
  <c r="S13" i="66"/>
  <c r="Q20" i="66"/>
  <c r="R7" i="66"/>
  <c r="T15" i="66"/>
  <c r="S15" i="66"/>
  <c r="H61" i="66"/>
  <c r="H62" i="66"/>
  <c r="T14" i="66"/>
  <c r="S14" i="66"/>
  <c r="T9" i="66"/>
  <c r="S9" i="66"/>
  <c r="T17" i="66"/>
  <c r="S17" i="66"/>
  <c r="T18" i="66"/>
  <c r="S18" i="66"/>
  <c r="T12" i="66"/>
  <c r="S12" i="66"/>
  <c r="T8" i="66"/>
  <c r="S8" i="66"/>
  <c r="T16" i="66"/>
  <c r="S16" i="66"/>
  <c r="T11" i="66"/>
  <c r="S11" i="66"/>
  <c r="T26" i="66"/>
  <c r="S26" i="66"/>
  <c r="BW33" i="70"/>
  <c r="BW30" i="70" s="1"/>
  <c r="T7" i="66" l="1"/>
  <c r="R20" i="66"/>
  <c r="S7" i="66"/>
  <c r="S20" i="66" s="1"/>
  <c r="Q24" i="66"/>
  <c r="Q22" i="66"/>
  <c r="E14" i="44"/>
  <c r="C14" i="44" s="1"/>
  <c r="S24" i="66" l="1"/>
  <c r="S22" i="66"/>
  <c r="R24" i="66"/>
  <c r="R22" i="66"/>
  <c r="T22" i="66" s="1"/>
  <c r="T20" i="66"/>
  <c r="E12" i="44"/>
  <c r="C12" i="44" s="1"/>
  <c r="C15" i="44" l="1"/>
  <c r="E15" i="44" s="1"/>
  <c r="H39" i="24" l="1"/>
  <c r="H40" i="24" s="1"/>
  <c r="C19" i="44"/>
  <c r="E19" i="44" s="1"/>
  <c r="I21" i="4"/>
  <c r="M29" i="24" s="1"/>
  <c r="L29" i="24" l="1"/>
  <c r="M33" i="24"/>
  <c r="I25" i="4"/>
  <c r="L21" i="4"/>
  <c r="L33" i="24" l="1"/>
  <c r="J29" i="4"/>
  <c r="L25" i="4"/>
  <c r="M39" i="50" l="1"/>
  <c r="G185" i="75" l="1"/>
  <c r="G191" i="75" l="1"/>
  <c r="G188" i="75"/>
  <c r="G189" i="75"/>
  <c r="G140" i="75" l="1"/>
  <c r="G130" i="75"/>
  <c r="G128" i="75"/>
  <c r="G10" i="75"/>
  <c r="G171" i="75"/>
  <c r="G180" i="75"/>
  <c r="G13" i="75"/>
  <c r="G72" i="75"/>
  <c r="G36" i="75"/>
  <c r="G43" i="75"/>
  <c r="G153" i="75"/>
  <c r="G137" i="75"/>
  <c r="G121" i="75"/>
  <c r="G76" i="75"/>
  <c r="G14" i="75"/>
  <c r="G70" i="75"/>
  <c r="G94" i="75"/>
  <c r="G131" i="75"/>
  <c r="G164" i="75"/>
  <c r="G174" i="75"/>
  <c r="G91" i="75"/>
  <c r="G122" i="75"/>
  <c r="G157" i="75"/>
  <c r="G93" i="75"/>
  <c r="G58" i="75"/>
  <c r="G107" i="75"/>
  <c r="G98" i="75"/>
  <c r="G168" i="75"/>
  <c r="G159" i="75"/>
  <c r="G32" i="75"/>
  <c r="G101" i="75"/>
  <c r="G73" i="75"/>
  <c r="G82" i="75"/>
  <c r="G111" i="75"/>
  <c r="G95" i="75"/>
  <c r="G12" i="75"/>
  <c r="G169" i="75"/>
  <c r="G37" i="75"/>
  <c r="G175" i="75"/>
  <c r="G156" i="75"/>
  <c r="G139" i="75"/>
  <c r="G170" i="75"/>
  <c r="G57" i="75"/>
  <c r="G41" i="75"/>
  <c r="G62" i="75"/>
  <c r="G38" i="75"/>
  <c r="G181" i="75"/>
  <c r="G119" i="75"/>
  <c r="G154" i="75"/>
  <c r="G78" i="75"/>
  <c r="G89" i="75"/>
  <c r="G67" i="75"/>
  <c r="G74" i="75"/>
  <c r="G120" i="75"/>
  <c r="G143" i="75"/>
  <c r="G179" i="75"/>
  <c r="G173" i="75"/>
  <c r="G34" i="75"/>
  <c r="G80" i="75"/>
  <c r="G50" i="75"/>
  <c r="G52" i="75"/>
  <c r="G129" i="75"/>
  <c r="G155" i="75"/>
  <c r="G39" i="75"/>
  <c r="G54" i="75"/>
  <c r="G182" i="75"/>
  <c r="G25" i="75"/>
  <c r="G69" i="75"/>
  <c r="G112" i="75"/>
  <c r="G116" i="75"/>
  <c r="G81" i="75"/>
  <c r="G106" i="75"/>
  <c r="G29" i="75"/>
  <c r="G55" i="75"/>
  <c r="G15" i="75"/>
  <c r="G21" i="75"/>
  <c r="G68" i="75"/>
  <c r="G27" i="75"/>
  <c r="G47" i="75"/>
  <c r="G177" i="75"/>
  <c r="G100" i="75"/>
  <c r="G83" i="75"/>
  <c r="G178" i="75"/>
  <c r="G115" i="75"/>
  <c r="G142" i="75"/>
  <c r="G26" i="75"/>
  <c r="G22" i="75"/>
  <c r="G162" i="75"/>
  <c r="G138" i="75"/>
  <c r="G84" i="75"/>
  <c r="G108" i="75"/>
  <c r="G118" i="75"/>
  <c r="G150" i="75"/>
  <c r="G161" i="75"/>
  <c r="G141" i="75"/>
  <c r="G146" i="75"/>
  <c r="G147" i="75"/>
  <c r="G64" i="75"/>
  <c r="G18" i="75"/>
  <c r="G105" i="75"/>
  <c r="G42" i="75"/>
  <c r="G66" i="75"/>
  <c r="G110" i="75"/>
  <c r="G109" i="75"/>
  <c r="G53" i="75"/>
  <c r="G60" i="75"/>
  <c r="G135" i="75"/>
  <c r="G99" i="75"/>
  <c r="G17" i="75"/>
  <c r="G96" i="75"/>
  <c r="G35" i="75"/>
  <c r="G51" i="75"/>
  <c r="G45" i="75"/>
  <c r="G79" i="75"/>
  <c r="G165" i="75"/>
  <c r="G172" i="75"/>
  <c r="G123" i="75"/>
  <c r="G33" i="75"/>
  <c r="G23" i="75"/>
  <c r="G133" i="75"/>
  <c r="G56" i="75"/>
  <c r="G104" i="75"/>
  <c r="G61" i="75"/>
  <c r="G87" i="75"/>
  <c r="G148" i="75"/>
  <c r="G63" i="75"/>
  <c r="G90" i="75"/>
  <c r="G176" i="75"/>
  <c r="G149" i="75"/>
  <c r="G160" i="75"/>
  <c r="G136" i="75"/>
  <c r="G97" i="75"/>
  <c r="G86" i="75"/>
  <c r="G46" i="75"/>
  <c r="G24" i="75"/>
  <c r="G16" i="75"/>
  <c r="G127" i="75"/>
  <c r="G151" i="75"/>
  <c r="G126" i="75"/>
  <c r="G77" i="75"/>
  <c r="G28" i="75"/>
  <c r="G44" i="75"/>
  <c r="G117" i="75"/>
  <c r="G88" i="75"/>
  <c r="G71" i="75"/>
  <c r="G193" i="75" l="1"/>
  <c r="M23" i="50" l="1"/>
  <c r="E15" i="70" s="1"/>
  <c r="E17" i="24" s="1"/>
  <c r="M24" i="50"/>
  <c r="E16" i="70" s="1"/>
  <c r="E18" i="24" s="1"/>
  <c r="M18" i="50"/>
  <c r="E12" i="70" s="1"/>
  <c r="E12" i="24" s="1"/>
  <c r="M16" i="50"/>
  <c r="M33" i="50"/>
  <c r="E28" i="70" s="1"/>
  <c r="E31" i="24" s="1"/>
  <c r="M14" i="50"/>
  <c r="G18" i="24" l="1"/>
  <c r="H18" i="24" s="1"/>
  <c r="K18" i="24" s="1"/>
  <c r="E18" i="38"/>
  <c r="G17" i="24"/>
  <c r="H17" i="24" s="1"/>
  <c r="K17" i="24" s="1"/>
  <c r="E17" i="38"/>
  <c r="M21" i="50"/>
  <c r="D25" i="50"/>
  <c r="M9" i="50"/>
  <c r="E31" i="38"/>
  <c r="G31" i="24"/>
  <c r="H31" i="24" s="1"/>
  <c r="I31" i="24"/>
  <c r="M12" i="50"/>
  <c r="M8" i="50"/>
  <c r="D10" i="50"/>
  <c r="G12" i="24"/>
  <c r="H12" i="24" s="1"/>
  <c r="K12" i="24" s="1"/>
  <c r="E12" i="38"/>
  <c r="M13" i="50"/>
  <c r="M22" i="50"/>
  <c r="M15" i="50"/>
  <c r="M17" i="50"/>
  <c r="E11" i="70" s="1"/>
  <c r="E11" i="24" s="1"/>
  <c r="I12" i="24" l="1"/>
  <c r="E10" i="70"/>
  <c r="E10" i="24" s="1"/>
  <c r="M43" i="50"/>
  <c r="M10" i="50"/>
  <c r="E7" i="70"/>
  <c r="G194" i="75"/>
  <c r="G195" i="75" s="1"/>
  <c r="K31" i="24"/>
  <c r="G11" i="24"/>
  <c r="H11" i="24" s="1"/>
  <c r="K11" i="24" s="1"/>
  <c r="E11" i="38"/>
  <c r="H12" i="38"/>
  <c r="I12" i="38"/>
  <c r="J12" i="38" s="1"/>
  <c r="K12" i="38" s="1"/>
  <c r="D19" i="50"/>
  <c r="H31" i="38"/>
  <c r="I31" i="38"/>
  <c r="E14" i="70"/>
  <c r="E16" i="24" s="1"/>
  <c r="M25" i="50"/>
  <c r="I18" i="24"/>
  <c r="E9" i="70"/>
  <c r="E9" i="24" s="1"/>
  <c r="M19" i="50"/>
  <c r="D43" i="50"/>
  <c r="I17" i="24"/>
  <c r="I18" i="38"/>
  <c r="H18" i="38"/>
  <c r="H17" i="38"/>
  <c r="I17" i="38"/>
  <c r="I11" i="24" l="1"/>
  <c r="E10" i="38"/>
  <c r="G10" i="24"/>
  <c r="H10" i="24" s="1"/>
  <c r="K10" i="24" s="1"/>
  <c r="I11" i="38"/>
  <c r="H11" i="38"/>
  <c r="E7" i="24"/>
  <c r="G16" i="24"/>
  <c r="E16" i="38"/>
  <c r="E20" i="24"/>
  <c r="J17" i="38"/>
  <c r="K17" i="38" s="1"/>
  <c r="J18" i="38"/>
  <c r="K18" i="38" s="1"/>
  <c r="G9" i="24"/>
  <c r="E9" i="38"/>
  <c r="E14" i="24"/>
  <c r="J31" i="38"/>
  <c r="K31" i="38" s="1"/>
  <c r="J11" i="38" l="1"/>
  <c r="K11" i="38" s="1"/>
  <c r="I10" i="24"/>
  <c r="H16" i="24"/>
  <c r="G20" i="24"/>
  <c r="G14" i="24"/>
  <c r="H9" i="24"/>
  <c r="E7" i="38"/>
  <c r="G7" i="24"/>
  <c r="I9" i="38"/>
  <c r="H9" i="38"/>
  <c r="E14" i="38"/>
  <c r="I16" i="38"/>
  <c r="H16" i="38"/>
  <c r="E20" i="38"/>
  <c r="I10" i="38"/>
  <c r="H10" i="38"/>
  <c r="K9" i="24" l="1"/>
  <c r="H14" i="24"/>
  <c r="I14" i="24" s="1"/>
  <c r="I9" i="24"/>
  <c r="J10" i="38"/>
  <c r="K10" i="38" s="1"/>
  <c r="H14" i="38"/>
  <c r="H7" i="24"/>
  <c r="J16" i="38"/>
  <c r="J20" i="38" s="1"/>
  <c r="I20" i="38"/>
  <c r="H20" i="38"/>
  <c r="J9" i="38"/>
  <c r="K9" i="38" s="1"/>
  <c r="I14" i="38"/>
  <c r="I7" i="38"/>
  <c r="H7" i="38"/>
  <c r="K16" i="24"/>
  <c r="H20" i="24"/>
  <c r="I20" i="24" s="1"/>
  <c r="I16" i="24"/>
  <c r="K20" i="38" l="1"/>
  <c r="K16" i="38"/>
  <c r="J7" i="38"/>
  <c r="K7" i="38" s="1"/>
  <c r="K7" i="24"/>
  <c r="I7" i="24"/>
  <c r="J14" i="38"/>
  <c r="K14" i="38" s="1"/>
  <c r="M30" i="50" l="1"/>
  <c r="E24" i="70" s="1"/>
  <c r="E25" i="24" s="1"/>
  <c r="E25" i="38" l="1"/>
  <c r="G25" i="24"/>
  <c r="H25" i="24" s="1"/>
  <c r="K25" i="24" s="1"/>
  <c r="I25" i="24"/>
  <c r="I25" i="38" l="1"/>
  <c r="H25" i="38"/>
  <c r="J25" i="38" l="1"/>
  <c r="K25" i="38" s="1"/>
  <c r="M35" i="50"/>
  <c r="E26" i="70" s="1"/>
  <c r="E29" i="24" s="1"/>
  <c r="G29" i="24" l="1"/>
  <c r="H29" i="24" s="1"/>
  <c r="K29" i="24" s="1"/>
  <c r="E29" i="38"/>
  <c r="I29" i="24" l="1"/>
  <c r="I29" i="38"/>
  <c r="H29" i="38"/>
  <c r="D31" i="50"/>
  <c r="M29" i="50"/>
  <c r="M27" i="50" l="1"/>
  <c r="D37" i="50"/>
  <c r="D41" i="50" s="1"/>
  <c r="M31" i="50"/>
  <c r="E23" i="70"/>
  <c r="E24" i="24" s="1"/>
  <c r="J29" i="38"/>
  <c r="K29" i="38" s="1"/>
  <c r="G24" i="24" l="1"/>
  <c r="E24" i="38"/>
  <c r="E27" i="24"/>
  <c r="E21" i="70"/>
  <c r="M37" i="50"/>
  <c r="M41" i="50" l="1"/>
  <c r="E40" i="70"/>
  <c r="I24" i="38"/>
  <c r="H24" i="38"/>
  <c r="E27" i="38"/>
  <c r="E22" i="24"/>
  <c r="E30" i="70"/>
  <c r="H24" i="24"/>
  <c r="G27" i="24"/>
  <c r="H27" i="24" l="1"/>
  <c r="I27" i="24" s="1"/>
  <c r="K24" i="24"/>
  <c r="I24" i="24"/>
  <c r="H27" i="38"/>
  <c r="BO35" i="70"/>
  <c r="BA35" i="70"/>
  <c r="AG35" i="70"/>
  <c r="BF35" i="70"/>
  <c r="BS35" i="70"/>
  <c r="AN35" i="70"/>
  <c r="L35" i="70"/>
  <c r="U35" i="70"/>
  <c r="AK35" i="70"/>
  <c r="AW35" i="70"/>
  <c r="AR35" i="70"/>
  <c r="M35" i="70"/>
  <c r="AX35" i="70"/>
  <c r="BK35" i="70"/>
  <c r="Y35" i="70"/>
  <c r="AC35" i="70"/>
  <c r="T35" i="70"/>
  <c r="I35" i="70"/>
  <c r="R35" i="70"/>
  <c r="V35" i="70"/>
  <c r="AT35" i="70"/>
  <c r="AY35" i="70"/>
  <c r="Z35" i="70"/>
  <c r="BE35" i="70"/>
  <c r="BQ35" i="70"/>
  <c r="G35" i="70"/>
  <c r="BU35" i="70"/>
  <c r="AD35" i="70"/>
  <c r="AP35" i="70"/>
  <c r="AH35" i="70"/>
  <c r="J35" i="70"/>
  <c r="AF35" i="70"/>
  <c r="BN35" i="70"/>
  <c r="BW35" i="70"/>
  <c r="AO35" i="70"/>
  <c r="BR35" i="70"/>
  <c r="N35" i="70"/>
  <c r="X35" i="70"/>
  <c r="BV35" i="70"/>
  <c r="BM35" i="70"/>
  <c r="AJ35" i="70"/>
  <c r="BB35" i="70"/>
  <c r="BI35" i="70"/>
  <c r="H35" i="70"/>
  <c r="BC35" i="70"/>
  <c r="AV35" i="70"/>
  <c r="BG35" i="70"/>
  <c r="AB35" i="70"/>
  <c r="Q35" i="70"/>
  <c r="AS35" i="70"/>
  <c r="BJ35" i="70"/>
  <c r="AL35" i="70"/>
  <c r="P35" i="70"/>
  <c r="J24" i="38"/>
  <c r="J27" i="38" s="1"/>
  <c r="I27" i="38"/>
  <c r="E22" i="38"/>
  <c r="G22" i="24"/>
  <c r="E33" i="24"/>
  <c r="E41" i="70"/>
  <c r="K27" i="38" l="1"/>
  <c r="H22" i="24"/>
  <c r="G33" i="24"/>
  <c r="H22" i="38"/>
  <c r="I22" i="38"/>
  <c r="I33" i="38" s="1"/>
  <c r="E33" i="38"/>
  <c r="K24" i="38"/>
  <c r="J22" i="38" l="1"/>
  <c r="J33" i="38" s="1"/>
  <c r="K22" i="24"/>
  <c r="K33" i="24" s="1"/>
  <c r="H33" i="24"/>
  <c r="I22" i="24"/>
  <c r="H33" i="38"/>
  <c r="H41" i="24" l="1"/>
  <c r="I33" i="24"/>
  <c r="K22" i="38"/>
  <c r="K33" i="38"/>
</calcChain>
</file>

<file path=xl/comments1.xml><?xml version="1.0" encoding="utf-8"?>
<comments xmlns="http://schemas.openxmlformats.org/spreadsheetml/2006/main">
  <authors>
    <author>Pam Rasanen</author>
  </authors>
  <commentList>
    <comment ref="H41" authorId="0" shapeId="0">
      <text>
        <r>
          <rPr>
            <b/>
            <sz val="8"/>
            <color indexed="81"/>
            <rFont val="Tahoma"/>
            <family val="2"/>
          </rPr>
          <t>PSE:</t>
        </r>
        <r>
          <rPr>
            <sz val="8"/>
            <color indexed="81"/>
            <rFont val="Tahoma"/>
            <family val="2"/>
          </rPr>
          <t xml:space="preserve">
Difference due to rounding</t>
        </r>
      </text>
    </comment>
  </commentList>
</comments>
</file>

<file path=xl/sharedStrings.xml><?xml version="1.0" encoding="utf-8"?>
<sst xmlns="http://schemas.openxmlformats.org/spreadsheetml/2006/main" count="1237" uniqueCount="671">
  <si>
    <t>CUSTOMER CLASS</t>
  </si>
  <si>
    <t>SCHEDULE</t>
  </si>
  <si>
    <t>INCREASE (DECREASE) $</t>
  </si>
  <si>
    <t>INCREASE (DECREASE) %</t>
  </si>
  <si>
    <t>Residential</t>
  </si>
  <si>
    <t>Sec Gen Svc - Small</t>
  </si>
  <si>
    <t>Sec Gen Svc - Medium</t>
  </si>
  <si>
    <t>Sec Gen Svc - Large</t>
  </si>
  <si>
    <t>Sec Irrigation Svc</t>
  </si>
  <si>
    <t>Secondary Service Total</t>
  </si>
  <si>
    <t>Pri Gen Svc</t>
  </si>
  <si>
    <t>Pri Irrigation Svc</t>
  </si>
  <si>
    <t>Pri Interruptible Svc</t>
  </si>
  <si>
    <t>Primary Service Total</t>
  </si>
  <si>
    <t>HV Interruptible Svc</t>
  </si>
  <si>
    <t>HV Gen Svc</t>
  </si>
  <si>
    <t>High Voltage Service Total</t>
  </si>
  <si>
    <t>Lights</t>
  </si>
  <si>
    <t>Subtotal</t>
  </si>
  <si>
    <t>Total</t>
  </si>
  <si>
    <t>Customer Class</t>
  </si>
  <si>
    <t>Weighted Allocation</t>
  </si>
  <si>
    <t>HV</t>
  </si>
  <si>
    <t>449 / 459</t>
  </si>
  <si>
    <t>High Voltage</t>
  </si>
  <si>
    <t>% of Base Revenue</t>
  </si>
  <si>
    <t>Transportation</t>
  </si>
  <si>
    <t>Effective 9-26-02</t>
  </si>
  <si>
    <t>Tariff</t>
  </si>
  <si>
    <t>HV Transportation</t>
  </si>
  <si>
    <t>Pri Transportation</t>
  </si>
  <si>
    <t>Puget Sound Energy</t>
  </si>
  <si>
    <t>Schedule</t>
  </si>
  <si>
    <t>Lamp Type</t>
  </si>
  <si>
    <t>Mercury Vapor</t>
  </si>
  <si>
    <t>Sodium Vapor</t>
  </si>
  <si>
    <t>RATE EFFECTS</t>
  </si>
  <si>
    <t>a</t>
  </si>
  <si>
    <t>b</t>
  </si>
  <si>
    <t>c =
a + b</t>
  </si>
  <si>
    <t>e</t>
  </si>
  <si>
    <t>f</t>
  </si>
  <si>
    <t>g = e + f</t>
  </si>
  <si>
    <t>Effective 9/1/02 - 3/31/04 (19 months)</t>
  </si>
  <si>
    <t>Effective 4-1-04 through 8/31/04</t>
  </si>
  <si>
    <t>Effective 9-1-04</t>
  </si>
  <si>
    <t>c</t>
  </si>
  <si>
    <t>d</t>
  </si>
  <si>
    <t>e = b + (a * c)</t>
  </si>
  <si>
    <t>f = b + (a * d)</t>
  </si>
  <si>
    <t>g = f - e</t>
  </si>
  <si>
    <t>h = g / e</t>
  </si>
  <si>
    <t>d = b + (a * c)</t>
  </si>
  <si>
    <t>e = d - b</t>
  </si>
  <si>
    <t>f = e / b</t>
  </si>
  <si>
    <t>g</t>
  </si>
  <si>
    <t>h</t>
  </si>
  <si>
    <t>i</t>
  </si>
  <si>
    <t>e = b + d</t>
  </si>
  <si>
    <t>Rates Effective 4-1-05</t>
  </si>
  <si>
    <t>Campus Rate</t>
  </si>
  <si>
    <t>Campus Rate - Primary Voltage</t>
  </si>
  <si>
    <t>Campus Rate Total</t>
  </si>
  <si>
    <t>Campus Rate - Secondary Voltage</t>
  </si>
  <si>
    <t>Campus Sec Volt</t>
  </si>
  <si>
    <t>Campus Pri Volt</t>
  </si>
  <si>
    <t>Campus High Volt</t>
  </si>
  <si>
    <t>HV - Sch 46</t>
  </si>
  <si>
    <t>HV - Sch 49</t>
  </si>
  <si>
    <t>Line</t>
  </si>
  <si>
    <t xml:space="preserve">
Rate</t>
  </si>
  <si>
    <t>Schedule 46</t>
  </si>
  <si>
    <t>Schedule 49</t>
  </si>
  <si>
    <t>Schedule 258</t>
  </si>
  <si>
    <t>Schedule 40</t>
  </si>
  <si>
    <t>Total High Voltage</t>
  </si>
  <si>
    <t>Effective 9-1-04 through 3/31/05 (16 months)</t>
  </si>
  <si>
    <t>Line No.</t>
  </si>
  <si>
    <t>j</t>
  </si>
  <si>
    <t>l</t>
  </si>
  <si>
    <t>m</t>
  </si>
  <si>
    <t>n</t>
  </si>
  <si>
    <t>Rates Effective 4-1-06</t>
  </si>
  <si>
    <t>k</t>
  </si>
  <si>
    <t>Current vs. Proposed Schedule 120</t>
  </si>
  <si>
    <t>2001 Revenue Requirement Portion</t>
  </si>
  <si>
    <t>2002 Revenue Requirement Portion</t>
  </si>
  <si>
    <t>2003 Revenue Requirement Portion</t>
  </si>
  <si>
    <t>2004 Revenue Requirement Portion</t>
  </si>
  <si>
    <t>2005 Revenue Requirement Portion</t>
  </si>
  <si>
    <t>2006 Revenue Requirement Portion</t>
  </si>
  <si>
    <t>2007 Revenue Requirement Portion</t>
  </si>
  <si>
    <t>Annual Revenue Effects</t>
  </si>
  <si>
    <t>Rate Effects on Revenue without Schedule 120 vs. Revenue with Proposed Schedule 120</t>
  </si>
  <si>
    <t>Additional Revenue $</t>
  </si>
  <si>
    <t>Additional Revenue %</t>
  </si>
  <si>
    <t>CONSERVATION SERVICE RIDER COMPARISON</t>
  </si>
  <si>
    <t>2003 - 2004
Over Collection</t>
  </si>
  <si>
    <t>Rates Effective 4-1-07</t>
  </si>
  <si>
    <t>2008 Revenue Requirement Portion</t>
  </si>
  <si>
    <t>q</t>
  </si>
  <si>
    <t>Rates Effective 6-7-07</t>
  </si>
  <si>
    <t>Rates Effective 4-1-08</t>
  </si>
  <si>
    <t>2009 Revenue Requirement Portion</t>
  </si>
  <si>
    <t>t</t>
  </si>
  <si>
    <t>2010 Revenue Requirement Portion</t>
  </si>
  <si>
    <t>Rates Effective 4-1-09</t>
  </si>
  <si>
    <t>2004 
Under Collection</t>
  </si>
  <si>
    <t>2005 
Over Collection</t>
  </si>
  <si>
    <t>2006 
Over Collection</t>
  </si>
  <si>
    <t>2007
Under Collection</t>
  </si>
  <si>
    <t>w</t>
  </si>
  <si>
    <t>Total Secondary Voltage</t>
  </si>
  <si>
    <t>Total Primary Voltage</t>
  </si>
  <si>
    <t>50-59</t>
  </si>
  <si>
    <t>Rates Effective 4-1-10</t>
  </si>
  <si>
    <t>2011 Revenue Requirement Portion</t>
  </si>
  <si>
    <t>z</t>
  </si>
  <si>
    <t>2009
Under Collection</t>
  </si>
  <si>
    <t>Sch 40 - Non HV</t>
  </si>
  <si>
    <t>Total Sch 40 Non-High Voltage</t>
  </si>
  <si>
    <t>Add:  Sch 258 Collections (Sch 449 &amp; 459)</t>
  </si>
  <si>
    <t>2008 
Over Collection</t>
  </si>
  <si>
    <t>2010
Under Collection</t>
  </si>
  <si>
    <t>Total Campus</t>
  </si>
  <si>
    <t>Total Company</t>
  </si>
  <si>
    <t>f = c + d + e</t>
  </si>
  <si>
    <t>i = g + h</t>
  </si>
  <si>
    <t>l = j + k</t>
  </si>
  <si>
    <t>o = m + n</t>
  </si>
  <si>
    <t>p</t>
  </si>
  <si>
    <t>r = p + q</t>
  </si>
  <si>
    <t>s</t>
  </si>
  <si>
    <t>u = s + t</t>
  </si>
  <si>
    <t>v</t>
  </si>
  <si>
    <t>x = v + w</t>
  </si>
  <si>
    <t>y</t>
  </si>
  <si>
    <t>aa = y + z</t>
  </si>
  <si>
    <t>ab</t>
  </si>
  <si>
    <t>ac</t>
  </si>
  <si>
    <t>ad = ab + ac</t>
  </si>
  <si>
    <t>ae</t>
  </si>
  <si>
    <t>af</t>
  </si>
  <si>
    <t>ag = ae + af</t>
  </si>
  <si>
    <t>Check to Total</t>
  </si>
  <si>
    <t>Check Revenue from Table 1</t>
  </si>
  <si>
    <t>Revenue Class Allocations</t>
  </si>
  <si>
    <t>Campus Rate - High Voltage</t>
  </si>
  <si>
    <t>Rates Effective 5-1-11</t>
  </si>
  <si>
    <t>2011
Under / (Over) Collection</t>
  </si>
  <si>
    <t>2012 Revenue Requirement Portion</t>
  </si>
  <si>
    <t>g = e * f</t>
  </si>
  <si>
    <t>ah</t>
  </si>
  <si>
    <t>ai</t>
  </si>
  <si>
    <t>g = h - e</t>
  </si>
  <si>
    <t>Rounding Difference</t>
  </si>
  <si>
    <t>Total Class Allocation</t>
  </si>
  <si>
    <t>g = e * Revenue Requirement</t>
  </si>
  <si>
    <t>Settlement</t>
  </si>
  <si>
    <t>aj</t>
  </si>
  <si>
    <t>ak = ah + ai + aj</t>
  </si>
  <si>
    <t>2012
Under / (Over) Collection</t>
  </si>
  <si>
    <t>2013 Revenue Requirement Portion</t>
  </si>
  <si>
    <t>al</t>
  </si>
  <si>
    <t>am</t>
  </si>
  <si>
    <t>an = al + am</t>
  </si>
  <si>
    <t>h = i + j</t>
  </si>
  <si>
    <t>$ / kWh</t>
  </si>
  <si>
    <t>an</t>
  </si>
  <si>
    <t>ao</t>
  </si>
  <si>
    <t>ap = an + ao</t>
  </si>
  <si>
    <t>2013
Under / (Over) Collection</t>
  </si>
  <si>
    <t>2014 Revenue Requirement Portion</t>
  </si>
  <si>
    <t>Sch 258 - Transporation Rate Calculation:</t>
  </si>
  <si>
    <t>Budget Increase</t>
  </si>
  <si>
    <t>Line 17 - Line 18</t>
  </si>
  <si>
    <t>Line 19 / Line 18</t>
  </si>
  <si>
    <t>Line 21 * Line 23</t>
  </si>
  <si>
    <t>Line 23 + Line 24</t>
  </si>
  <si>
    <t>Effective
4-1-06
through
3-31-10
(48 months)</t>
  </si>
  <si>
    <t>Effective
4-1-10
through
4-30-11
(13 months)</t>
  </si>
  <si>
    <t>Effective
5-1-11
through
4-30-12
(12 months)</t>
  </si>
  <si>
    <t>Effective
5-1-12
through
4-30-13
(12 months)</t>
  </si>
  <si>
    <t>Effective
5-1-13
through
4-30-14
(12 months)</t>
  </si>
  <si>
    <t>Rates Effective 5-1-13</t>
  </si>
  <si>
    <t>Rates Effective 5-1-12</t>
  </si>
  <si>
    <t>Proposed
5-1-14
through
4-30-15
(12 months)</t>
  </si>
  <si>
    <t>Proposed Rates Effective 5-1-15</t>
  </si>
  <si>
    <t>2014
Under / (Over) Collection</t>
  </si>
  <si>
    <t>2015 Revenue Requirement Portion</t>
  </si>
  <si>
    <t>aq</t>
  </si>
  <si>
    <t>ar</t>
  </si>
  <si>
    <t>as = aq + ar</t>
  </si>
  <si>
    <t>Transportation Schedule 120 Rate Effective 5-1-14</t>
  </si>
  <si>
    <t>Proposed
5-1-15
through
4-30-16
(12 months)</t>
  </si>
  <si>
    <t>Resale</t>
  </si>
  <si>
    <t>i = g / h</t>
  </si>
  <si>
    <t>k = i / j</t>
  </si>
  <si>
    <t xml:space="preserve">a =
b * c </t>
  </si>
  <si>
    <t>Schedule 120 
$ per kWh
(2001 Prog Portion)</t>
  </si>
  <si>
    <t>Schedule 120 
$ per kWh
(2002 Prog Portion)</t>
  </si>
  <si>
    <t>Schedule 120 
$ per kWh
(2003 Portion)</t>
  </si>
  <si>
    <t>Schedule 120 
$ per kWh
(2003-04 Over Collection)</t>
  </si>
  <si>
    <t>Schedule 120 
$ per kWh
(2004 Budget)</t>
  </si>
  <si>
    <t>Schedule 120 
$ per kWh
(2006 Budget)</t>
  </si>
  <si>
    <t>Schedule 120 
$ per kWh
(2010 Budget)</t>
  </si>
  <si>
    <t>Schedule 120 
$ per kWh
(2011 Budget)</t>
  </si>
  <si>
    <t>Schedule 120 
$ per kWh
(2012 Budget)</t>
  </si>
  <si>
    <t>Schedule 120 
$ per kWh
(2013 Budget)</t>
  </si>
  <si>
    <t>Schedule 120 
$ per kWh
(2014 Budget)</t>
  </si>
  <si>
    <t>Schedule 120 
$ per kWh
(2015 Budget)</t>
  </si>
  <si>
    <t>Annual kWh Delivered Sales (Normalized)</t>
  </si>
  <si>
    <t>8 &amp; 24</t>
  </si>
  <si>
    <t>11, 25 &amp; 7A</t>
  </si>
  <si>
    <t>12, 26 &amp; 26P</t>
  </si>
  <si>
    <t>10 &amp; 31</t>
  </si>
  <si>
    <t>449-459</t>
  </si>
  <si>
    <t>Proposed Peak Credit Results</t>
  </si>
  <si>
    <t>Rate Schedules</t>
  </si>
  <si>
    <t>Energy Allocator</t>
  </si>
  <si>
    <t>75%
Energy
(Docket No.
UE-141368)</t>
  </si>
  <si>
    <t>25%
Demand
(Docket No.
UE-141368)</t>
  </si>
  <si>
    <t>Based on 2013 IRP, Updated Gas &amp; YE 2012 Load Research Results</t>
  </si>
  <si>
    <t>Less:  Firm Resale</t>
  </si>
  <si>
    <t>YE 2012
4CP Demand
Allocator
(Docket No.
UE-141368)</t>
  </si>
  <si>
    <t>b = 75% * a / sum(a)</t>
  </si>
  <si>
    <t>d = 25% * c / sum(c)</t>
  </si>
  <si>
    <t>Weighted Allocation (Docket No. UE-141368)</t>
  </si>
  <si>
    <t>Source:  JAP-4 &amp; 5 Workpapers, Docket No. UE-141368</t>
  </si>
  <si>
    <t>75% Energy</t>
  </si>
  <si>
    <t>25% Demand</t>
  </si>
  <si>
    <t>4CP Demand Allocator</t>
  </si>
  <si>
    <t>Rates Effective 5-1-14</t>
  </si>
  <si>
    <t>o</t>
  </si>
  <si>
    <t>YE 2012
Energy
Allocator
(Docket No.
UE-141368</t>
  </si>
  <si>
    <t>Proposed Rates Effective 5-1-16</t>
  </si>
  <si>
    <t>2015
Under / (Over) Collection</t>
  </si>
  <si>
    <t>2016 Revenue Requirement Portion</t>
  </si>
  <si>
    <t>at</t>
  </si>
  <si>
    <t>au</t>
  </si>
  <si>
    <t>av = at + au</t>
  </si>
  <si>
    <t>Proposed
5-1-16
through
4-30-17
(12 months)</t>
  </si>
  <si>
    <t>Schedule 120 
$ per kWh
(2016 Budget)</t>
  </si>
  <si>
    <t>REVENUE
(Including 5-1-17
Sch 120 revenue)</t>
  </si>
  <si>
    <t>8/24</t>
  </si>
  <si>
    <t>7A/11/25</t>
  </si>
  <si>
    <t>12/26</t>
  </si>
  <si>
    <t>10/31</t>
  </si>
  <si>
    <t>Estimated Annual Proforma Base Revenue</t>
  </si>
  <si>
    <t>Schedule 95
PCORC</t>
  </si>
  <si>
    <t>Schedule 95A
Federal Incentive Credit</t>
  </si>
  <si>
    <t>Schedule 129
Low Income</t>
  </si>
  <si>
    <t>Schedule 132
Merger Credit</t>
  </si>
  <si>
    <t>Schedule 137
RECS</t>
  </si>
  <si>
    <t>Schedule 140
Property Tax</t>
  </si>
  <si>
    <t>Schedule 142
Decoupling</t>
  </si>
  <si>
    <t>Schedule 194
BPA Res &amp; Farm Credit</t>
  </si>
  <si>
    <t>7A (Note 1)</t>
  </si>
  <si>
    <t>26 &amp; 26P</t>
  </si>
  <si>
    <t>All Sales</t>
  </si>
  <si>
    <t>Note 1:  7A, 11 &amp; 25</t>
  </si>
  <si>
    <t>Transportation 449 / 459</t>
  </si>
  <si>
    <t>PV / HV Transportation</t>
  </si>
  <si>
    <t>Proposed Rates Effective 5-1-17</t>
  </si>
  <si>
    <t>2017 Revenue Requirement Portion</t>
  </si>
  <si>
    <t>av</t>
  </si>
  <si>
    <t>aw</t>
  </si>
  <si>
    <t>ax = av + aw</t>
  </si>
  <si>
    <t>Total Transportation (Primary &amp; High Voltage</t>
  </si>
  <si>
    <t>Proposed
5-1-17
through
4-30-18
(12 months)</t>
  </si>
  <si>
    <t>2017 Revenue Requirement</t>
  </si>
  <si>
    <t>HV - Interruptible</t>
  </si>
  <si>
    <t>HV - General Service</t>
  </si>
  <si>
    <t>449/459</t>
  </si>
  <si>
    <t xml:space="preserve">Transportation </t>
  </si>
  <si>
    <t>2016
Under / (Over) Collection</t>
  </si>
  <si>
    <t>Total 2017 Revenue Requirement</t>
  </si>
  <si>
    <t>Residential Customer Impacts</t>
  </si>
  <si>
    <t>Customer Bill</t>
  </si>
  <si>
    <t>Month</t>
  </si>
  <si>
    <t>kWh</t>
  </si>
  <si>
    <t>Present Base Rates</t>
  </si>
  <si>
    <t>Sch 95</t>
  </si>
  <si>
    <t>Sch 95A</t>
  </si>
  <si>
    <t>Sch 120</t>
  </si>
  <si>
    <t>Sch 129</t>
  </si>
  <si>
    <t>Sch 132</t>
  </si>
  <si>
    <t>Sch 137</t>
  </si>
  <si>
    <t>Sch 140</t>
  </si>
  <si>
    <t>Sch 141</t>
  </si>
  <si>
    <t>Sch 142</t>
  </si>
  <si>
    <t>Sch 194</t>
  </si>
  <si>
    <t>Current Residential Bill</t>
  </si>
  <si>
    <t>$ Difference</t>
  </si>
  <si>
    <t>Proposed Residential Bill</t>
  </si>
  <si>
    <t>% Difference</t>
  </si>
  <si>
    <t>January</t>
  </si>
  <si>
    <t>February</t>
  </si>
  <si>
    <t>March</t>
  </si>
  <si>
    <t>April</t>
  </si>
  <si>
    <t>May</t>
  </si>
  <si>
    <t>June</t>
  </si>
  <si>
    <t>July</t>
  </si>
  <si>
    <t>August</t>
  </si>
  <si>
    <t>September</t>
  </si>
  <si>
    <t>October</t>
  </si>
  <si>
    <t>November</t>
  </si>
  <si>
    <t>December</t>
  </si>
  <si>
    <t>Annual Total</t>
  </si>
  <si>
    <t>Monthly Average</t>
  </si>
  <si>
    <t>Average Cents</t>
  </si>
  <si>
    <t>Summary Page Residential</t>
  </si>
  <si>
    <t>Residential Schedule 7 Rates</t>
  </si>
  <si>
    <t>Customer Monthly Charge:</t>
  </si>
  <si>
    <t>One Phase Basic Charge</t>
  </si>
  <si>
    <t>per Month</t>
  </si>
  <si>
    <t>Schedule 141 - ERF Rider - 1 Phase Basic Charge</t>
  </si>
  <si>
    <t>Subtotal Base Monthly Charge</t>
  </si>
  <si>
    <t>Energy Charge:</t>
  </si>
  <si>
    <t>Schedule 7 first 600 kWh</t>
  </si>
  <si>
    <t>Schedule 129 - Low Income</t>
  </si>
  <si>
    <t>Schedule 140 - Property Tax Rider</t>
  </si>
  <si>
    <t>Schedule 141 - ERF Rider - First 600 kWh</t>
  </si>
  <si>
    <t>Schedule 142 - Decoupling Rider</t>
  </si>
  <si>
    <t>Subtotal Base First 600 kWh Charge</t>
  </si>
  <si>
    <t>Schedule 7 over 600 kWh</t>
  </si>
  <si>
    <t>Schedule 141 - ERF Rider - Over 600 kWh</t>
  </si>
  <si>
    <t>Subtotal Base Over 600 kWh Charge</t>
  </si>
  <si>
    <t>Schedule 194 - BPA Exchange Credit</t>
  </si>
  <si>
    <t>Schedule 133 - Regulatory Asset Tracker</t>
  </si>
  <si>
    <t>Other Electric Charges and Credits</t>
  </si>
  <si>
    <t>Schedule 95 - Power Cost Adjustment Clause</t>
  </si>
  <si>
    <t>Schedule 95A - Wind Power Production Credit</t>
  </si>
  <si>
    <t>Schedule 120 - Conservation Rider</t>
  </si>
  <si>
    <t>Schedule 132 - Merger Credit</t>
  </si>
  <si>
    <t>Schedule 137 - Renewable Energy Credit</t>
  </si>
  <si>
    <t>Subtotal Other Charges</t>
  </si>
  <si>
    <t>Total Block 1 Energy Charge</t>
  </si>
  <si>
    <t>Total Block 2 Energy Charge</t>
  </si>
  <si>
    <t>Forecast kWh</t>
  </si>
  <si>
    <t>Forecast Customer Count</t>
  </si>
  <si>
    <t>Average Use per Customer</t>
  </si>
  <si>
    <t>Average</t>
  </si>
  <si>
    <t>Remove:  Schedule 120</t>
  </si>
  <si>
    <t>Add:  Schedule 120</t>
  </si>
  <si>
    <t>Proposed Rates Effective 5-1-18</t>
  </si>
  <si>
    <t>2017
Under / (Over) Collection</t>
  </si>
  <si>
    <t>2018 Revenue Requirement Portion</t>
  </si>
  <si>
    <t>Proposed
5-1-18
through
4-30-19
(12 months)</t>
  </si>
  <si>
    <t>Schedule 120 
$ per kWh
(2017 Budget)</t>
  </si>
  <si>
    <t>Schedule 120 
$ per kWh
(2018 Budget)</t>
  </si>
  <si>
    <t>Test Year ended April 2019 (F2017)</t>
  </si>
  <si>
    <t>F2017
Delivered kWh
05/18 to 04/19</t>
  </si>
  <si>
    <t>Projected
Revenue
05/18 to 04/19
(Note 1)</t>
  </si>
  <si>
    <t>Schedule 120
Effective
5-1-17</t>
  </si>
  <si>
    <t>Proposed
Schedule 120
Effective
5-1-18</t>
  </si>
  <si>
    <t>REVENUE
(Including 5-1-18
Sch 120 revenue)</t>
  </si>
  <si>
    <t>2018 TOTAL CONSERVATION REVENUE SERVICE RIDER AS % OF REVENUE</t>
  </si>
  <si>
    <t>Proposed Schedule 120 Rider
$ per kWh
Eff 5-1-18</t>
  </si>
  <si>
    <t>2018 Class Allocation</t>
  </si>
  <si>
    <t>2017 Under / (Over) Allocation</t>
  </si>
  <si>
    <t>Present Rates Effective 
4-30-18</t>
  </si>
  <si>
    <t>Proposed Rates Effective 
5-1-18</t>
  </si>
  <si>
    <t>F2017 Residential Usage YE Apr 2019</t>
  </si>
  <si>
    <t>ay</t>
  </si>
  <si>
    <t>az</t>
  </si>
  <si>
    <t>ba = ay + az</t>
  </si>
  <si>
    <t>YE September 2016
Energy
Allocator
(Docket No.
UE-170033</t>
  </si>
  <si>
    <t>75%
Energy
(Docket No.
UE-70033)</t>
  </si>
  <si>
    <t>YE September 2016
4CP Demand
Allocator
(Docket No.
UE-170033)</t>
  </si>
  <si>
    <t>25%
Demand
(Docket No.
UE-170033)</t>
  </si>
  <si>
    <t>Weighted Allocation (Docket No. UE-170033)</t>
  </si>
  <si>
    <t>2018 Transportation Revenue Requirement</t>
  </si>
  <si>
    <t>F2017
Forecast
KWH
5/18 to 4/19</t>
  </si>
  <si>
    <t>$ per kWh Proposed Eff 5-1-18</t>
  </si>
  <si>
    <t>Revenue Collection
5-18 to 4-19</t>
  </si>
  <si>
    <t xml:space="preserve">
kWh
5-18 to 4-19</t>
  </si>
  <si>
    <t>CALCULATION OF ELECTRIC SCHEDULE 120 REVENUE REQUIREMENT 2017 COMPONENT</t>
  </si>
  <si>
    <t>CALCULATION OF ELECTRIC SCHEDULE 120 REVENUE REQUIREMENT FOR 2018 COMPONENT</t>
  </si>
  <si>
    <t>2017
Under (Over) Collection</t>
  </si>
  <si>
    <t>Typical</t>
  </si>
  <si>
    <t>Load Research Allocation Factors</t>
  </si>
  <si>
    <t>Twelve Months ended September 30, 2016</t>
  </si>
  <si>
    <t>2017 GRC</t>
  </si>
  <si>
    <t>Electric Cost of Service Allocation Factors</t>
  </si>
  <si>
    <t>Load Research Data</t>
  </si>
  <si>
    <t>ENERGY_1</t>
  </si>
  <si>
    <t>ENERGY_2</t>
  </si>
  <si>
    <t>DEM_1</t>
  </si>
  <si>
    <t>DEM_1A</t>
  </si>
  <si>
    <t>DEM_1B</t>
  </si>
  <si>
    <t>DEM_2A</t>
  </si>
  <si>
    <t>DEM_2B</t>
  </si>
  <si>
    <t>DEM_12NCP1</t>
  </si>
  <si>
    <t>Adjusted for Sch 40 Settlement</t>
  </si>
  <si>
    <t>Energy - All Rate Schedules</t>
  </si>
  <si>
    <t>Energy - Exclude Transportation</t>
  </si>
  <si>
    <t>Top 75 CP Demand</t>
  </si>
  <si>
    <t>Top 75 CP Demand - Excl Interrupt</t>
  </si>
  <si>
    <t>Top 75 CP Demand - Excl Tranp &amp; Spec &amp; Interrupt</t>
  </si>
  <si>
    <t>4 CP Demand - Exclude Interruptible</t>
  </si>
  <si>
    <t>4 CP Demand - Exclude Interruptible &amp; Transportation</t>
  </si>
  <si>
    <t>Top 12 NCP Demand - Exclude HV &amp; Transportation</t>
  </si>
  <si>
    <t>Energy</t>
  </si>
  <si>
    <t>4 CP  Demand</t>
  </si>
  <si>
    <t>25 &amp; 29</t>
  </si>
  <si>
    <t>Lighting</t>
  </si>
  <si>
    <t>Transp PV</t>
  </si>
  <si>
    <t>Transp HV</t>
  </si>
  <si>
    <t>Firm Resale</t>
  </si>
  <si>
    <t>Check</t>
  </si>
  <si>
    <t>Monthly CP by Class</t>
  </si>
  <si>
    <t>Adjusted for Schedule 40 Settlement</t>
  </si>
  <si>
    <t>with losses</t>
  </si>
  <si>
    <t>YearMo</t>
  </si>
  <si>
    <t>Date</t>
  </si>
  <si>
    <t>Hour</t>
  </si>
  <si>
    <t>_NAME_</t>
  </si>
  <si>
    <t>_24</t>
  </si>
  <si>
    <t>_25</t>
  </si>
  <si>
    <t>_26</t>
  </si>
  <si>
    <t>_29</t>
  </si>
  <si>
    <t>_31</t>
  </si>
  <si>
    <t>_35</t>
  </si>
  <si>
    <t>_40</t>
  </si>
  <si>
    <t>_43</t>
  </si>
  <si>
    <t>_449HV</t>
  </si>
  <si>
    <t>_449PV</t>
  </si>
  <si>
    <t>_459</t>
  </si>
  <si>
    <t>_46</t>
  </si>
  <si>
    <t>_49</t>
  </si>
  <si>
    <t>_5</t>
  </si>
  <si>
    <t>_7</t>
  </si>
  <si>
    <t>AL</t>
  </si>
  <si>
    <t>SL</t>
  </si>
  <si>
    <t>System</t>
  </si>
  <si>
    <t>201510</t>
  </si>
  <si>
    <t>Hour19</t>
  </si>
  <si>
    <t>Load</t>
  </si>
  <si>
    <t>201511</t>
  </si>
  <si>
    <t>Hour08</t>
  </si>
  <si>
    <t>201512</t>
  </si>
  <si>
    <t>201601</t>
  </si>
  <si>
    <t>Hour18</t>
  </si>
  <si>
    <t>201602</t>
  </si>
  <si>
    <t>201603</t>
  </si>
  <si>
    <t>201604</t>
  </si>
  <si>
    <t>201605</t>
  </si>
  <si>
    <t>201606</t>
  </si>
  <si>
    <t>201607</t>
  </si>
  <si>
    <t>201608</t>
  </si>
  <si>
    <t>Hour17</t>
  </si>
  <si>
    <t>201609</t>
  </si>
  <si>
    <t>Hour20</t>
  </si>
  <si>
    <t>4CP Average</t>
  </si>
  <si>
    <t xml:space="preserve"> (Nov, Dec, Jan, Feb)</t>
  </si>
  <si>
    <t>Excl Interruptible</t>
  </si>
  <si>
    <t>Excl Interruptible &amp; Transport</t>
  </si>
  <si>
    <t>TEMPERATURE ADJUSTED ANNUAL ENERGY ALLOCATIONS BY BILLING SCHEDULE</t>
  </si>
  <si>
    <t>12 MONTHS ENDED SEPTEMBER 31, 2016</t>
  </si>
  <si>
    <t>NET GPI</t>
  </si>
  <si>
    <t>BILLED KWH (Cal View)</t>
  </si>
  <si>
    <t>TEMP ADJ</t>
  </si>
  <si>
    <t>(=B8)</t>
  </si>
  <si>
    <t>TEMP ADJUSTED</t>
  </si>
  <si>
    <t>TEMP ADJ GPI</t>
  </si>
  <si>
    <t>TEMP ADJ BILLED KWH</t>
  </si>
  <si>
    <t>Original</t>
  </si>
  <si>
    <t>Schedule 40 Settlement Adjustment</t>
  </si>
  <si>
    <t>(1b)</t>
  </si>
  <si>
    <t>(2b)</t>
  </si>
  <si>
    <t>(3b)</t>
  </si>
  <si>
    <t>(4b)</t>
  </si>
  <si>
    <t>(5b)</t>
  </si>
  <si>
    <t>(6b)</t>
  </si>
  <si>
    <t>(7b)</t>
  </si>
  <si>
    <t>(8b)</t>
  </si>
  <si>
    <t>(9b)</t>
  </si>
  <si>
    <t>(10b)</t>
  </si>
  <si>
    <t xml:space="preserve"> </t>
  </si>
  <si>
    <t>Annual kWh</t>
  </si>
  <si>
    <t>Temperature</t>
  </si>
  <si>
    <t>Annual</t>
  </si>
  <si>
    <t>Temp Adj</t>
  </si>
  <si>
    <t>Percent</t>
  </si>
  <si>
    <t>Billed kWh</t>
  </si>
  <si>
    <t>(incl. losses</t>
  </si>
  <si>
    <t>Adjusted</t>
  </si>
  <si>
    <t>Class</t>
  </si>
  <si>
    <t>actual kWh</t>
  </si>
  <si>
    <t>Losses</t>
  </si>
  <si>
    <t>Difference</t>
  </si>
  <si>
    <t>GPI kWh</t>
  </si>
  <si>
    <t>&amp; misc. usage)</t>
  </si>
  <si>
    <t>on temp adj</t>
  </si>
  <si>
    <t>Incl Losses</t>
  </si>
  <si>
    <t>Allocation</t>
  </si>
  <si>
    <t>(not incl. Losses)</t>
  </si>
  <si>
    <t>(calendar view)</t>
  </si>
  <si>
    <t>11a</t>
  </si>
  <si>
    <t>7b-4b</t>
  </si>
  <si>
    <t>4b/(1-5b)</t>
  </si>
  <si>
    <t>(7b/sum(7b) *B8</t>
  </si>
  <si>
    <t>10a</t>
  </si>
  <si>
    <t>8b+9b</t>
  </si>
  <si>
    <t>New Cust 1</t>
  </si>
  <si>
    <t>New Cust 2</t>
  </si>
  <si>
    <t>Cust 8</t>
  </si>
  <si>
    <t>============</t>
  </si>
  <si>
    <t>===============</t>
  </si>
  <si>
    <t>===================</t>
  </si>
  <si>
    <t>07</t>
  </si>
  <si>
    <t>Small Resale (05)</t>
  </si>
  <si>
    <t>50-54,57-58</t>
  </si>
  <si>
    <t>Transportation Schedules:</t>
  </si>
  <si>
    <t>449 HV</t>
  </si>
  <si>
    <t>449 PV</t>
  </si>
  <si>
    <t>Total Transp.</t>
  </si>
  <si>
    <t xml:space="preserve">Note:  Annual actual kWh includes the impacts of  rate migrations anticipated during the rate year on Schedules 24, 25, 26, 31 &amp; 40 energy sales.  The actual kWh sales </t>
  </si>
  <si>
    <t xml:space="preserve">          also include the billing error corrections made on schedule 46 billed sales in 2016.</t>
  </si>
  <si>
    <t>ANNUAL ENERGY LOSS ALLOCATIONS BY BILLING SCHEDULE</t>
  </si>
  <si>
    <t>12 MONTHS ENDED SEPTEMBER 30, 2016</t>
  </si>
  <si>
    <t>Delivery</t>
  </si>
  <si>
    <t>% of Total</t>
  </si>
  <si>
    <t>% of Annual</t>
  </si>
  <si>
    <t>Voltage Level</t>
  </si>
  <si>
    <t>Energy Losses</t>
  </si>
  <si>
    <t>KWH LOSSES</t>
  </si>
  <si>
    <t>High Voltage (Sch 46,49)</t>
  </si>
  <si>
    <t>MISC USAGE</t>
  </si>
  <si>
    <t>Primary (Sch 05,31,35,40,43)</t>
  </si>
  <si>
    <t>KWH BILLED</t>
  </si>
  <si>
    <t>Secondary (7,24,25,26,29,Lighting)</t>
  </si>
  <si>
    <t>Total (not incl. transportation)</t>
  </si>
  <si>
    <t>(1a)</t>
  </si>
  <si>
    <t>(2a)</t>
  </si>
  <si>
    <t>(3a)</t>
  </si>
  <si>
    <t>(4a)</t>
  </si>
  <si>
    <t>(5a)</t>
  </si>
  <si>
    <t>(6a)</t>
  </si>
  <si>
    <t>(7a)</t>
  </si>
  <si>
    <t>(8a)</t>
  </si>
  <si>
    <t>(9a)</t>
  </si>
  <si>
    <t>(10a)</t>
  </si>
  <si>
    <t>(11a)</t>
  </si>
  <si>
    <t>Ave Monthly</t>
  </si>
  <si>
    <t>Misc. Use</t>
  </si>
  <si>
    <t>Coincident</t>
  </si>
  <si>
    <t>Annual Loss</t>
  </si>
  <si>
    <t>Actual kWh</t>
  </si>
  <si>
    <t>Coincident kW</t>
  </si>
  <si>
    <t>kW</t>
  </si>
  <si>
    <t>Load Factor</t>
  </si>
  <si>
    <t>kW Losses</t>
  </si>
  <si>
    <t>kWh Losses</t>
  </si>
  <si>
    <t>(2a/sum(2a)</t>
  </si>
  <si>
    <t>(SAS Output)</t>
  </si>
  <si>
    <t>((2+3)/8784)</t>
  </si>
  <si>
    <t>(5/4)</t>
  </si>
  <si>
    <t>(6*7*8760)</t>
  </si>
  <si>
    <t>8/sum(8)</t>
  </si>
  <si>
    <t>(2+3+9)</t>
  </si>
  <si>
    <t>(9/(2+3))</t>
  </si>
  <si>
    <t>*misc use)</t>
  </si>
  <si>
    <t>*total kWh losses</t>
  </si>
  <si>
    <t>=================</t>
  </si>
  <si>
    <t>50-54,57-59</t>
  </si>
  <si>
    <t>Column K (11a) is used as an input for LINECST2 and SUBCSTA4 allocation programs.</t>
  </si>
  <si>
    <t>Data in 4a and 7a are calculated in Losses.sas program -- for system schedules (non-transportation)</t>
  </si>
  <si>
    <t>Data in 4a and 7a are calculated in 'Avg CP kW and Losses OFFSYS' sheet for off-system schedules (transportation)</t>
  </si>
  <si>
    <t>Secondary Volt.</t>
  </si>
  <si>
    <t>Primary Volt.</t>
  </si>
  <si>
    <t>Transm. Volt.</t>
  </si>
  <si>
    <t>Subtotal no FR</t>
  </si>
  <si>
    <t>Summary of Allocated Costs</t>
  </si>
  <si>
    <t>2018 Conservation Workpapers</t>
  </si>
  <si>
    <t>Test Year Ending April 30, 2019</t>
  </si>
  <si>
    <t>Wattage (W)</t>
  </si>
  <si>
    <t>Inventory @ 12/31/2017</t>
  </si>
  <si>
    <t>Annual Revenue</t>
  </si>
  <si>
    <t>(a)</t>
  </si>
  <si>
    <t>(b)</t>
  </si>
  <si>
    <t>(c)</t>
  </si>
  <si>
    <t>(d)</t>
  </si>
  <si>
    <t>(f)</t>
  </si>
  <si>
    <t>Source</t>
  </si>
  <si>
    <t>Sch 50E</t>
  </si>
  <si>
    <t>003</t>
  </si>
  <si>
    <t>Compact Flourescent</t>
  </si>
  <si>
    <t>50E-A</t>
  </si>
  <si>
    <t>50E-B</t>
  </si>
  <si>
    <t>Sch 51E</t>
  </si>
  <si>
    <t>51E</t>
  </si>
  <si>
    <t>Light Emitting Diode</t>
  </si>
  <si>
    <t>30.01 - 60</t>
  </si>
  <si>
    <t>60.01 - 90</t>
  </si>
  <si>
    <t>90.01 - 120</t>
  </si>
  <si>
    <t>120.01 - 150</t>
  </si>
  <si>
    <t>150.01 - 180</t>
  </si>
  <si>
    <t>180.01 - 210</t>
  </si>
  <si>
    <t>210.01 - 240</t>
  </si>
  <si>
    <t>240.01 - 270</t>
  </si>
  <si>
    <t>270.01 - 300</t>
  </si>
  <si>
    <t>Sch 52E</t>
  </si>
  <si>
    <t xml:space="preserve">52E </t>
  </si>
  <si>
    <t>Metal Halide</t>
  </si>
  <si>
    <t>Sch 53E</t>
  </si>
  <si>
    <t>53E - Company Owned</t>
  </si>
  <si>
    <t>53E - Customer Owned</t>
  </si>
  <si>
    <t>Sch 54E</t>
  </si>
  <si>
    <t>54E</t>
  </si>
  <si>
    <t>Sch 55 &amp; 56</t>
  </si>
  <si>
    <t>55E &amp; 56E</t>
  </si>
  <si>
    <t>Sch 58 &amp; 59</t>
  </si>
  <si>
    <t>58E &amp; 59E - Directional</t>
  </si>
  <si>
    <t>58E &amp; 59E - Horizontal</t>
  </si>
  <si>
    <t>58E &amp; 59E</t>
  </si>
  <si>
    <t>300.01 - 400</t>
  </si>
  <si>
    <t>400.01 - 500</t>
  </si>
  <si>
    <t>500.01 - 600</t>
  </si>
  <si>
    <t>600.01 - 700</t>
  </si>
  <si>
    <t>700.01 - 800</t>
  </si>
  <si>
    <t>800.01 - 900</t>
  </si>
  <si>
    <t>Sch 57</t>
  </si>
  <si>
    <t>57E</t>
  </si>
  <si>
    <t>Per W charge</t>
  </si>
  <si>
    <t>Pole Rental Rates</t>
  </si>
  <si>
    <t>55 &amp; 56 - Old</t>
  </si>
  <si>
    <t>Pole</t>
  </si>
  <si>
    <t>55 &amp; 56 - New</t>
  </si>
  <si>
    <t>58 &amp; 59 - New</t>
  </si>
  <si>
    <t>Lighting Revenue Based on Inventory</t>
  </si>
  <si>
    <t>Lighting Revenue to Collect</t>
  </si>
  <si>
    <t>(e)</t>
  </si>
  <si>
    <t>= (d) * (e) * 12</t>
  </si>
  <si>
    <t>Proposed Charge Schedule 120 
Effective 5/1/2018</t>
  </si>
  <si>
    <t>Annual Estimated Revenue @ Rates Effective 4/30/2019 (Excluding Sch 120)</t>
  </si>
  <si>
    <t>Note 1 - Projected Revenue Includes Base Revenue plus Rider Schedules 95, 95A, 129, 132, 137, 140, 141, 142 &amp; 194</t>
  </si>
  <si>
    <t>May 1, 2018 Rate Impacts</t>
  </si>
  <si>
    <t>Base and Rider Rates Effective January 1, 2018</t>
  </si>
  <si>
    <t xml:space="preserve">Sch 40 Settlement </t>
  </si>
  <si>
    <t>Conservation 2018-2019 Biennial Budget ($M)</t>
  </si>
  <si>
    <t>Conservation 2014-2015 Biennial Budget ($M)</t>
  </si>
  <si>
    <t>Transportation Schedule 120 Decrease Eff 5-1-18</t>
  </si>
  <si>
    <t>Transportation Schedule 120 Rate Effective 5-1-18</t>
  </si>
  <si>
    <t>% Decrease</t>
  </si>
  <si>
    <t>Determination of Proposed Non-449 Conservation Customer Charge</t>
  </si>
  <si>
    <t>Revenue Requirement</t>
  </si>
  <si>
    <t>Effective May 2018</t>
  </si>
  <si>
    <t xml:space="preserve">Line No. </t>
  </si>
  <si>
    <t>Description</t>
  </si>
  <si>
    <t>Total Amount</t>
  </si>
  <si>
    <t>449 Accounts</t>
  </si>
  <si>
    <t>Non-449</t>
  </si>
  <si>
    <t>c = a + b</t>
  </si>
  <si>
    <t>Amounts to be Recovered</t>
  </si>
  <si>
    <t>2018 Conservation Budget (12 Months) (Note 1)</t>
  </si>
  <si>
    <t>True up of 2017/2018 - (Note 2)</t>
  </si>
  <si>
    <t>(Note 2)</t>
  </si>
  <si>
    <t xml:space="preserve"> = 1 + 2 </t>
  </si>
  <si>
    <t>Total Costs to be Recovered (Note 1)</t>
  </si>
  <si>
    <t>UPDATE ALL NUMBERS</t>
  </si>
  <si>
    <t>Conversion Factor (2017 GRC)</t>
  </si>
  <si>
    <t xml:space="preserve"> = 1 / 4</t>
  </si>
  <si>
    <t>2018 Conservation Costs Related Revenue Requirement</t>
  </si>
  <si>
    <t xml:space="preserve"> = 2 / 4</t>
  </si>
  <si>
    <t>True up of 2017/2018 Related Revenue Requirement</t>
  </si>
  <si>
    <t xml:space="preserve"> = 5 + 6</t>
  </si>
  <si>
    <t>Total Revenue Requirement (Note 1)</t>
  </si>
  <si>
    <t>(Note 1) The amount reflected in column b is based on expected expenditures for Sch 449 customers for the 2018 budget year as included in "E258 Large Power User - Self Directed Program" of the 2018 ACP Electric Sector view tab filed in UTC Docket No. UE-171087 and may not necessarily reflect the revenue requirement to be set in rates for Sch 449 customers.  The amount to collect from these customers will be determined in the Cost of Service workpapers.</t>
  </si>
  <si>
    <t>(Note 2) The true up for collections through April 2018 does not relate to Schedule 449 customers participating in conservation programs under Schedule 258.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</si>
</sst>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
    <numFmt numFmtId="167" formatCode="_(&quot;$&quot;* #,##0_);_(&quot;$&quot;* \(#,##0\);_(&quot;$&quot;* &quot;-&quot;??_);_(@_)"/>
    <numFmt numFmtId="168" formatCode="_(* #,##0.000000_);_(* \(#,##0.000000\);_(* &quot;-&quot;??_);_(@_)"/>
    <numFmt numFmtId="169" formatCode="_(&quot;$&quot;* #,##0.000000_);_(&quot;$&quot;* \(#,##0.000000\);_(&quot;$&quot;* &quot;-&quot;??_);_(@_)"/>
    <numFmt numFmtId="170" formatCode="&quot;$&quot;#,##0.00"/>
    <numFmt numFmtId="171" formatCode="0.00000\ \¢"/>
    <numFmt numFmtId="172" formatCode="#,##0.000000_);\(#,##0.000000\)"/>
    <numFmt numFmtId="173" formatCode="#,##0.0000"/>
    <numFmt numFmtId="174" formatCode="0.00000"/>
    <numFmt numFmtId="175" formatCode="&quot;$&quot;#,##0.000000"/>
  </numFmts>
  <fonts count="23" x14ac:knownFonts="1">
    <font>
      <sz val="10"/>
      <name val="Arial"/>
    </font>
    <font>
      <sz val="11"/>
      <color theme="1"/>
      <name val="Calibri"/>
      <family val="2"/>
      <scheme val="minor"/>
    </font>
    <font>
      <b/>
      <sz val="10"/>
      <name val="Arial"/>
      <family val="2"/>
    </font>
    <font>
      <sz val="10"/>
      <name val="Arial"/>
      <family val="2"/>
    </font>
    <font>
      <sz val="8"/>
      <name val="Arial"/>
      <family val="2"/>
    </font>
    <font>
      <sz val="10"/>
      <name val="Arial"/>
      <family val="2"/>
    </font>
    <font>
      <b/>
      <sz val="8"/>
      <name val="Arial"/>
      <family val="2"/>
    </font>
    <font>
      <sz val="10"/>
      <name val="Helv"/>
    </font>
    <font>
      <sz val="10"/>
      <color indexed="12"/>
      <name val="Arial"/>
      <family val="2"/>
    </font>
    <font>
      <b/>
      <sz val="10"/>
      <name val="Arial"/>
      <family val="2"/>
    </font>
    <font>
      <sz val="8"/>
      <color indexed="81"/>
      <name val="Tahoma"/>
      <family val="2"/>
    </font>
    <font>
      <b/>
      <sz val="8"/>
      <color indexed="81"/>
      <name val="Tahoma"/>
      <family val="2"/>
    </font>
    <font>
      <sz val="10"/>
      <name val="Times New Roman"/>
      <family val="1"/>
    </font>
    <font>
      <sz val="12"/>
      <name val="Arial"/>
      <family val="2"/>
    </font>
    <font>
      <sz val="6"/>
      <name val="Arial"/>
      <family val="2"/>
    </font>
    <font>
      <sz val="10"/>
      <color theme="1"/>
      <name val="Arial"/>
      <family val="2"/>
    </font>
    <font>
      <sz val="11"/>
      <name val="Calibri"/>
      <family val="2"/>
    </font>
    <font>
      <sz val="10"/>
      <color rgb="FFFF0000"/>
      <name val="Arial"/>
      <family val="2"/>
    </font>
    <font>
      <b/>
      <sz val="10"/>
      <color rgb="FFFF0000"/>
      <name val="Arial"/>
      <family val="2"/>
    </font>
    <font>
      <sz val="8"/>
      <color rgb="FFFF0000"/>
      <name val="Arial"/>
      <family val="2"/>
    </font>
    <font>
      <sz val="10"/>
      <color theme="1"/>
      <name val="Times New Roman"/>
      <family val="1"/>
    </font>
    <font>
      <sz val="9"/>
      <name val="Times New Roman"/>
      <family val="1"/>
    </font>
    <font>
      <sz val="10"/>
      <name val="Arial"/>
      <family val="2"/>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22" fillId="0" borderId="0" applyFont="0" applyFill="0" applyBorder="0" applyAlignment="0" applyProtection="0"/>
  </cellStyleXfs>
  <cellXfs count="421">
    <xf numFmtId="0" fontId="0" fillId="0" borderId="0" xfId="0"/>
    <xf numFmtId="164" fontId="3" fillId="0" borderId="4" xfId="0" quotePrefix="1" applyNumberFormat="1" applyFont="1" applyFill="1" applyBorder="1" applyAlignment="1">
      <alignment horizontal="center" wrapText="1"/>
    </xf>
    <xf numFmtId="0" fontId="3" fillId="0" borderId="4" xfId="0" applyFont="1" applyFill="1" applyBorder="1" applyAlignment="1">
      <alignment horizontal="center" wrapText="1"/>
    </xf>
    <xf numFmtId="0" fontId="3" fillId="0" borderId="0" xfId="0" quotePrefix="1" applyFont="1" applyFill="1" applyBorder="1" applyAlignment="1">
      <alignment horizontal="center" wrapText="1"/>
    </xf>
    <xf numFmtId="164"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xf numFmtId="0" fontId="3" fillId="0" borderId="0" xfId="0" applyFont="1" applyFill="1" applyBorder="1" applyAlignment="1">
      <alignment horizontal="centerContinuous"/>
    </xf>
    <xf numFmtId="164" fontId="3" fillId="0" borderId="0" xfId="0" applyNumberFormat="1" applyFont="1" applyFill="1" applyBorder="1" applyAlignment="1">
      <alignment horizontal="centerContinuous"/>
    </xf>
    <xf numFmtId="0" fontId="3" fillId="0" borderId="11" xfId="0" applyFont="1" applyFill="1" applyBorder="1" applyAlignment="1">
      <alignment horizontal="centerContinuous"/>
    </xf>
    <xf numFmtId="0" fontId="3" fillId="0" borderId="12" xfId="0" applyFont="1" applyFill="1" applyBorder="1" applyAlignment="1">
      <alignment horizontal="centerContinuous"/>
    </xf>
    <xf numFmtId="0" fontId="3" fillId="0" borderId="12" xfId="0" applyFont="1" applyFill="1" applyBorder="1" applyAlignment="1">
      <alignment horizontal="center" wrapText="1"/>
    </xf>
    <xf numFmtId="168" fontId="3" fillId="0" borderId="0" xfId="0" applyNumberFormat="1" applyFont="1" applyFill="1" applyBorder="1"/>
    <xf numFmtId="164" fontId="3" fillId="0" borderId="0" xfId="0" quotePrefix="1" applyNumberFormat="1" applyFont="1" applyFill="1" applyBorder="1" applyAlignment="1">
      <alignment horizontal="center" wrapText="1"/>
    </xf>
    <xf numFmtId="0" fontId="5" fillId="0" borderId="9" xfId="0" applyFont="1" applyFill="1" applyBorder="1" applyAlignment="1">
      <alignment horizontal="center" vertical="top"/>
    </xf>
    <xf numFmtId="0" fontId="5" fillId="0" borderId="0" xfId="0" applyFont="1" applyFill="1" applyBorder="1" applyAlignment="1">
      <alignment horizontal="center"/>
    </xf>
    <xf numFmtId="0" fontId="5" fillId="0" borderId="19" xfId="0" applyFont="1" applyFill="1" applyBorder="1" applyAlignment="1">
      <alignment horizontal="centerContinuous" wrapText="1"/>
    </xf>
    <xf numFmtId="0" fontId="5" fillId="0" borderId="0" xfId="0" applyFont="1" applyFill="1" applyBorder="1" applyAlignment="1">
      <alignment horizontal="center" wrapText="1"/>
    </xf>
    <xf numFmtId="0" fontId="5" fillId="0" borderId="0" xfId="0" quotePrefix="1" applyFont="1" applyFill="1" applyBorder="1" applyAlignment="1">
      <alignment horizontal="center" wrapText="1"/>
    </xf>
    <xf numFmtId="0" fontId="5" fillId="0" borderId="4" xfId="0" applyFont="1" applyFill="1" applyBorder="1" applyAlignment="1">
      <alignment horizontal="center"/>
    </xf>
    <xf numFmtId="0" fontId="12" fillId="0" borderId="0" xfId="0" applyFont="1" applyFill="1"/>
    <xf numFmtId="0" fontId="12" fillId="0" borderId="0" xfId="0" applyFont="1" applyFill="1" applyAlignment="1">
      <alignment horizontal="center" wrapText="1"/>
    </xf>
    <xf numFmtId="0" fontId="12" fillId="0" borderId="0" xfId="0" applyFont="1" applyFill="1" applyAlignment="1">
      <alignment wrapText="1"/>
    </xf>
    <xf numFmtId="0" fontId="0" fillId="0" borderId="0" xfId="0" applyFill="1"/>
    <xf numFmtId="169" fontId="3" fillId="0" borderId="0" xfId="0" applyNumberFormat="1" applyFont="1" applyFill="1" applyBorder="1"/>
    <xf numFmtId="0" fontId="3" fillId="0" borderId="9" xfId="0" applyFont="1" applyFill="1" applyBorder="1" applyAlignment="1">
      <alignment horizontal="centerContinuous"/>
    </xf>
    <xf numFmtId="0" fontId="7" fillId="0" borderId="0" xfId="0" applyFont="1" applyFill="1"/>
    <xf numFmtId="0" fontId="0" fillId="0" borderId="11" xfId="0" applyFill="1" applyBorder="1" applyAlignment="1">
      <alignment horizontal="center"/>
    </xf>
    <xf numFmtId="0" fontId="0" fillId="0" borderId="0" xfId="0" applyFill="1" applyBorder="1"/>
    <xf numFmtId="0" fontId="3" fillId="0" borderId="8" xfId="0" applyFont="1" applyFill="1" applyBorder="1" applyAlignment="1">
      <alignment horizontal="centerContinuous"/>
    </xf>
    <xf numFmtId="0" fontId="3" fillId="0" borderId="10" xfId="0" applyFont="1" applyFill="1" applyBorder="1" applyAlignment="1">
      <alignment horizontal="centerContinuous"/>
    </xf>
    <xf numFmtId="0" fontId="2" fillId="0" borderId="0" xfId="0" quotePrefix="1" applyFont="1" applyFill="1" applyBorder="1" applyAlignment="1">
      <alignment horizontal="centerContinuous"/>
    </xf>
    <xf numFmtId="0" fontId="2" fillId="0" borderId="4" xfId="0" quotePrefix="1" applyFont="1" applyFill="1" applyBorder="1" applyAlignment="1">
      <alignment horizontal="centerContinuous"/>
    </xf>
    <xf numFmtId="0" fontId="3" fillId="0" borderId="4" xfId="0" applyFont="1" applyFill="1" applyBorder="1" applyAlignment="1">
      <alignment horizontal="centerContinuous"/>
    </xf>
    <xf numFmtId="0" fontId="3" fillId="0" borderId="14" xfId="0" applyFont="1" applyFill="1" applyBorder="1" applyAlignment="1">
      <alignment horizontal="centerContinuous"/>
    </xf>
    <xf numFmtId="0" fontId="3" fillId="0" borderId="16" xfId="0" applyFont="1" applyFill="1" applyBorder="1" applyAlignment="1">
      <alignment horizontal="center" vertical="top"/>
    </xf>
    <xf numFmtId="0" fontId="3" fillId="0" borderId="1" xfId="0" applyFont="1" applyFill="1" applyBorder="1" applyAlignment="1">
      <alignment horizontal="center" vertical="top"/>
    </xf>
    <xf numFmtId="0" fontId="3" fillId="0" borderId="1" xfId="0" quotePrefix="1" applyFont="1" applyFill="1" applyBorder="1" applyAlignment="1">
      <alignment horizontal="center" vertical="top" wrapText="1"/>
    </xf>
    <xf numFmtId="0" fontId="3" fillId="0" borderId="17" xfId="0" quotePrefix="1" applyFont="1" applyFill="1" applyBorder="1" applyAlignment="1">
      <alignment horizontal="center" vertical="top" wrapText="1"/>
    </xf>
    <xf numFmtId="0" fontId="3" fillId="0" borderId="21" xfId="0" applyFont="1" applyFill="1" applyBorder="1" applyAlignment="1">
      <alignment horizontal="centerContinuous"/>
    </xf>
    <xf numFmtId="0" fontId="3" fillId="0" borderId="19" xfId="0" applyFont="1" applyFill="1" applyBorder="1" applyAlignment="1">
      <alignment horizontal="center" wrapText="1"/>
    </xf>
    <xf numFmtId="0" fontId="3" fillId="0" borderId="19" xfId="0" quotePrefix="1" applyFont="1" applyFill="1" applyBorder="1" applyAlignment="1">
      <alignment horizontal="center" wrapText="1"/>
    </xf>
    <xf numFmtId="0" fontId="3" fillId="0" borderId="22" xfId="0" applyFont="1" applyFill="1" applyBorder="1" applyAlignment="1">
      <alignment horizontal="center" wrapText="1"/>
    </xf>
    <xf numFmtId="0" fontId="3" fillId="0" borderId="0" xfId="0" quotePrefix="1" applyFont="1" applyFill="1" applyBorder="1" applyAlignment="1">
      <alignment horizontal="left"/>
    </xf>
    <xf numFmtId="167" fontId="3" fillId="0" borderId="0" xfId="0" applyNumberFormat="1" applyFont="1" applyFill="1" applyBorder="1"/>
    <xf numFmtId="0" fontId="3" fillId="0" borderId="12" xfId="0" applyFont="1" applyFill="1" applyBorder="1"/>
    <xf numFmtId="0" fontId="3" fillId="0" borderId="11" xfId="0" applyFont="1" applyFill="1" applyBorder="1" applyAlignment="1">
      <alignment horizontal="center"/>
    </xf>
    <xf numFmtId="0" fontId="3" fillId="0" borderId="0" xfId="0" applyFont="1" applyFill="1" applyBorder="1" applyAlignment="1">
      <alignment horizontal="left"/>
    </xf>
    <xf numFmtId="0" fontId="3" fillId="0" borderId="0" xfId="0" quotePrefix="1" applyFont="1" applyFill="1" applyBorder="1" applyAlignment="1">
      <alignment horizontal="left" indent="1"/>
    </xf>
    <xf numFmtId="167" fontId="3" fillId="0" borderId="2" xfId="0" applyNumberFormat="1" applyFont="1" applyFill="1" applyBorder="1"/>
    <xf numFmtId="169" fontId="3" fillId="0" borderId="15" xfId="0" applyNumberFormat="1" applyFont="1" applyFill="1" applyBorder="1"/>
    <xf numFmtId="169" fontId="3" fillId="0" borderId="12" xfId="0" applyNumberFormat="1" applyFont="1" applyFill="1" applyBorder="1"/>
    <xf numFmtId="0" fontId="3" fillId="0" borderId="0" xfId="0" applyFont="1" applyFill="1" applyBorder="1" applyAlignment="1">
      <alignment horizontal="left" indent="1"/>
    </xf>
    <xf numFmtId="169" fontId="3" fillId="0" borderId="12" xfId="0" applyNumberFormat="1" applyFont="1" applyFill="1" applyBorder="1" applyAlignment="1">
      <alignment horizontal="center"/>
    </xf>
    <xf numFmtId="0" fontId="3" fillId="0" borderId="11" xfId="0" applyFont="1" applyFill="1" applyBorder="1"/>
    <xf numFmtId="166" fontId="3" fillId="0" borderId="12" xfId="0" applyNumberFormat="1" applyFont="1" applyFill="1" applyBorder="1"/>
    <xf numFmtId="14" fontId="3" fillId="0" borderId="0" xfId="0" applyNumberFormat="1" applyFont="1" applyFill="1"/>
    <xf numFmtId="17" fontId="3" fillId="0" borderId="6" xfId="0" quotePrefix="1" applyNumberFormat="1" applyFont="1" applyFill="1" applyBorder="1" applyAlignment="1">
      <alignment horizontal="center" wrapText="1"/>
    </xf>
    <xf numFmtId="0" fontId="3" fillId="0" borderId="0" xfId="0" applyFont="1" applyFill="1" applyAlignment="1">
      <alignment horizontal="left"/>
    </xf>
    <xf numFmtId="167" fontId="0" fillId="0" borderId="0" xfId="0" applyNumberFormat="1" applyFont="1" applyFill="1"/>
    <xf numFmtId="0" fontId="3" fillId="0" borderId="0" xfId="0" quotePrefix="1" applyFont="1" applyFill="1" applyAlignment="1">
      <alignment horizontal="left"/>
    </xf>
    <xf numFmtId="0" fontId="3" fillId="0" borderId="0" xfId="0" applyFont="1" applyFill="1" applyAlignment="1">
      <alignment horizontal="left" indent="1"/>
    </xf>
    <xf numFmtId="0" fontId="3" fillId="0" borderId="0" xfId="0" quotePrefix="1" applyFont="1" applyFill="1" applyAlignment="1">
      <alignment horizontal="left" indent="1"/>
    </xf>
    <xf numFmtId="167" fontId="0" fillId="0" borderId="2" xfId="0" applyNumberFormat="1" applyFont="1" applyFill="1" applyBorder="1"/>
    <xf numFmtId="167" fontId="0" fillId="0" borderId="5" xfId="0" applyNumberFormat="1" applyFont="1" applyFill="1" applyBorder="1"/>
    <xf numFmtId="167" fontId="0" fillId="0" borderId="0" xfId="0" applyNumberFormat="1" applyFont="1" applyFill="1" applyBorder="1"/>
    <xf numFmtId="164" fontId="0" fillId="0" borderId="0" xfId="0" applyNumberFormat="1" applyFont="1" applyFill="1"/>
    <xf numFmtId="0" fontId="0" fillId="0" borderId="6" xfId="0" quotePrefix="1" applyFill="1" applyBorder="1" applyAlignment="1">
      <alignment horizontal="center" wrapText="1"/>
    </xf>
    <xf numFmtId="44" fontId="3" fillId="0" borderId="0" xfId="0" applyNumberFormat="1" applyFont="1" applyFill="1"/>
    <xf numFmtId="44" fontId="3" fillId="0" borderId="5" xfId="0" applyNumberFormat="1" applyFont="1" applyFill="1" applyBorder="1"/>
    <xf numFmtId="44" fontId="0" fillId="0" borderId="0" xfId="0" applyNumberFormat="1" applyFont="1" applyFill="1"/>
    <xf numFmtId="0" fontId="3" fillId="0" borderId="0" xfId="0" applyFont="1" applyFill="1"/>
    <xf numFmtId="0" fontId="0" fillId="0" borderId="3" xfId="0" quotePrefix="1" applyFill="1" applyBorder="1" applyAlignment="1">
      <alignment horizontal="center" wrapText="1"/>
    </xf>
    <xf numFmtId="0" fontId="0" fillId="0" borderId="23" xfId="0" quotePrefix="1" applyFill="1" applyBorder="1" applyAlignment="1">
      <alignment horizontal="center" wrapText="1"/>
    </xf>
    <xf numFmtId="0" fontId="0" fillId="0" borderId="24" xfId="0" quotePrefix="1" applyFill="1" applyBorder="1" applyAlignment="1">
      <alignment horizontal="center" wrapText="1"/>
    </xf>
    <xf numFmtId="0" fontId="0" fillId="0" borderId="25" xfId="0" quotePrefix="1" applyFill="1" applyBorder="1" applyAlignment="1">
      <alignment horizontal="center" wrapText="1"/>
    </xf>
    <xf numFmtId="169" fontId="3" fillId="0" borderId="24" xfId="0" applyNumberFormat="1" applyFont="1" applyFill="1" applyBorder="1"/>
    <xf numFmtId="169" fontId="3" fillId="0" borderId="25" xfId="0" applyNumberFormat="1" applyFont="1" applyFill="1" applyBorder="1"/>
    <xf numFmtId="169" fontId="3" fillId="0" borderId="26" xfId="0" applyNumberFormat="1" applyFont="1" applyFill="1" applyBorder="1"/>
    <xf numFmtId="169" fontId="3" fillId="0" borderId="27" xfId="0" applyNumberFormat="1" applyFont="1" applyFill="1" applyBorder="1"/>
    <xf numFmtId="169" fontId="3" fillId="0" borderId="28" xfId="0" applyNumberFormat="1" applyFont="1" applyFill="1" applyBorder="1"/>
    <xf numFmtId="169" fontId="3" fillId="0" borderId="29" xfId="0" applyNumberFormat="1" applyFont="1" applyFill="1" applyBorder="1"/>
    <xf numFmtId="0" fontId="0" fillId="0" borderId="26" xfId="0" applyFill="1" applyBorder="1"/>
    <xf numFmtId="0" fontId="0" fillId="0" borderId="27" xfId="0" applyFill="1" applyBorder="1"/>
    <xf numFmtId="169" fontId="3" fillId="0" borderId="26" xfId="0" quotePrefix="1" applyNumberFormat="1" applyFont="1" applyFill="1" applyBorder="1" applyAlignment="1"/>
    <xf numFmtId="169" fontId="3" fillId="0" borderId="27" xfId="0" quotePrefix="1" applyNumberFormat="1" applyFont="1" applyFill="1" applyBorder="1" applyAlignment="1"/>
    <xf numFmtId="169" fontId="3" fillId="0" borderId="28" xfId="0" quotePrefix="1" applyNumberFormat="1" applyFont="1" applyFill="1" applyBorder="1" applyAlignment="1"/>
    <xf numFmtId="169" fontId="3" fillId="0" borderId="29" xfId="0" quotePrefix="1" applyNumberFormat="1" applyFont="1" applyFill="1" applyBorder="1" applyAlignment="1"/>
    <xf numFmtId="169" fontId="0" fillId="0" borderId="26" xfId="0" applyNumberFormat="1" applyFill="1" applyBorder="1"/>
    <xf numFmtId="169" fontId="0" fillId="0" borderId="27" xfId="0" applyNumberFormat="1" applyFill="1" applyBorder="1"/>
    <xf numFmtId="169" fontId="0" fillId="0" borderId="30" xfId="0" applyNumberFormat="1" applyFill="1" applyBorder="1"/>
    <xf numFmtId="169" fontId="0" fillId="0" borderId="31" xfId="0" applyNumberFormat="1" applyFill="1" applyBorder="1"/>
    <xf numFmtId="0" fontId="0" fillId="0" borderId="0" xfId="0" applyFill="1" applyAlignment="1">
      <alignment horizontal="center" wrapText="1"/>
    </xf>
    <xf numFmtId="164" fontId="3" fillId="0" borderId="6" xfId="0" quotePrefix="1" applyNumberFormat="1" applyFont="1" applyFill="1" applyBorder="1" applyAlignment="1">
      <alignment horizontal="center" wrapText="1"/>
    </xf>
    <xf numFmtId="0" fontId="3" fillId="0" borderId="6" xfId="0" quotePrefix="1" applyFont="1" applyFill="1" applyBorder="1" applyAlignment="1">
      <alignment horizontal="center" wrapText="1"/>
    </xf>
    <xf numFmtId="164" fontId="3" fillId="0" borderId="14" xfId="0" quotePrefix="1" applyNumberFormat="1" applyFont="1" applyFill="1" applyBorder="1" applyAlignment="1">
      <alignment horizontal="center" wrapText="1"/>
    </xf>
    <xf numFmtId="0" fontId="3" fillId="0" borderId="14" xfId="0" applyFont="1" applyFill="1" applyBorder="1" applyAlignment="1">
      <alignment horizontal="center" wrapText="1"/>
    </xf>
    <xf numFmtId="0" fontId="3" fillId="0" borderId="6" xfId="0" applyFont="1" applyFill="1" applyBorder="1" applyAlignment="1">
      <alignment horizontal="center" wrapText="1"/>
    </xf>
    <xf numFmtId="167" fontId="12" fillId="0" borderId="0" xfId="0" applyNumberFormat="1" applyFont="1" applyFill="1"/>
    <xf numFmtId="164" fontId="3" fillId="0" borderId="2" xfId="0" applyNumberFormat="1" applyFont="1" applyFill="1" applyBorder="1"/>
    <xf numFmtId="0" fontId="3" fillId="0" borderId="16" xfId="0" applyFont="1" applyFill="1" applyBorder="1" applyAlignment="1">
      <alignment horizontal="center" wrapText="1"/>
    </xf>
    <xf numFmtId="0" fontId="3" fillId="0" borderId="1" xfId="0" quotePrefix="1" applyFont="1" applyFill="1" applyBorder="1" applyAlignment="1">
      <alignment horizontal="center" wrapText="1"/>
    </xf>
    <xf numFmtId="0" fontId="3" fillId="0" borderId="17" xfId="0" quotePrefix="1" applyFont="1" applyFill="1" applyBorder="1" applyAlignment="1">
      <alignment horizontal="center" wrapText="1"/>
    </xf>
    <xf numFmtId="0" fontId="3" fillId="0" borderId="1" xfId="0" applyFont="1" applyFill="1" applyBorder="1" applyAlignment="1">
      <alignment horizontal="center" wrapText="1"/>
    </xf>
    <xf numFmtId="0" fontId="3" fillId="0" borderId="17" xfId="0" applyFont="1" applyFill="1" applyBorder="1" applyAlignment="1">
      <alignment horizontal="center" wrapText="1"/>
    </xf>
    <xf numFmtId="164" fontId="3" fillId="0" borderId="11" xfId="0" applyNumberFormat="1" applyFont="1" applyFill="1" applyBorder="1"/>
    <xf numFmtId="164" fontId="3" fillId="0" borderId="0" xfId="0" applyNumberFormat="1" applyFont="1" applyFill="1" applyBorder="1"/>
    <xf numFmtId="164" fontId="3" fillId="0" borderId="12" xfId="0" applyNumberFormat="1" applyFont="1" applyFill="1" applyBorder="1"/>
    <xf numFmtId="0" fontId="3" fillId="0" borderId="13" xfId="0" applyFont="1" applyFill="1" applyBorder="1"/>
    <xf numFmtId="0" fontId="3" fillId="0" borderId="4" xfId="0" applyFont="1" applyFill="1" applyBorder="1"/>
    <xf numFmtId="0" fontId="3" fillId="0" borderId="14" xfId="0" applyFont="1" applyFill="1" applyBorder="1"/>
    <xf numFmtId="164" fontId="1" fillId="0" borderId="0" xfId="0" applyNumberFormat="1" applyFont="1" applyFill="1"/>
    <xf numFmtId="0" fontId="2" fillId="0" borderId="12" xfId="0" applyFont="1" applyFill="1" applyBorder="1" applyAlignment="1">
      <alignment horizontal="center"/>
    </xf>
    <xf numFmtId="0" fontId="4" fillId="0" borderId="12" xfId="0" quotePrefix="1" applyFont="1" applyFill="1" applyBorder="1" applyAlignment="1">
      <alignment horizontal="center"/>
    </xf>
    <xf numFmtId="0" fontId="1" fillId="0" borderId="0" xfId="0" quotePrefix="1" applyFont="1" applyFill="1" applyAlignment="1">
      <alignment horizontal="left"/>
    </xf>
    <xf numFmtId="0" fontId="1" fillId="0" borderId="0" xfId="0" applyFont="1" applyFill="1" applyBorder="1"/>
    <xf numFmtId="0" fontId="6" fillId="0" borderId="12" xfId="0" quotePrefix="1" applyFont="1" applyFill="1" applyBorder="1" applyAlignment="1">
      <alignment horizontal="right"/>
    </xf>
    <xf numFmtId="41" fontId="4" fillId="0" borderId="2" xfId="0" applyNumberFormat="1" applyFont="1" applyFill="1" applyBorder="1" applyAlignment="1">
      <alignment horizontal="right"/>
    </xf>
    <xf numFmtId="41" fontId="4" fillId="0" borderId="15" xfId="0" applyNumberFormat="1" applyFont="1" applyFill="1" applyBorder="1" applyAlignment="1">
      <alignment horizontal="right"/>
    </xf>
    <xf numFmtId="37" fontId="1" fillId="0" borderId="0" xfId="0" applyNumberFormat="1" applyFont="1" applyFill="1"/>
    <xf numFmtId="0" fontId="6" fillId="0" borderId="0" xfId="0" quotePrefix="1" applyFont="1" applyFill="1" applyBorder="1" applyAlignment="1">
      <alignment horizontal="right"/>
    </xf>
    <xf numFmtId="3" fontId="4" fillId="0" borderId="0" xfId="0" applyNumberFormat="1" applyFont="1" applyFill="1" applyBorder="1" applyAlignment="1">
      <alignment horizontal="right"/>
    </xf>
    <xf numFmtId="3" fontId="4" fillId="0" borderId="12" xfId="0" applyNumberFormat="1" applyFont="1" applyFill="1" applyBorder="1" applyAlignment="1">
      <alignment horizontal="right"/>
    </xf>
    <xf numFmtId="0" fontId="4" fillId="0" borderId="4" xfId="0" applyFont="1" applyFill="1" applyBorder="1" applyAlignment="1">
      <alignment horizontal="center"/>
    </xf>
    <xf numFmtId="0" fontId="4" fillId="0" borderId="14" xfId="0" applyFont="1" applyFill="1" applyBorder="1" applyAlignment="1">
      <alignment horizontal="center"/>
    </xf>
    <xf numFmtId="41" fontId="4" fillId="0" borderId="19" xfId="0" applyNumberFormat="1" applyFont="1" applyFill="1" applyBorder="1" applyAlignment="1">
      <alignment horizontal="right"/>
    </xf>
    <xf numFmtId="3" fontId="4" fillId="0" borderId="22"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14" xfId="0" applyNumberFormat="1" applyFont="1" applyFill="1" applyBorder="1" applyAlignment="1">
      <alignment horizontal="right"/>
    </xf>
    <xf numFmtId="3" fontId="1" fillId="0" borderId="0" xfId="0" applyNumberFormat="1" applyFont="1" applyFill="1"/>
    <xf numFmtId="0" fontId="1" fillId="0" borderId="0" xfId="0" applyFont="1" applyFill="1"/>
    <xf numFmtId="0" fontId="3" fillId="0" borderId="0" xfId="0" applyFont="1" applyFill="1" applyAlignment="1">
      <alignment horizontal="center" wrapText="1"/>
    </xf>
    <xf numFmtId="3" fontId="4" fillId="0" borderId="2" xfId="0" applyNumberFormat="1" applyFont="1" applyFill="1" applyBorder="1" applyAlignment="1">
      <alignment horizontal="right"/>
    </xf>
    <xf numFmtId="0" fontId="4" fillId="0" borderId="0" xfId="0" applyFont="1" applyFill="1" applyBorder="1" applyAlignment="1">
      <alignment horizontal="center"/>
    </xf>
    <xf numFmtId="3" fontId="4" fillId="0" borderId="19" xfId="0" applyNumberFormat="1" applyFont="1" applyFill="1" applyBorder="1" applyAlignment="1">
      <alignment horizontal="right"/>
    </xf>
    <xf numFmtId="174" fontId="4" fillId="0" borderId="19" xfId="0" applyNumberFormat="1" applyFont="1" applyFill="1" applyBorder="1" applyAlignment="1">
      <alignment horizontal="right"/>
    </xf>
    <xf numFmtId="174" fontId="4" fillId="0" borderId="2" xfId="0" applyNumberFormat="1" applyFont="1" applyFill="1" applyBorder="1" applyAlignment="1">
      <alignment horizontal="right"/>
    </xf>
    <xf numFmtId="41" fontId="19" fillId="0" borderId="0" xfId="0" applyNumberFormat="1" applyFont="1" applyFill="1" applyBorder="1" applyAlignment="1">
      <alignment horizontal="right"/>
    </xf>
    <xf numFmtId="3" fontId="19" fillId="0" borderId="0" xfId="0" applyNumberFormat="1" applyFont="1" applyFill="1" applyBorder="1" applyAlignment="1">
      <alignment horizontal="right"/>
    </xf>
    <xf numFmtId="174" fontId="19" fillId="0" borderId="0" xfId="0" applyNumberFormat="1" applyFont="1" applyFill="1" applyBorder="1" applyAlignment="1">
      <alignment horizontal="right"/>
    </xf>
    <xf numFmtId="10" fontId="19" fillId="0" borderId="0" xfId="0" applyNumberFormat="1" applyFont="1" applyFill="1" applyBorder="1" applyAlignment="1">
      <alignment horizontal="right"/>
    </xf>
    <xf numFmtId="41" fontId="19" fillId="0" borderId="6" xfId="0" applyNumberFormat="1" applyFont="1" applyFill="1" applyBorder="1" applyAlignment="1">
      <alignment horizontal="right"/>
    </xf>
    <xf numFmtId="3" fontId="19" fillId="0" borderId="6" xfId="0" applyNumberFormat="1" applyFont="1" applyFill="1" applyBorder="1" applyAlignment="1">
      <alignment horizontal="right"/>
    </xf>
    <xf numFmtId="174" fontId="19" fillId="0" borderId="6" xfId="0" applyNumberFormat="1" applyFont="1" applyFill="1" applyBorder="1" applyAlignment="1">
      <alignment horizontal="right"/>
    </xf>
    <xf numFmtId="10" fontId="19" fillId="0" borderId="6" xfId="0" applyNumberFormat="1" applyFont="1" applyFill="1" applyBorder="1" applyAlignment="1">
      <alignment horizontal="right"/>
    </xf>
    <xf numFmtId="0" fontId="20" fillId="0" borderId="0" xfId="0" applyFont="1" applyFill="1"/>
    <xf numFmtId="0" fontId="12" fillId="0" borderId="6" xfId="0" applyFont="1" applyFill="1" applyBorder="1" applyAlignment="1">
      <alignment horizontal="center" wrapText="1"/>
    </xf>
    <xf numFmtId="0" fontId="12" fillId="0" borderId="0" xfId="0" applyFont="1" applyFill="1" applyBorder="1" applyAlignment="1">
      <alignment horizontal="center" wrapText="1"/>
    </xf>
    <xf numFmtId="0" fontId="12" fillId="0" borderId="0" xfId="0" applyFont="1" applyFill="1" applyBorder="1" applyAlignment="1">
      <alignment horizontal="center"/>
    </xf>
    <xf numFmtId="0" fontId="12" fillId="0" borderId="0" xfId="0" quotePrefix="1" applyFont="1" applyFill="1" applyBorder="1" applyAlignment="1">
      <alignment horizontal="center" wrapText="1"/>
    </xf>
    <xf numFmtId="0" fontId="20" fillId="0" borderId="0" xfId="0" quotePrefix="1" applyFont="1" applyFill="1" applyAlignment="1">
      <alignment horizontal="center"/>
    </xf>
    <xf numFmtId="0" fontId="20" fillId="0" borderId="0" xfId="0" quotePrefix="1" applyFont="1" applyFill="1" applyAlignment="1">
      <alignment horizontal="center" wrapText="1"/>
    </xf>
    <xf numFmtId="0" fontId="12" fillId="0" borderId="0" xfId="0" applyFont="1" applyFill="1" applyBorder="1"/>
    <xf numFmtId="0" fontId="12" fillId="0" borderId="0" xfId="0" quotePrefix="1" applyFont="1" applyFill="1" applyBorder="1" applyAlignment="1">
      <alignment horizontal="left" indent="1"/>
    </xf>
    <xf numFmtId="0" fontId="12" fillId="0" borderId="0" xfId="0" quotePrefix="1" applyFont="1" applyFill="1" applyBorder="1" applyAlignment="1">
      <alignment horizontal="left"/>
    </xf>
    <xf numFmtId="164" fontId="20" fillId="0" borderId="0" xfId="0" applyNumberFormat="1" applyFont="1" applyFill="1"/>
    <xf numFmtId="0" fontId="12" fillId="0" borderId="0" xfId="0" quotePrefix="1" applyFont="1" applyFill="1" applyBorder="1" applyAlignment="1">
      <alignment horizontal="center"/>
    </xf>
    <xf numFmtId="0" fontId="12" fillId="0" borderId="0" xfId="0" applyNumberFormat="1" applyFont="1" applyFill="1" applyBorder="1"/>
    <xf numFmtId="0" fontId="12" fillId="0" borderId="0" xfId="0" applyFont="1" applyFill="1" applyBorder="1" applyAlignment="1"/>
    <xf numFmtId="164" fontId="12" fillId="0" borderId="0" xfId="0" applyNumberFormat="1" applyFont="1" applyFill="1" applyBorder="1" applyAlignment="1"/>
    <xf numFmtId="0" fontId="12" fillId="0" borderId="0" xfId="0" applyFont="1" applyFill="1" applyBorder="1" applyAlignment="1">
      <alignment horizontal="left"/>
    </xf>
    <xf numFmtId="164" fontId="12" fillId="0" borderId="0" xfId="0" applyNumberFormat="1" applyFont="1" applyFill="1" applyBorder="1"/>
    <xf numFmtId="0" fontId="12" fillId="0" borderId="0" xfId="0" applyFont="1" applyFill="1" applyBorder="1" applyAlignment="1">
      <alignment horizontal="left" indent="1"/>
    </xf>
    <xf numFmtId="0" fontId="20" fillId="0" borderId="0" xfId="0" quotePrefix="1" applyFont="1" applyFill="1" applyAlignment="1">
      <alignment horizontal="left"/>
    </xf>
    <xf numFmtId="41" fontId="20" fillId="0" borderId="0" xfId="0" applyNumberFormat="1" applyFont="1" applyFill="1"/>
    <xf numFmtId="0" fontId="20" fillId="0" borderId="0" xfId="0" applyFont="1" applyFill="1" applyAlignment="1">
      <alignment horizontal="left"/>
    </xf>
    <xf numFmtId="167" fontId="20" fillId="0" borderId="0" xfId="0" applyNumberFormat="1" applyFont="1" applyFill="1"/>
    <xf numFmtId="9" fontId="20" fillId="0" borderId="0" xfId="0" applyNumberFormat="1" applyFont="1" applyFill="1"/>
    <xf numFmtId="0" fontId="20" fillId="0" borderId="0" xfId="0" applyFont="1" applyFill="1" applyBorder="1" applyAlignment="1">
      <alignment horizontal="center"/>
    </xf>
    <xf numFmtId="0" fontId="20" fillId="0" borderId="0" xfId="0" applyFont="1" applyFill="1" applyBorder="1"/>
    <xf numFmtId="0" fontId="12" fillId="0" borderId="0" xfId="0" quotePrefix="1" applyFont="1" applyFill="1" applyBorder="1" applyAlignment="1">
      <alignment horizontal="right" wrapText="1"/>
    </xf>
    <xf numFmtId="170" fontId="20" fillId="0" borderId="0" xfId="0" applyNumberFormat="1" applyFont="1" applyFill="1" applyBorder="1"/>
    <xf numFmtId="164" fontId="12" fillId="0" borderId="0" xfId="0" applyNumberFormat="1" applyFont="1" applyFill="1" applyBorder="1" applyAlignment="1">
      <alignment horizontal="center"/>
    </xf>
    <xf numFmtId="164" fontId="21" fillId="0" borderId="0" xfId="0" applyNumberFormat="1" applyFont="1" applyFill="1" applyBorder="1"/>
    <xf numFmtId="175" fontId="20" fillId="0" borderId="0" xfId="0" applyNumberFormat="1" applyFont="1" applyFill="1" applyBorder="1"/>
    <xf numFmtId="164" fontId="0" fillId="0" borderId="0" xfId="1" applyNumberFormat="1" applyFont="1" applyFill="1"/>
    <xf numFmtId="164" fontId="0" fillId="0" borderId="2" xfId="1" applyNumberFormat="1" applyFont="1" applyFill="1" applyBorder="1"/>
    <xf numFmtId="164" fontId="0" fillId="0" borderId="5" xfId="1" applyNumberFormat="1" applyFont="1" applyFill="1" applyBorder="1"/>
    <xf numFmtId="164" fontId="0" fillId="0" borderId="0" xfId="1" applyNumberFormat="1" applyFont="1" applyFill="1" applyBorder="1"/>
    <xf numFmtId="0" fontId="17"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Border="1" applyAlignment="1">
      <alignment horizontal="center"/>
    </xf>
    <xf numFmtId="0" fontId="3" fillId="0" borderId="8" xfId="0" applyFont="1" applyFill="1" applyBorder="1"/>
    <xf numFmtId="0" fontId="3" fillId="0" borderId="9" xfId="0" applyFont="1" applyFill="1" applyBorder="1" applyAlignment="1">
      <alignment horizontal="center"/>
    </xf>
    <xf numFmtId="0" fontId="2" fillId="0" borderId="9" xfId="0" applyFont="1" applyFill="1" applyBorder="1"/>
    <xf numFmtId="0" fontId="3" fillId="0" borderId="10" xfId="0" applyFont="1" applyFill="1" applyBorder="1"/>
    <xf numFmtId="167" fontId="3" fillId="0" borderId="12" xfId="0" applyNumberFormat="1" applyFont="1" applyFill="1" applyBorder="1"/>
    <xf numFmtId="0" fontId="3" fillId="0" borderId="0" xfId="0" quotePrefix="1" applyFont="1" applyFill="1" applyBorder="1" applyAlignment="1">
      <alignment horizontal="center"/>
    </xf>
    <xf numFmtId="164" fontId="15" fillId="0" borderId="0" xfId="0" applyNumberFormat="1" applyFont="1" applyFill="1" applyBorder="1"/>
    <xf numFmtId="164" fontId="3" fillId="0" borderId="0" xfId="0" quotePrefix="1" applyNumberFormat="1" applyFont="1" applyFill="1" applyBorder="1" applyAlignment="1">
      <alignment horizontal="right"/>
    </xf>
    <xf numFmtId="0" fontId="3" fillId="0" borderId="7" xfId="0" applyFont="1" applyFill="1" applyBorder="1"/>
    <xf numFmtId="0" fontId="3" fillId="0" borderId="20" xfId="0" applyFont="1" applyFill="1" applyBorder="1"/>
    <xf numFmtId="167" fontId="3" fillId="0" borderId="6" xfId="0" applyNumberFormat="1" applyFont="1" applyFill="1" applyBorder="1"/>
    <xf numFmtId="167" fontId="3" fillId="0" borderId="18" xfId="0" applyNumberFormat="1" applyFont="1" applyFill="1" applyBorder="1"/>
    <xf numFmtId="0" fontId="3" fillId="0" borderId="13" xfId="0" applyFont="1" applyFill="1" applyBorder="1" applyAlignment="1">
      <alignment horizontal="center"/>
    </xf>
    <xf numFmtId="0" fontId="3" fillId="0" borderId="4"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xf numFmtId="172" fontId="8" fillId="0" borderId="0" xfId="0" applyNumberFormat="1" applyFont="1" applyFill="1" applyBorder="1"/>
    <xf numFmtId="172" fontId="8" fillId="0" borderId="12" xfId="0" applyNumberFormat="1" applyFont="1" applyFill="1" applyBorder="1"/>
    <xf numFmtId="164" fontId="0" fillId="0" borderId="7" xfId="0" applyNumberFormat="1" applyFont="1" applyFill="1" applyBorder="1"/>
    <xf numFmtId="164" fontId="3" fillId="0" borderId="7" xfId="0" quotePrefix="1" applyNumberFormat="1" applyFont="1" applyFill="1" applyBorder="1" applyAlignment="1">
      <alignment horizontal="right"/>
    </xf>
    <xf numFmtId="164" fontId="3" fillId="0" borderId="20" xfId="0" applyNumberFormat="1" applyFont="1" applyFill="1" applyBorder="1"/>
    <xf numFmtId="0" fontId="3" fillId="0" borderId="0" xfId="0" applyFont="1" applyFill="1" applyBorder="1" applyAlignment="1">
      <alignment horizontal="left" indent="2"/>
    </xf>
    <xf numFmtId="0" fontId="3" fillId="0" borderId="13" xfId="0" quotePrefix="1" applyFont="1" applyFill="1" applyBorder="1" applyAlignment="1"/>
    <xf numFmtId="0" fontId="3" fillId="0" borderId="4" xfId="0" applyFont="1" applyFill="1" applyBorder="1" applyAlignment="1"/>
    <xf numFmtId="0" fontId="3" fillId="0" borderId="14" xfId="0" applyFont="1" applyFill="1" applyBorder="1" applyAlignment="1"/>
    <xf numFmtId="0" fontId="3" fillId="0" borderId="0" xfId="0" applyFont="1" applyFill="1" applyAlignment="1"/>
    <xf numFmtId="0" fontId="16" fillId="0" borderId="0" xfId="0" applyFont="1" applyFill="1" applyAlignment="1">
      <alignment horizontal="left" wrapText="1"/>
    </xf>
    <xf numFmtId="0" fontId="3" fillId="0" borderId="0" xfId="0" quotePrefix="1" applyFont="1" applyFill="1" applyAlignment="1">
      <alignment horizontal="center"/>
    </xf>
    <xf numFmtId="0" fontId="0" fillId="0" borderId="0" xfId="0" quotePrefix="1" applyFill="1" applyAlignment="1">
      <alignment horizontal="left"/>
    </xf>
    <xf numFmtId="0" fontId="20" fillId="0" borderId="0" xfId="0" applyFont="1" applyFill="1" applyAlignment="1">
      <alignment horizontal="center"/>
    </xf>
    <xf numFmtId="0" fontId="3" fillId="0" borderId="9" xfId="0" quotePrefix="1" applyFont="1" applyFill="1" applyBorder="1" applyAlignment="1">
      <alignment horizontal="center"/>
    </xf>
    <xf numFmtId="0" fontId="3" fillId="0" borderId="10" xfId="0" quotePrefix="1" applyFont="1" applyFill="1" applyBorder="1" applyAlignment="1">
      <alignment horizontal="center"/>
    </xf>
    <xf numFmtId="0" fontId="3" fillId="0" borderId="0" xfId="0" applyFont="1" applyFill="1" applyAlignment="1">
      <alignment horizontal="center"/>
    </xf>
    <xf numFmtId="10" fontId="3" fillId="0" borderId="0" xfId="0" applyNumberFormat="1" applyFont="1" applyFill="1" applyBorder="1"/>
    <xf numFmtId="14" fontId="1" fillId="0" borderId="0" xfId="0" applyNumberFormat="1" applyFont="1" applyFill="1" applyAlignment="1" applyProtection="1">
      <alignment vertical="center"/>
    </xf>
    <xf numFmtId="0" fontId="13" fillId="0" borderId="0" xfId="0" applyFont="1" applyFill="1" applyAlignment="1">
      <alignment horizontal="centerContinuous"/>
    </xf>
    <xf numFmtId="0" fontId="13" fillId="0" borderId="0" xfId="0" applyFont="1" applyFill="1" applyAlignment="1">
      <alignment horizontal="center"/>
    </xf>
    <xf numFmtId="0" fontId="13" fillId="0" borderId="0" xfId="0" applyFont="1" applyFill="1" applyAlignment="1"/>
    <xf numFmtId="0" fontId="3" fillId="0" borderId="8" xfId="0" applyFont="1" applyFill="1" applyBorder="1" applyAlignment="1"/>
    <xf numFmtId="3" fontId="3" fillId="0" borderId="10" xfId="0" applyNumberFormat="1" applyFont="1" applyFill="1" applyBorder="1" applyAlignment="1"/>
    <xf numFmtId="0" fontId="3" fillId="0" borderId="8" xfId="0" applyFont="1" applyFill="1" applyBorder="1" applyAlignment="1">
      <alignment horizontal="left"/>
    </xf>
    <xf numFmtId="3" fontId="3" fillId="0" borderId="10" xfId="0" applyNumberFormat="1" applyFont="1" applyFill="1" applyBorder="1" applyAlignment="1">
      <alignment horizontal="right"/>
    </xf>
    <xf numFmtId="0" fontId="3" fillId="0" borderId="11" xfId="0" applyFont="1" applyFill="1" applyBorder="1" applyAlignment="1"/>
    <xf numFmtId="3" fontId="3" fillId="0" borderId="18" xfId="0" applyNumberFormat="1" applyFont="1" applyFill="1" applyBorder="1" applyAlignment="1"/>
    <xf numFmtId="0" fontId="3" fillId="0" borderId="11" xfId="0" applyFont="1" applyFill="1" applyBorder="1" applyAlignment="1">
      <alignment horizontal="left"/>
    </xf>
    <xf numFmtId="3" fontId="3" fillId="0" borderId="18" xfId="0" applyNumberFormat="1" applyFont="1" applyFill="1" applyBorder="1" applyAlignment="1">
      <alignment horizontal="right"/>
    </xf>
    <xf numFmtId="0" fontId="3" fillId="0" borderId="13" xfId="0" applyFont="1" applyFill="1" applyBorder="1" applyAlignment="1"/>
    <xf numFmtId="3" fontId="3" fillId="0" borderId="14" xfId="0" applyNumberFormat="1" applyFont="1" applyFill="1" applyBorder="1" applyAlignment="1"/>
    <xf numFmtId="0" fontId="3" fillId="0" borderId="13" xfId="0" applyFont="1" applyFill="1" applyBorder="1" applyAlignment="1">
      <alignment horizontal="left"/>
    </xf>
    <xf numFmtId="3" fontId="3" fillId="0" borderId="14" xfId="0" applyNumberFormat="1" applyFont="1" applyFill="1" applyBorder="1" applyAlignment="1">
      <alignment horizontal="right"/>
    </xf>
    <xf numFmtId="0" fontId="3" fillId="0" borderId="8" xfId="0" quotePrefix="1" applyFont="1" applyFill="1" applyBorder="1" applyAlignment="1">
      <alignment horizontal="center"/>
    </xf>
    <xf numFmtId="0" fontId="2" fillId="0" borderId="11" xfId="0" applyFont="1" applyFill="1" applyBorder="1" applyAlignment="1">
      <alignment horizontal="center"/>
    </xf>
    <xf numFmtId="0" fontId="2" fillId="0" borderId="0" xfId="0" applyFont="1" applyFill="1" applyBorder="1" applyAlignment="1">
      <alignment horizontal="center"/>
    </xf>
    <xf numFmtId="0" fontId="4" fillId="0" borderId="11" xfId="0" applyFont="1" applyFill="1" applyBorder="1" applyAlignment="1">
      <alignment horizontal="center"/>
    </xf>
    <xf numFmtId="0" fontId="4" fillId="0" borderId="0" xfId="0" applyFont="1" applyFill="1" applyBorder="1" applyAlignment="1">
      <alignment horizontal="center" wrapText="1"/>
    </xf>
    <xf numFmtId="0" fontId="4" fillId="0" borderId="0" xfId="0" quotePrefix="1" applyFont="1" applyFill="1" applyBorder="1" applyAlignment="1">
      <alignment horizontal="center"/>
    </xf>
    <xf numFmtId="0" fontId="4" fillId="0" borderId="0" xfId="0" applyFont="1" applyFill="1" applyAlignment="1">
      <alignment horizontal="center"/>
    </xf>
    <xf numFmtId="0" fontId="6" fillId="0" borderId="11" xfId="0" quotePrefix="1" applyFont="1" applyFill="1" applyBorder="1" applyAlignment="1">
      <alignment horizontal="center"/>
    </xf>
    <xf numFmtId="0" fontId="6" fillId="0" borderId="0" xfId="0" applyFont="1" applyFill="1" applyAlignment="1">
      <alignment horizontal="center"/>
    </xf>
    <xf numFmtId="0" fontId="4" fillId="0" borderId="33" xfId="0" quotePrefix="1" applyFont="1" applyFill="1" applyBorder="1" applyAlignment="1">
      <alignment horizontal="center"/>
    </xf>
    <xf numFmtId="10" fontId="4" fillId="0" borderId="2" xfId="0" applyNumberFormat="1" applyFont="1" applyFill="1" applyBorder="1" applyAlignment="1">
      <alignment horizontal="right"/>
    </xf>
    <xf numFmtId="10" fontId="4" fillId="0" borderId="0" xfId="0" applyNumberFormat="1" applyFont="1" applyFill="1" applyAlignment="1">
      <alignment horizontal="center"/>
    </xf>
    <xf numFmtId="0" fontId="4" fillId="0" borderId="33" xfId="0" applyFont="1" applyFill="1" applyBorder="1" applyAlignment="1">
      <alignment horizontal="center"/>
    </xf>
    <xf numFmtId="3" fontId="4" fillId="0" borderId="0" xfId="0" quotePrefix="1" applyNumberFormat="1" applyFont="1" applyFill="1" applyBorder="1" applyAlignment="1">
      <alignment horizontal="right"/>
    </xf>
    <xf numFmtId="0" fontId="4" fillId="0" borderId="13" xfId="0" applyFont="1" applyFill="1" applyBorder="1" applyAlignment="1">
      <alignment horizontal="center"/>
    </xf>
    <xf numFmtId="3" fontId="4" fillId="0" borderId="4" xfId="0" applyNumberFormat="1" applyFont="1" applyFill="1" applyBorder="1" applyAlignment="1">
      <alignment horizontal="center"/>
    </xf>
    <xf numFmtId="10" fontId="3" fillId="0" borderId="0" xfId="0" applyNumberFormat="1" applyFont="1" applyFill="1" applyAlignment="1">
      <alignment horizontal="center"/>
    </xf>
    <xf numFmtId="0" fontId="2" fillId="0" borderId="0" xfId="0" applyFont="1" applyFill="1" applyAlignment="1">
      <alignment horizontal="left"/>
    </xf>
    <xf numFmtId="0" fontId="4" fillId="0" borderId="21" xfId="0" applyFont="1" applyFill="1" applyBorder="1" applyAlignment="1">
      <alignment horizontal="center"/>
    </xf>
    <xf numFmtId="10" fontId="4" fillId="0" borderId="19" xfId="0" applyNumberFormat="1" applyFont="1" applyFill="1" applyBorder="1" applyAlignment="1">
      <alignment horizontal="right"/>
    </xf>
    <xf numFmtId="3" fontId="4" fillId="0" borderId="6" xfId="0" applyNumberFormat="1" applyFont="1" applyFill="1" applyBorder="1" applyAlignment="1">
      <alignment horizontal="right"/>
    </xf>
    <xf numFmtId="0" fontId="4" fillId="0" borderId="11" xfId="0" quotePrefix="1" applyFont="1" applyFill="1" applyBorder="1" applyAlignment="1">
      <alignment horizontal="center"/>
    </xf>
    <xf numFmtId="3" fontId="4" fillId="0" borderId="4" xfId="0" applyNumberFormat="1" applyFont="1" applyFill="1" applyBorder="1" applyAlignment="1">
      <alignment horizontal="right"/>
    </xf>
    <xf numFmtId="3" fontId="4" fillId="0" borderId="4" xfId="0" quotePrefix="1" applyNumberFormat="1" applyFont="1" applyFill="1" applyBorder="1" applyAlignment="1">
      <alignment horizontal="right"/>
    </xf>
    <xf numFmtId="0" fontId="18" fillId="0" borderId="0" xfId="0" applyFont="1" applyFill="1" applyBorder="1" applyAlignment="1">
      <alignment horizontal="left"/>
    </xf>
    <xf numFmtId="3" fontId="3" fillId="0" borderId="0" xfId="0" applyNumberFormat="1" applyFont="1" applyFill="1" applyAlignment="1">
      <alignment horizontal="right"/>
    </xf>
    <xf numFmtId="0" fontId="2" fillId="0" borderId="8" xfId="0" applyFont="1" applyFill="1" applyBorder="1" applyAlignment="1">
      <alignment horizontal="centerContinuous"/>
    </xf>
    <xf numFmtId="0" fontId="2" fillId="0" borderId="9" xfId="0" applyFont="1" applyFill="1" applyBorder="1" applyAlignment="1">
      <alignment horizontal="centerContinuous"/>
    </xf>
    <xf numFmtId="0" fontId="2" fillId="0" borderId="9" xfId="0" applyFont="1" applyFill="1" applyBorder="1" applyAlignment="1">
      <alignment horizontal="center"/>
    </xf>
    <xf numFmtId="0" fontId="2" fillId="0" borderId="10" xfId="0" applyFont="1" applyFill="1" applyBorder="1" applyAlignment="1">
      <alignment horizontal="center"/>
    </xf>
    <xf numFmtId="3" fontId="3" fillId="0" borderId="10" xfId="0" applyNumberFormat="1" applyFont="1" applyFill="1" applyBorder="1"/>
    <xf numFmtId="3" fontId="3" fillId="0" borderId="0" xfId="0" applyNumberFormat="1" applyFont="1" applyFill="1" applyAlignment="1"/>
    <xf numFmtId="0" fontId="2" fillId="0" borderId="11" xfId="0" applyFont="1" applyFill="1" applyBorder="1" applyAlignment="1">
      <alignment horizontal="centerContinuous"/>
    </xf>
    <xf numFmtId="0" fontId="2" fillId="0" borderId="0" xfId="0" applyFont="1" applyFill="1" applyBorder="1" applyAlignment="1">
      <alignment horizontal="centerContinuous"/>
    </xf>
    <xf numFmtId="3" fontId="3" fillId="0" borderId="12" xfId="0" applyNumberFormat="1" applyFont="1" applyFill="1" applyBorder="1" applyAlignment="1"/>
    <xf numFmtId="0" fontId="3" fillId="0" borderId="0" xfId="0" applyFont="1" applyFill="1" applyBorder="1" applyAlignment="1"/>
    <xf numFmtId="10" fontId="3" fillId="0" borderId="0" xfId="0" applyNumberFormat="1" applyFont="1" applyFill="1" applyBorder="1" applyAlignment="1"/>
    <xf numFmtId="10" fontId="3" fillId="0" borderId="12" xfId="0" applyNumberFormat="1" applyFont="1" applyFill="1" applyBorder="1" applyAlignment="1"/>
    <xf numFmtId="37" fontId="3" fillId="0" borderId="18" xfId="0" applyNumberFormat="1" applyFont="1" applyFill="1" applyBorder="1" applyAlignment="1"/>
    <xf numFmtId="0" fontId="3" fillId="0" borderId="34" xfId="0" applyFont="1" applyFill="1" applyBorder="1" applyAlignment="1"/>
    <xf numFmtId="3" fontId="3" fillId="0" borderId="35" xfId="0" applyNumberFormat="1" applyFont="1" applyFill="1" applyBorder="1" applyAlignment="1"/>
    <xf numFmtId="173" fontId="3" fillId="0" borderId="0" xfId="0" applyNumberFormat="1" applyFont="1" applyFill="1" applyAlignment="1"/>
    <xf numFmtId="0" fontId="3" fillId="0" borderId="32" xfId="0" applyFont="1" applyFill="1" applyBorder="1" applyAlignment="1"/>
    <xf numFmtId="0" fontId="3" fillId="0" borderId="6" xfId="0" applyFont="1" applyFill="1" applyBorder="1" applyAlignment="1"/>
    <xf numFmtId="10" fontId="3" fillId="0" borderId="6" xfId="0" applyNumberFormat="1" applyFont="1" applyFill="1" applyBorder="1" applyAlignment="1"/>
    <xf numFmtId="10" fontId="3" fillId="0" borderId="18" xfId="0" applyNumberFormat="1" applyFont="1" applyFill="1" applyBorder="1" applyAlignment="1"/>
    <xf numFmtId="10" fontId="3" fillId="0" borderId="4" xfId="0" applyNumberFormat="1" applyFont="1" applyFill="1" applyBorder="1" applyAlignment="1"/>
    <xf numFmtId="10" fontId="3" fillId="0" borderId="14" xfId="0" applyNumberFormat="1" applyFont="1" applyFill="1" applyBorder="1" applyAlignment="1">
      <alignment horizontal="right"/>
    </xf>
    <xf numFmtId="0" fontId="4" fillId="0" borderId="8" xfId="0" quotePrefix="1" applyFont="1" applyFill="1" applyBorder="1" applyAlignment="1">
      <alignment horizontal="center"/>
    </xf>
    <xf numFmtId="0" fontId="4" fillId="0" borderId="9" xfId="0" quotePrefix="1" applyFont="1" applyFill="1" applyBorder="1" applyAlignment="1">
      <alignment horizontal="center"/>
    </xf>
    <xf numFmtId="0" fontId="4" fillId="0" borderId="10" xfId="0" quotePrefix="1" applyFont="1" applyFill="1" applyBorder="1" applyAlignment="1">
      <alignment horizontal="center"/>
    </xf>
    <xf numFmtId="0" fontId="6" fillId="0" borderId="11" xfId="0" applyFont="1" applyFill="1" applyBorder="1" applyAlignment="1">
      <alignment horizontal="center"/>
    </xf>
    <xf numFmtId="0" fontId="6" fillId="0" borderId="0" xfId="0" applyFont="1" applyFill="1" applyBorder="1" applyAlignment="1">
      <alignment horizontal="center"/>
    </xf>
    <xf numFmtId="0" fontId="6" fillId="0" borderId="12" xfId="0" applyFont="1" applyFill="1" applyBorder="1" applyAlignment="1">
      <alignment horizontal="center"/>
    </xf>
    <xf numFmtId="0" fontId="3" fillId="0" borderId="12" xfId="0" applyFont="1" applyFill="1" applyBorder="1" applyAlignment="1">
      <alignment horizontal="center"/>
    </xf>
    <xf numFmtId="10" fontId="4" fillId="0" borderId="15" xfId="0" applyNumberFormat="1" applyFont="1" applyFill="1" applyBorder="1" applyAlignment="1">
      <alignment horizontal="right"/>
    </xf>
    <xf numFmtId="37" fontId="4" fillId="0" borderId="0" xfId="0" applyNumberFormat="1" applyFont="1" applyFill="1" applyBorder="1" applyAlignment="1">
      <alignment horizontal="right"/>
    </xf>
    <xf numFmtId="174" fontId="4" fillId="0" borderId="0" xfId="0" applyNumberFormat="1" applyFont="1" applyFill="1" applyBorder="1" applyAlignment="1">
      <alignment horizontal="right"/>
    </xf>
    <xf numFmtId="10" fontId="4" fillId="0" borderId="12" xfId="0" applyNumberFormat="1" applyFont="1" applyFill="1" applyBorder="1" applyAlignment="1">
      <alignment horizontal="right"/>
    </xf>
    <xf numFmtId="3" fontId="4" fillId="0" borderId="0" xfId="0" applyNumberFormat="1" applyFont="1" applyFill="1" applyBorder="1" applyAlignment="1">
      <alignment horizontal="center"/>
    </xf>
    <xf numFmtId="0" fontId="6" fillId="0" borderId="11" xfId="0" applyFont="1" applyFill="1" applyBorder="1" applyAlignment="1">
      <alignment horizontal="left"/>
    </xf>
    <xf numFmtId="10" fontId="4" fillId="0" borderId="22" xfId="0" applyNumberFormat="1" applyFont="1" applyFill="1" applyBorder="1" applyAlignment="1">
      <alignment horizontal="right"/>
    </xf>
    <xf numFmtId="0" fontId="4" fillId="0" borderId="0" xfId="0" quotePrefix="1" applyFont="1" applyFill="1" applyBorder="1" applyAlignment="1">
      <alignment horizontal="right"/>
    </xf>
    <xf numFmtId="0" fontId="4" fillId="0" borderId="12" xfId="0" quotePrefix="1" applyFont="1" applyFill="1" applyBorder="1" applyAlignment="1">
      <alignment horizontal="right"/>
    </xf>
    <xf numFmtId="0" fontId="17" fillId="0" borderId="0" xfId="0" applyFont="1" applyFill="1" applyAlignment="1">
      <alignment horizontal="center"/>
    </xf>
    <xf numFmtId="0" fontId="17" fillId="0" borderId="6" xfId="0" applyFont="1" applyFill="1" applyBorder="1" applyAlignment="1">
      <alignment horizontal="center"/>
    </xf>
    <xf numFmtId="0" fontId="7" fillId="0" borderId="0" xfId="0" applyFont="1" applyFill="1" applyBorder="1"/>
    <xf numFmtId="0" fontId="3" fillId="0" borderId="9" xfId="0" applyFont="1" applyFill="1" applyBorder="1" applyAlignment="1">
      <alignment horizontal="center" wrapText="1"/>
    </xf>
    <xf numFmtId="164" fontId="3" fillId="0" borderId="9" xfId="0" applyNumberFormat="1" applyFont="1" applyFill="1" applyBorder="1" applyAlignment="1">
      <alignment horizontal="center" wrapText="1"/>
    </xf>
    <xf numFmtId="164" fontId="3" fillId="0" borderId="9" xfId="0" quotePrefix="1" applyNumberFormat="1" applyFont="1" applyFill="1" applyBorder="1" applyAlignment="1">
      <alignment horizontal="center" wrapText="1"/>
    </xf>
    <xf numFmtId="6" fontId="0" fillId="0" borderId="0" xfId="0" applyNumberFormat="1" applyFont="1" applyFill="1"/>
    <xf numFmtId="6" fontId="7" fillId="0" borderId="0" xfId="0" applyNumberFormat="1" applyFont="1" applyFill="1"/>
    <xf numFmtId="0" fontId="3" fillId="0" borderId="10" xfId="0" applyFont="1" applyFill="1" applyBorder="1" applyAlignment="1">
      <alignment horizontal="center"/>
    </xf>
    <xf numFmtId="0" fontId="3" fillId="0" borderId="9" xfId="0" applyFont="1" applyFill="1" applyBorder="1" applyAlignment="1">
      <alignment horizontal="right"/>
    </xf>
    <xf numFmtId="0" fontId="3" fillId="0" borderId="0" xfId="0" applyFont="1" applyFill="1" applyBorder="1" applyAlignment="1">
      <alignment horizontal="right"/>
    </xf>
    <xf numFmtId="0" fontId="3" fillId="0" borderId="0" xfId="0" quotePrefix="1" applyFont="1" applyFill="1" applyBorder="1" applyAlignment="1">
      <alignment horizontal="right"/>
    </xf>
    <xf numFmtId="0" fontId="3" fillId="0" borderId="32" xfId="0" applyFont="1" applyFill="1" applyBorder="1" applyAlignment="1">
      <alignment horizontal="center" wrapText="1"/>
    </xf>
    <xf numFmtId="0" fontId="3" fillId="0" borderId="18" xfId="0" quotePrefix="1" applyFont="1" applyFill="1" applyBorder="1" applyAlignment="1">
      <alignment horizontal="center" wrapText="1"/>
    </xf>
    <xf numFmtId="0" fontId="3" fillId="0" borderId="11" xfId="0" applyFont="1" applyFill="1" applyBorder="1" applyAlignment="1">
      <alignment horizontal="center" wrapText="1"/>
    </xf>
    <xf numFmtId="0" fontId="3" fillId="0" borderId="12" xfId="0" quotePrefix="1" applyFont="1" applyFill="1" applyBorder="1" applyAlignment="1">
      <alignment horizontal="center" wrapText="1"/>
    </xf>
    <xf numFmtId="164" fontId="3" fillId="0" borderId="4" xfId="0" applyNumberFormat="1" applyFont="1" applyFill="1" applyBorder="1"/>
    <xf numFmtId="167" fontId="3" fillId="0" borderId="4" xfId="0" applyNumberFormat="1" applyFont="1" applyFill="1" applyBorder="1"/>
    <xf numFmtId="0" fontId="3" fillId="0" borderId="14" xfId="0" applyFont="1" applyFill="1" applyBorder="1" applyAlignment="1">
      <alignment horizontal="center"/>
    </xf>
    <xf numFmtId="0" fontId="5" fillId="0" borderId="0" xfId="0" applyFont="1" applyFill="1" applyBorder="1"/>
    <xf numFmtId="0" fontId="5" fillId="0" borderId="8" xfId="0" applyFont="1" applyFill="1" applyBorder="1" applyAlignment="1">
      <alignment horizontal="center" vertical="top"/>
    </xf>
    <xf numFmtId="0" fontId="5" fillId="0" borderId="9" xfId="0" applyFont="1" applyFill="1" applyBorder="1" applyAlignment="1">
      <alignment horizontal="center" vertical="top" wrapText="1"/>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9" xfId="0" quotePrefix="1" applyFont="1" applyFill="1" applyBorder="1" applyAlignment="1">
      <alignment horizontal="center" vertical="top"/>
    </xf>
    <xf numFmtId="0" fontId="5" fillId="0" borderId="0" xfId="0" applyFont="1" applyFill="1" applyBorder="1" applyAlignment="1">
      <alignment vertical="top"/>
    </xf>
    <xf numFmtId="0" fontId="5" fillId="0" borderId="11" xfId="0" applyFont="1" applyFill="1" applyBorder="1"/>
    <xf numFmtId="0" fontId="5" fillId="0" borderId="0" xfId="0" applyFont="1" applyFill="1" applyBorder="1" applyAlignment="1">
      <alignment horizontal="left"/>
    </xf>
    <xf numFmtId="0" fontId="5" fillId="0" borderId="12" xfId="0" applyFont="1" applyFill="1" applyBorder="1"/>
    <xf numFmtId="0" fontId="5" fillId="0" borderId="8" xfId="0" applyFont="1" applyFill="1" applyBorder="1" applyAlignment="1">
      <alignment wrapText="1"/>
    </xf>
    <xf numFmtId="0" fontId="5" fillId="0" borderId="9" xfId="0" applyFont="1" applyFill="1" applyBorder="1" applyAlignment="1">
      <alignment horizontal="left" wrapText="1"/>
    </xf>
    <xf numFmtId="0" fontId="5" fillId="0" borderId="9" xfId="0" applyFont="1" applyFill="1" applyBorder="1" applyAlignment="1">
      <alignment horizontal="center" wrapText="1"/>
    </xf>
    <xf numFmtId="0" fontId="5" fillId="0" borderId="9" xfId="0" applyFont="1" applyFill="1" applyBorder="1" applyAlignment="1">
      <alignment wrapText="1"/>
    </xf>
    <xf numFmtId="0" fontId="5" fillId="0" borderId="10" xfId="0" applyFont="1" applyFill="1" applyBorder="1" applyAlignment="1">
      <alignment wrapText="1"/>
    </xf>
    <xf numFmtId="0" fontId="5" fillId="0" borderId="0" xfId="0" applyFont="1" applyFill="1" applyBorder="1" applyAlignment="1">
      <alignment wrapText="1"/>
    </xf>
    <xf numFmtId="0" fontId="5" fillId="0" borderId="11" xfId="0" quotePrefix="1" applyFont="1" applyFill="1" applyBorder="1" applyAlignment="1">
      <alignment horizontal="center" wrapText="1"/>
    </xf>
    <xf numFmtId="0" fontId="5" fillId="0" borderId="0" xfId="0" applyFont="1" applyFill="1" applyBorder="1" applyAlignment="1">
      <alignment horizontal="left" wrapText="1"/>
    </xf>
    <xf numFmtId="0" fontId="5" fillId="0" borderId="12" xfId="0" applyFont="1" applyFill="1" applyBorder="1" applyAlignment="1">
      <alignment horizontal="center" wrapText="1"/>
    </xf>
    <xf numFmtId="0" fontId="5" fillId="0" borderId="13" xfId="0" applyFont="1" applyFill="1" applyBorder="1"/>
    <xf numFmtId="0" fontId="5" fillId="0" borderId="4" xfId="0" applyFont="1" applyFill="1" applyBorder="1" applyAlignment="1">
      <alignment horizontal="left"/>
    </xf>
    <xf numFmtId="0" fontId="5" fillId="0" borderId="4" xfId="0" applyFont="1" applyFill="1" applyBorder="1"/>
    <xf numFmtId="0" fontId="5" fillId="0" borderId="14" xfId="0" applyFont="1" applyFill="1" applyBorder="1"/>
    <xf numFmtId="0" fontId="5" fillId="0" borderId="11" xfId="0" quotePrefix="1" applyFont="1" applyFill="1" applyBorder="1" applyAlignment="1">
      <alignment horizontal="center"/>
    </xf>
    <xf numFmtId="169" fontId="5" fillId="0" borderId="0" xfId="0" applyNumberFormat="1" applyFont="1" applyFill="1" applyBorder="1"/>
    <xf numFmtId="169" fontId="9" fillId="0" borderId="0" xfId="0" applyNumberFormat="1" applyFont="1" applyFill="1" applyBorder="1"/>
    <xf numFmtId="3" fontId="5" fillId="0" borderId="0" xfId="0" applyNumberFormat="1" applyFont="1" applyFill="1" applyBorder="1" applyAlignment="1">
      <alignment horizontal="right"/>
    </xf>
    <xf numFmtId="166" fontId="5" fillId="0" borderId="0" xfId="0" applyNumberFormat="1" applyFont="1" applyFill="1" applyBorder="1"/>
    <xf numFmtId="3" fontId="5" fillId="0" borderId="0" xfId="0" applyNumberFormat="1" applyFont="1" applyFill="1" applyBorder="1" applyAlignment="1">
      <alignment horizontal="center"/>
    </xf>
    <xf numFmtId="0" fontId="5" fillId="0" borderId="11" xfId="0" applyFont="1" applyFill="1" applyBorder="1" applyAlignment="1">
      <alignment horizontal="center"/>
    </xf>
    <xf numFmtId="166" fontId="9" fillId="0" borderId="0" xfId="0" applyNumberFormat="1" applyFont="1" applyFill="1" applyBorder="1"/>
    <xf numFmtId="0" fontId="5" fillId="0" borderId="0" xfId="0" quotePrefix="1" applyFont="1" applyFill="1" applyBorder="1" applyAlignment="1">
      <alignment horizontal="left"/>
    </xf>
    <xf numFmtId="0" fontId="5" fillId="0" borderId="13" xfId="0" quotePrefix="1" applyFont="1" applyFill="1" applyBorder="1" applyAlignment="1">
      <alignment horizontal="center"/>
    </xf>
    <xf numFmtId="0" fontId="5" fillId="0" borderId="4" xfId="0" quotePrefix="1" applyFont="1" applyFill="1" applyBorder="1" applyAlignment="1">
      <alignment horizontal="left"/>
    </xf>
    <xf numFmtId="166" fontId="5" fillId="0" borderId="4" xfId="0" applyNumberFormat="1" applyFont="1" applyFill="1" applyBorder="1"/>
    <xf numFmtId="166" fontId="9" fillId="0" borderId="4" xfId="0" applyNumberFormat="1" applyFont="1" applyFill="1" applyBorder="1"/>
    <xf numFmtId="3" fontId="5" fillId="0" borderId="4" xfId="0" applyNumberFormat="1" applyFont="1" applyFill="1" applyBorder="1" applyAlignment="1">
      <alignment horizontal="right"/>
    </xf>
    <xf numFmtId="171" fontId="5" fillId="0" borderId="4" xfId="0" applyNumberFormat="1" applyFont="1" applyFill="1" applyBorder="1"/>
    <xf numFmtId="0" fontId="9" fillId="0" borderId="0" xfId="0" applyFont="1" applyFill="1" applyBorder="1" applyAlignment="1"/>
    <xf numFmtId="166" fontId="3" fillId="0" borderId="0" xfId="0" applyNumberFormat="1" applyFont="1" applyFill="1" applyBorder="1"/>
    <xf numFmtId="44" fontId="3" fillId="0" borderId="0" xfId="0" applyNumberFormat="1" applyFont="1" applyFill="1" applyBorder="1"/>
    <xf numFmtId="0" fontId="3" fillId="0" borderId="0" xfId="0" quotePrefix="1" applyFont="1" applyFill="1" applyBorder="1" applyAlignment="1"/>
    <xf numFmtId="0" fontId="2" fillId="0" borderId="0" xfId="0" quotePrefix="1" applyFont="1" applyFill="1" applyBorder="1" applyAlignment="1">
      <alignment horizontal="left"/>
    </xf>
    <xf numFmtId="164" fontId="2" fillId="0" borderId="0" xfId="0" applyNumberFormat="1" applyFont="1" applyFill="1" applyBorder="1"/>
    <xf numFmtId="0" fontId="2" fillId="0" borderId="0" xfId="0" applyFont="1" applyFill="1" applyBorder="1"/>
    <xf numFmtId="167" fontId="2" fillId="0" borderId="0" xfId="0" applyNumberFormat="1" applyFont="1" applyFill="1" applyBorder="1"/>
    <xf numFmtId="164" fontId="3" fillId="0" borderId="9" xfId="0" applyNumberFormat="1" applyFont="1" applyFill="1" applyBorder="1" applyAlignment="1">
      <alignment horizontal="centerContinuous"/>
    </xf>
    <xf numFmtId="164" fontId="3" fillId="0" borderId="12" xfId="0" applyNumberFormat="1" applyFont="1" applyFill="1" applyBorder="1" applyAlignment="1">
      <alignment horizontal="centerContinuous"/>
    </xf>
    <xf numFmtId="0" fontId="3" fillId="0" borderId="13" xfId="0" applyFont="1" applyFill="1" applyBorder="1" applyAlignment="1">
      <alignment horizontal="center" wrapText="1"/>
    </xf>
    <xf numFmtId="0" fontId="3" fillId="0" borderId="4" xfId="0" applyFont="1" applyFill="1" applyBorder="1" applyAlignment="1">
      <alignment horizontal="left" wrapText="1"/>
    </xf>
    <xf numFmtId="164" fontId="3" fillId="0" borderId="9" xfId="0" applyNumberFormat="1" applyFont="1" applyFill="1" applyBorder="1"/>
    <xf numFmtId="10" fontId="3" fillId="0" borderId="12" xfId="0" applyNumberFormat="1" applyFont="1" applyFill="1" applyBorder="1"/>
    <xf numFmtId="0" fontId="14" fillId="0" borderId="4" xfId="0" quotePrefix="1" applyFont="1" applyFill="1" applyBorder="1" applyAlignment="1">
      <alignment wrapText="1"/>
    </xf>
    <xf numFmtId="0" fontId="0" fillId="0" borderId="0" xfId="0" applyFill="1" applyAlignment="1">
      <alignment horizontal="centerContinuous"/>
    </xf>
    <xf numFmtId="0" fontId="0" fillId="0" borderId="6" xfId="0" applyFill="1" applyBorder="1" applyAlignment="1">
      <alignment horizontal="center" wrapText="1"/>
    </xf>
    <xf numFmtId="164" fontId="3" fillId="0" borderId="0" xfId="0" applyNumberFormat="1" applyFont="1" applyFill="1"/>
    <xf numFmtId="10" fontId="3" fillId="0" borderId="0" xfId="0" applyNumberFormat="1" applyFont="1" applyFill="1"/>
    <xf numFmtId="164" fontId="0" fillId="0" borderId="5" xfId="0" applyNumberFormat="1" applyFill="1" applyBorder="1"/>
    <xf numFmtId="10" fontId="3" fillId="0" borderId="5" xfId="0" applyNumberFormat="1" applyFont="1" applyFill="1" applyBorder="1"/>
    <xf numFmtId="10" fontId="0" fillId="0" borderId="0" xfId="0" applyNumberFormat="1" applyFont="1" applyFill="1"/>
    <xf numFmtId="0" fontId="0" fillId="0" borderId="0" xfId="0" applyFill="1" applyAlignment="1">
      <alignment horizontal="left"/>
    </xf>
    <xf numFmtId="0" fontId="0" fillId="0" borderId="6" xfId="0" quotePrefix="1" applyFill="1" applyBorder="1" applyAlignment="1">
      <alignment horizontal="left"/>
    </xf>
    <xf numFmtId="0" fontId="0" fillId="0" borderId="6" xfId="0" applyFill="1" applyBorder="1"/>
    <xf numFmtId="0" fontId="3" fillId="0" borderId="18" xfId="0" applyFont="1" applyFill="1" applyBorder="1" applyAlignment="1">
      <alignment horizontal="center" wrapText="1"/>
    </xf>
    <xf numFmtId="165" fontId="3" fillId="0" borderId="12" xfId="0" applyNumberFormat="1" applyFont="1" applyFill="1" applyBorder="1"/>
    <xf numFmtId="165" fontId="3" fillId="0" borderId="12" xfId="0" applyNumberFormat="1" applyFont="1" applyFill="1" applyBorder="1" applyAlignment="1">
      <alignment horizontal="right"/>
    </xf>
    <xf numFmtId="164" fontId="3" fillId="0" borderId="0" xfId="0" applyNumberFormat="1" applyFont="1" applyFill="1" applyBorder="1" applyAlignment="1">
      <alignment textRotation="45"/>
    </xf>
    <xf numFmtId="167" fontId="3" fillId="0" borderId="0" xfId="0" applyNumberFormat="1" applyFont="1" applyFill="1" applyBorder="1" applyAlignment="1">
      <alignment textRotation="45"/>
    </xf>
    <xf numFmtId="10" fontId="3" fillId="0" borderId="12" xfId="0" applyNumberFormat="1" applyFont="1" applyFill="1" applyBorder="1" applyAlignment="1">
      <alignment horizontal="right"/>
    </xf>
    <xf numFmtId="171" fontId="3" fillId="0" borderId="4" xfId="0" applyNumberFormat="1" applyFont="1" applyFill="1" applyBorder="1"/>
    <xf numFmtId="167" fontId="3" fillId="2" borderId="0" xfId="0" applyNumberFormat="1" applyFont="1" applyFill="1" applyBorder="1"/>
    <xf numFmtId="167" fontId="3" fillId="2" borderId="5" xfId="0" applyNumberFormat="1" applyFont="1" applyFill="1" applyBorder="1"/>
    <xf numFmtId="0" fontId="3" fillId="2" borderId="0" xfId="0" applyFont="1" applyFill="1" applyBorder="1"/>
    <xf numFmtId="10" fontId="3" fillId="2" borderId="0" xfId="0" applyNumberFormat="1" applyFont="1" applyFill="1" applyBorder="1"/>
    <xf numFmtId="169" fontId="3" fillId="2" borderId="0" xfId="0" applyNumberFormat="1" applyFont="1" applyFill="1" applyBorder="1"/>
    <xf numFmtId="169" fontId="3" fillId="2" borderId="5" xfId="0" applyNumberFormat="1" applyFont="1" applyFill="1" applyBorder="1"/>
    <xf numFmtId="0" fontId="16" fillId="0" borderId="0" xfId="0" applyFont="1" applyFill="1" applyAlignment="1">
      <alignment horizontal="left" wrapText="1"/>
    </xf>
    <xf numFmtId="0" fontId="3" fillId="0" borderId="0" xfId="0" quotePrefix="1" applyFont="1" applyFill="1" applyAlignment="1">
      <alignment horizontal="center"/>
    </xf>
    <xf numFmtId="0" fontId="16" fillId="0" borderId="0" xfId="0" applyFont="1" applyFill="1" applyAlignment="1">
      <alignment horizontal="left" vertical="top" wrapText="1"/>
    </xf>
    <xf numFmtId="0" fontId="3" fillId="0" borderId="0" xfId="0" quotePrefix="1" applyFont="1" applyFill="1" applyBorder="1" applyAlignment="1">
      <alignment horizontal="center"/>
    </xf>
    <xf numFmtId="0" fontId="3" fillId="0" borderId="0" xfId="0" quotePrefix="1" applyFont="1" applyFill="1" applyBorder="1" applyAlignment="1">
      <alignment horizontal="left"/>
    </xf>
    <xf numFmtId="0" fontId="3" fillId="0" borderId="0" xfId="0" quotePrefix="1" applyFont="1" applyFill="1" applyBorder="1" applyAlignment="1">
      <alignment horizontal="center" vertical="center" wrapText="1"/>
    </xf>
    <xf numFmtId="0" fontId="0" fillId="0" borderId="0" xfId="0" quotePrefix="1" applyFill="1" applyAlignment="1">
      <alignment horizontal="left" indent="1"/>
    </xf>
    <xf numFmtId="0" fontId="0" fillId="0" borderId="0" xfId="0" quotePrefix="1" applyFill="1" applyAlignment="1">
      <alignment horizontal="left" indent="3"/>
    </xf>
    <xf numFmtId="0" fontId="0" fillId="0" borderId="0" xfId="0" quotePrefix="1" applyFill="1" applyAlignment="1">
      <alignment horizontal="left"/>
    </xf>
    <xf numFmtId="0" fontId="0" fillId="0" borderId="0" xfId="0" quotePrefix="1" applyFill="1" applyAlignment="1">
      <alignment horizontal="left" indent="2"/>
    </xf>
    <xf numFmtId="0" fontId="0" fillId="0" borderId="6" xfId="0" applyFill="1" applyBorder="1" applyAlignment="1">
      <alignment horizontal="center"/>
    </xf>
    <xf numFmtId="0" fontId="3" fillId="0" borderId="2" xfId="0" applyFont="1" applyFill="1" applyBorder="1" applyAlignment="1">
      <alignment horizontal="center"/>
    </xf>
    <xf numFmtId="0" fontId="3" fillId="0" borderId="2" xfId="0" quotePrefix="1" applyFont="1" applyFill="1" applyBorder="1" applyAlignment="1">
      <alignment horizontal="center"/>
    </xf>
    <xf numFmtId="0" fontId="3" fillId="0" borderId="15" xfId="0" applyFont="1" applyFill="1" applyBorder="1" applyAlignment="1">
      <alignment horizontal="center"/>
    </xf>
    <xf numFmtId="0" fontId="3" fillId="0" borderId="4" xfId="0" quotePrefix="1" applyFont="1" applyFill="1" applyBorder="1" applyAlignment="1">
      <alignment horizontal="left" wrapText="1"/>
    </xf>
    <xf numFmtId="0" fontId="3" fillId="0" borderId="14" xfId="0" quotePrefix="1" applyFont="1" applyFill="1" applyBorder="1" applyAlignment="1">
      <alignment horizontal="left" wrapText="1"/>
    </xf>
    <xf numFmtId="0" fontId="4" fillId="0" borderId="9" xfId="0" applyFont="1" applyFill="1" applyBorder="1" applyAlignment="1">
      <alignment horizontal="center"/>
    </xf>
    <xf numFmtId="0" fontId="4" fillId="0" borderId="10" xfId="0" applyFont="1" applyFill="1" applyBorder="1" applyAlignment="1">
      <alignment horizontal="center"/>
    </xf>
    <xf numFmtId="0" fontId="20" fillId="0" borderId="0" xfId="0" applyFont="1" applyFill="1" applyAlignment="1">
      <alignment horizontal="center"/>
    </xf>
    <xf numFmtId="0" fontId="12" fillId="0" borderId="0" xfId="0" applyFont="1" applyFill="1" applyAlignment="1">
      <alignment horizontal="center"/>
    </xf>
    <xf numFmtId="0" fontId="3" fillId="0" borderId="9" xfId="0" quotePrefix="1" applyFont="1" applyFill="1" applyBorder="1" applyAlignment="1">
      <alignment horizontal="center"/>
    </xf>
    <xf numFmtId="0" fontId="3" fillId="0" borderId="10" xfId="0" quotePrefix="1" applyFont="1" applyFill="1" applyBorder="1" applyAlignment="1">
      <alignment horizontal="center"/>
    </xf>
    <xf numFmtId="0" fontId="3" fillId="0" borderId="0" xfId="0" applyFont="1" applyFill="1" applyAlignment="1">
      <alignment horizontal="center"/>
    </xf>
    <xf numFmtId="0" fontId="3" fillId="0" borderId="16" xfId="0" applyFont="1" applyFill="1" applyBorder="1" applyAlignment="1">
      <alignment horizontal="center"/>
    </xf>
    <xf numFmtId="0" fontId="3" fillId="0" borderId="1" xfId="0" applyFont="1" applyFill="1" applyBorder="1" applyAlignment="1">
      <alignment horizontal="center"/>
    </xf>
    <xf numFmtId="0" fontId="3" fillId="0" borderId="17" xfId="0" applyFont="1" applyFill="1" applyBorder="1" applyAlignment="1">
      <alignment horizontal="center"/>
    </xf>
    <xf numFmtId="0" fontId="1" fillId="0" borderId="0" xfId="0" applyFont="1" applyFill="1" applyAlignment="1">
      <alignment horizontal="center"/>
    </xf>
    <xf numFmtId="0" fontId="3" fillId="0" borderId="0" xfId="0" applyFont="1" applyFill="1" applyAlignment="1">
      <alignment horizontal="left" wrapText="1"/>
    </xf>
    <xf numFmtId="0" fontId="2" fillId="0" borderId="0" xfId="0" applyFont="1" applyFill="1" applyAlignment="1">
      <alignment horizontal="center"/>
    </xf>
    <xf numFmtId="0" fontId="2" fillId="0" borderId="0" xfId="0" quotePrefix="1" applyFont="1" applyFill="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6</xdr:col>
      <xdr:colOff>86001</xdr:colOff>
      <xdr:row>9</xdr:row>
      <xdr:rowOff>106681</xdr:rowOff>
    </xdr:from>
    <xdr:ext cx="3571599" cy="1249680"/>
    <xdr:sp macro="" textlink="">
      <xdr:nvSpPr>
        <xdr:cNvPr id="2" name="Rectangle 1"/>
        <xdr:cNvSpPr/>
      </xdr:nvSpPr>
      <xdr:spPr>
        <a:xfrm>
          <a:off x="7050681" y="1623061"/>
          <a:ext cx="3571599" cy="1249680"/>
        </a:xfrm>
        <a:prstGeom prst="rect">
          <a:avLst/>
        </a:prstGeom>
        <a:noFill/>
      </xdr:spPr>
      <xdr:txBody>
        <a:bodyPr wrap="square" lIns="91440" tIns="45720" rIns="91440" bIns="45720">
          <a:noAutofit/>
        </a:bodyPr>
        <a:lstStyle/>
        <a:p>
          <a:pPr algn="ctr"/>
          <a:r>
            <a:rPr lang="en-US" sz="2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Source:  </a:t>
          </a:r>
        </a:p>
        <a:p>
          <a:pPr algn="ctr"/>
          <a:r>
            <a:rPr lang="en-US" sz="2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2018 Revenue </a:t>
          </a:r>
        </a:p>
        <a:p>
          <a:pPr algn="ctr"/>
          <a:r>
            <a:rPr lang="en-US" sz="2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Requirement</a:t>
          </a:r>
          <a:r>
            <a:rPr lang="en-US" sz="24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Workpapers</a:t>
          </a:r>
          <a:endParaRPr lang="en-US" sz="2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28575</xdr:colOff>
      <xdr:row>34</xdr:row>
      <xdr:rowOff>57150</xdr:rowOff>
    </xdr:from>
    <xdr:to>
      <xdr:col>10</xdr:col>
      <xdr:colOff>647700</xdr:colOff>
      <xdr:row>40</xdr:row>
      <xdr:rowOff>47625</xdr:rowOff>
    </xdr:to>
    <xdr:cxnSp macro="">
      <xdr:nvCxnSpPr>
        <xdr:cNvPr id="3" name="Straight Arrow Connector 2"/>
        <xdr:cNvCxnSpPr/>
      </xdr:nvCxnSpPr>
      <xdr:spPr>
        <a:xfrm flipV="1">
          <a:off x="7610475" y="6238875"/>
          <a:ext cx="1590675" cy="96202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794488</xdr:colOff>
      <xdr:row>37</xdr:row>
      <xdr:rowOff>110943</xdr:rowOff>
    </xdr:from>
    <xdr:ext cx="2149191" cy="457279"/>
    <xdr:sp macro="" textlink="">
      <xdr:nvSpPr>
        <xdr:cNvPr id="5" name="TextBox 4"/>
        <xdr:cNvSpPr txBox="1"/>
      </xdr:nvSpPr>
      <xdr:spPr>
        <a:xfrm rot="19630069">
          <a:off x="7557238" y="6778443"/>
          <a:ext cx="2149191" cy="45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Difference due to rounding to</a:t>
          </a:r>
          <a:r>
            <a:rPr lang="en-US" sz="1100" baseline="0"/>
            <a:t> six </a:t>
          </a:r>
          <a:r>
            <a:rPr lang="en-US" sz="1100"/>
            <a:t>decimals in Schedule 120 rate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15</xdr:col>
      <xdr:colOff>205740</xdr:colOff>
      <xdr:row>1</xdr:row>
      <xdr:rowOff>152400</xdr:rowOff>
    </xdr:from>
    <xdr:to>
      <xdr:col>25</xdr:col>
      <xdr:colOff>305337</xdr:colOff>
      <xdr:row>32</xdr:row>
      <xdr:rowOff>122470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473940" y="335280"/>
          <a:ext cx="6195597" cy="634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49</xdr:row>
      <xdr:rowOff>1</xdr:rowOff>
    </xdr:from>
    <xdr:to>
      <xdr:col>5</xdr:col>
      <xdr:colOff>219075</xdr:colOff>
      <xdr:row>80</xdr:row>
      <xdr:rowOff>81980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115426"/>
          <a:ext cx="5686425" cy="5692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33</xdr:row>
      <xdr:rowOff>53341</xdr:rowOff>
    </xdr:from>
    <xdr:to>
      <xdr:col>2</xdr:col>
      <xdr:colOff>596617</xdr:colOff>
      <xdr:row>38</xdr:row>
      <xdr:rowOff>95250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01716"/>
          <a:ext cx="2815942" cy="851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489586</xdr:colOff>
      <xdr:row>33</xdr:row>
      <xdr:rowOff>15241</xdr:rowOff>
    </xdr:from>
    <xdr:to>
      <xdr:col>6</xdr:col>
      <xdr:colOff>704850</xdr:colOff>
      <xdr:row>54</xdr:row>
      <xdr:rowOff>69761</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08911" y="6063616"/>
          <a:ext cx="4053839" cy="3454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zoomScaleNormal="100" workbookViewId="0">
      <selection sqref="A1:XFD1048576"/>
    </sheetView>
  </sheetViews>
  <sheetFormatPr defaultRowHeight="12.75" x14ac:dyDescent="0.2"/>
  <cols>
    <col min="1" max="1" width="8.28515625" style="71" bestFit="1" customWidth="1"/>
    <col min="2" max="2" width="8" style="71" bestFit="1" customWidth="1"/>
    <col min="3" max="3" width="47.140625" style="71" bestFit="1" customWidth="1"/>
    <col min="4" max="4" width="13.5703125" style="71" bestFit="1" customWidth="1"/>
    <col min="5" max="5" width="12.140625" style="71" bestFit="1" customWidth="1"/>
    <col min="6" max="6" width="12.42578125" style="71" bestFit="1" customWidth="1"/>
    <col min="7" max="170" width="9.140625" style="71"/>
    <col min="171" max="171" width="9" style="71" customWidth="1"/>
    <col min="172" max="172" width="11.42578125" style="71" customWidth="1"/>
    <col min="173" max="173" width="65.85546875" style="71" bestFit="1" customWidth="1"/>
    <col min="174" max="174" width="15" style="71" customWidth="1"/>
    <col min="175" max="175" width="15.28515625" style="71" customWidth="1"/>
    <col min="176" max="176" width="14.42578125" style="71" bestFit="1" customWidth="1"/>
    <col min="177" max="426" width="9.140625" style="71"/>
    <col min="427" max="427" width="9" style="71" customWidth="1"/>
    <col min="428" max="428" width="11.42578125" style="71" customWidth="1"/>
    <col min="429" max="429" width="65.85546875" style="71" bestFit="1" customWidth="1"/>
    <col min="430" max="430" width="15" style="71" customWidth="1"/>
    <col min="431" max="431" width="15.28515625" style="71" customWidth="1"/>
    <col min="432" max="432" width="14.42578125" style="71" bestFit="1" customWidth="1"/>
    <col min="433" max="682" width="9.140625" style="71"/>
    <col min="683" max="683" width="9" style="71" customWidth="1"/>
    <col min="684" max="684" width="11.42578125" style="71" customWidth="1"/>
    <col min="685" max="685" width="65.85546875" style="71" bestFit="1" customWidth="1"/>
    <col min="686" max="686" width="15" style="71" customWidth="1"/>
    <col min="687" max="687" width="15.28515625" style="71" customWidth="1"/>
    <col min="688" max="688" width="14.42578125" style="71" bestFit="1" customWidth="1"/>
    <col min="689" max="938" width="9.140625" style="71"/>
    <col min="939" max="939" width="9" style="71" customWidth="1"/>
    <col min="940" max="940" width="11.42578125" style="71" customWidth="1"/>
    <col min="941" max="941" width="65.85546875" style="71" bestFit="1" customWidth="1"/>
    <col min="942" max="942" width="15" style="71" customWidth="1"/>
    <col min="943" max="943" width="15.28515625" style="71" customWidth="1"/>
    <col min="944" max="944" width="14.42578125" style="71" bestFit="1" customWidth="1"/>
    <col min="945" max="1194" width="9.140625" style="71"/>
    <col min="1195" max="1195" width="9" style="71" customWidth="1"/>
    <col min="1196" max="1196" width="11.42578125" style="71" customWidth="1"/>
    <col min="1197" max="1197" width="65.85546875" style="71" bestFit="1" customWidth="1"/>
    <col min="1198" max="1198" width="15" style="71" customWidth="1"/>
    <col min="1199" max="1199" width="15.28515625" style="71" customWidth="1"/>
    <col min="1200" max="1200" width="14.42578125" style="71" bestFit="1" customWidth="1"/>
    <col min="1201" max="1450" width="9.140625" style="71"/>
    <col min="1451" max="1451" width="9" style="71" customWidth="1"/>
    <col min="1452" max="1452" width="11.42578125" style="71" customWidth="1"/>
    <col min="1453" max="1453" width="65.85546875" style="71" bestFit="1" customWidth="1"/>
    <col min="1454" max="1454" width="15" style="71" customWidth="1"/>
    <col min="1455" max="1455" width="15.28515625" style="71" customWidth="1"/>
    <col min="1456" max="1456" width="14.42578125" style="71" bestFit="1" customWidth="1"/>
    <col min="1457" max="1706" width="9.140625" style="71"/>
    <col min="1707" max="1707" width="9" style="71" customWidth="1"/>
    <col min="1708" max="1708" width="11.42578125" style="71" customWidth="1"/>
    <col min="1709" max="1709" width="65.85546875" style="71" bestFit="1" customWidth="1"/>
    <col min="1710" max="1710" width="15" style="71" customWidth="1"/>
    <col min="1711" max="1711" width="15.28515625" style="71" customWidth="1"/>
    <col min="1712" max="1712" width="14.42578125" style="71" bestFit="1" customWidth="1"/>
    <col min="1713" max="1962" width="9.140625" style="71"/>
    <col min="1963" max="1963" width="9" style="71" customWidth="1"/>
    <col min="1964" max="1964" width="11.42578125" style="71" customWidth="1"/>
    <col min="1965" max="1965" width="65.85546875" style="71" bestFit="1" customWidth="1"/>
    <col min="1966" max="1966" width="15" style="71" customWidth="1"/>
    <col min="1967" max="1967" width="15.28515625" style="71" customWidth="1"/>
    <col min="1968" max="1968" width="14.42578125" style="71" bestFit="1" customWidth="1"/>
    <col min="1969" max="2218" width="9.140625" style="71"/>
    <col min="2219" max="2219" width="9" style="71" customWidth="1"/>
    <col min="2220" max="2220" width="11.42578125" style="71" customWidth="1"/>
    <col min="2221" max="2221" width="65.85546875" style="71" bestFit="1" customWidth="1"/>
    <col min="2222" max="2222" width="15" style="71" customWidth="1"/>
    <col min="2223" max="2223" width="15.28515625" style="71" customWidth="1"/>
    <col min="2224" max="2224" width="14.42578125" style="71" bestFit="1" customWidth="1"/>
    <col min="2225" max="2474" width="9.140625" style="71"/>
    <col min="2475" max="2475" width="9" style="71" customWidth="1"/>
    <col min="2476" max="2476" width="11.42578125" style="71" customWidth="1"/>
    <col min="2477" max="2477" width="65.85546875" style="71" bestFit="1" customWidth="1"/>
    <col min="2478" max="2478" width="15" style="71" customWidth="1"/>
    <col min="2479" max="2479" width="15.28515625" style="71" customWidth="1"/>
    <col min="2480" max="2480" width="14.42578125" style="71" bestFit="1" customWidth="1"/>
    <col min="2481" max="2730" width="9.140625" style="71"/>
    <col min="2731" max="2731" width="9" style="71" customWidth="1"/>
    <col min="2732" max="2732" width="11.42578125" style="71" customWidth="1"/>
    <col min="2733" max="2733" width="65.85546875" style="71" bestFit="1" customWidth="1"/>
    <col min="2734" max="2734" width="15" style="71" customWidth="1"/>
    <col min="2735" max="2735" width="15.28515625" style="71" customWidth="1"/>
    <col min="2736" max="2736" width="14.42578125" style="71" bestFit="1" customWidth="1"/>
    <col min="2737" max="2986" width="9.140625" style="71"/>
    <col min="2987" max="2987" width="9" style="71" customWidth="1"/>
    <col min="2988" max="2988" width="11.42578125" style="71" customWidth="1"/>
    <col min="2989" max="2989" width="65.85546875" style="71" bestFit="1" customWidth="1"/>
    <col min="2990" max="2990" width="15" style="71" customWidth="1"/>
    <col min="2991" max="2991" width="15.28515625" style="71" customWidth="1"/>
    <col min="2992" max="2992" width="14.42578125" style="71" bestFit="1" customWidth="1"/>
    <col min="2993" max="3242" width="9.140625" style="71"/>
    <col min="3243" max="3243" width="9" style="71" customWidth="1"/>
    <col min="3244" max="3244" width="11.42578125" style="71" customWidth="1"/>
    <col min="3245" max="3245" width="65.85546875" style="71" bestFit="1" customWidth="1"/>
    <col min="3246" max="3246" width="15" style="71" customWidth="1"/>
    <col min="3247" max="3247" width="15.28515625" style="71" customWidth="1"/>
    <col min="3248" max="3248" width="14.42578125" style="71" bestFit="1" customWidth="1"/>
    <col min="3249" max="3498" width="9.140625" style="71"/>
    <col min="3499" max="3499" width="9" style="71" customWidth="1"/>
    <col min="3500" max="3500" width="11.42578125" style="71" customWidth="1"/>
    <col min="3501" max="3501" width="65.85546875" style="71" bestFit="1" customWidth="1"/>
    <col min="3502" max="3502" width="15" style="71" customWidth="1"/>
    <col min="3503" max="3503" width="15.28515625" style="71" customWidth="1"/>
    <col min="3504" max="3504" width="14.42578125" style="71" bestFit="1" customWidth="1"/>
    <col min="3505" max="3754" width="9.140625" style="71"/>
    <col min="3755" max="3755" width="9" style="71" customWidth="1"/>
    <col min="3756" max="3756" width="11.42578125" style="71" customWidth="1"/>
    <col min="3757" max="3757" width="65.85546875" style="71" bestFit="1" customWidth="1"/>
    <col min="3758" max="3758" width="15" style="71" customWidth="1"/>
    <col min="3759" max="3759" width="15.28515625" style="71" customWidth="1"/>
    <col min="3760" max="3760" width="14.42578125" style="71" bestFit="1" customWidth="1"/>
    <col min="3761" max="4010" width="9.140625" style="71"/>
    <col min="4011" max="4011" width="9" style="71" customWidth="1"/>
    <col min="4012" max="4012" width="11.42578125" style="71" customWidth="1"/>
    <col min="4013" max="4013" width="65.85546875" style="71" bestFit="1" customWidth="1"/>
    <col min="4014" max="4014" width="15" style="71" customWidth="1"/>
    <col min="4015" max="4015" width="15.28515625" style="71" customWidth="1"/>
    <col min="4016" max="4016" width="14.42578125" style="71" bestFit="1" customWidth="1"/>
    <col min="4017" max="4266" width="9.140625" style="71"/>
    <col min="4267" max="4267" width="9" style="71" customWidth="1"/>
    <col min="4268" max="4268" width="11.42578125" style="71" customWidth="1"/>
    <col min="4269" max="4269" width="65.85546875" style="71" bestFit="1" customWidth="1"/>
    <col min="4270" max="4270" width="15" style="71" customWidth="1"/>
    <col min="4271" max="4271" width="15.28515625" style="71" customWidth="1"/>
    <col min="4272" max="4272" width="14.42578125" style="71" bestFit="1" customWidth="1"/>
    <col min="4273" max="4522" width="9.140625" style="71"/>
    <col min="4523" max="4523" width="9" style="71" customWidth="1"/>
    <col min="4524" max="4524" width="11.42578125" style="71" customWidth="1"/>
    <col min="4525" max="4525" width="65.85546875" style="71" bestFit="1" customWidth="1"/>
    <col min="4526" max="4526" width="15" style="71" customWidth="1"/>
    <col min="4527" max="4527" width="15.28515625" style="71" customWidth="1"/>
    <col min="4528" max="4528" width="14.42578125" style="71" bestFit="1" customWidth="1"/>
    <col min="4529" max="4778" width="9.140625" style="71"/>
    <col min="4779" max="4779" width="9" style="71" customWidth="1"/>
    <col min="4780" max="4780" width="11.42578125" style="71" customWidth="1"/>
    <col min="4781" max="4781" width="65.85546875" style="71" bestFit="1" customWidth="1"/>
    <col min="4782" max="4782" width="15" style="71" customWidth="1"/>
    <col min="4783" max="4783" width="15.28515625" style="71" customWidth="1"/>
    <col min="4784" max="4784" width="14.42578125" style="71" bestFit="1" customWidth="1"/>
    <col min="4785" max="5034" width="9.140625" style="71"/>
    <col min="5035" max="5035" width="9" style="71" customWidth="1"/>
    <col min="5036" max="5036" width="11.42578125" style="71" customWidth="1"/>
    <col min="5037" max="5037" width="65.85546875" style="71" bestFit="1" customWidth="1"/>
    <col min="5038" max="5038" width="15" style="71" customWidth="1"/>
    <col min="5039" max="5039" width="15.28515625" style="71" customWidth="1"/>
    <col min="5040" max="5040" width="14.42578125" style="71" bestFit="1" customWidth="1"/>
    <col min="5041" max="5290" width="9.140625" style="71"/>
    <col min="5291" max="5291" width="9" style="71" customWidth="1"/>
    <col min="5292" max="5292" width="11.42578125" style="71" customWidth="1"/>
    <col min="5293" max="5293" width="65.85546875" style="71" bestFit="1" customWidth="1"/>
    <col min="5294" max="5294" width="15" style="71" customWidth="1"/>
    <col min="5295" max="5295" width="15.28515625" style="71" customWidth="1"/>
    <col min="5296" max="5296" width="14.42578125" style="71" bestFit="1" customWidth="1"/>
    <col min="5297" max="5546" width="9.140625" style="71"/>
    <col min="5547" max="5547" width="9" style="71" customWidth="1"/>
    <col min="5548" max="5548" width="11.42578125" style="71" customWidth="1"/>
    <col min="5549" max="5549" width="65.85546875" style="71" bestFit="1" customWidth="1"/>
    <col min="5550" max="5550" width="15" style="71" customWidth="1"/>
    <col min="5551" max="5551" width="15.28515625" style="71" customWidth="1"/>
    <col min="5552" max="5552" width="14.42578125" style="71" bestFit="1" customWidth="1"/>
    <col min="5553" max="5802" width="9.140625" style="71"/>
    <col min="5803" max="5803" width="9" style="71" customWidth="1"/>
    <col min="5804" max="5804" width="11.42578125" style="71" customWidth="1"/>
    <col min="5805" max="5805" width="65.85546875" style="71" bestFit="1" customWidth="1"/>
    <col min="5806" max="5806" width="15" style="71" customWidth="1"/>
    <col min="5807" max="5807" width="15.28515625" style="71" customWidth="1"/>
    <col min="5808" max="5808" width="14.42578125" style="71" bestFit="1" customWidth="1"/>
    <col min="5809" max="6058" width="9.140625" style="71"/>
    <col min="6059" max="6059" width="9" style="71" customWidth="1"/>
    <col min="6060" max="6060" width="11.42578125" style="71" customWidth="1"/>
    <col min="6061" max="6061" width="65.85546875" style="71" bestFit="1" customWidth="1"/>
    <col min="6062" max="6062" width="15" style="71" customWidth="1"/>
    <col min="6063" max="6063" width="15.28515625" style="71" customWidth="1"/>
    <col min="6064" max="6064" width="14.42578125" style="71" bestFit="1" customWidth="1"/>
    <col min="6065" max="6314" width="9.140625" style="71"/>
    <col min="6315" max="6315" width="9" style="71" customWidth="1"/>
    <col min="6316" max="6316" width="11.42578125" style="71" customWidth="1"/>
    <col min="6317" max="6317" width="65.85546875" style="71" bestFit="1" customWidth="1"/>
    <col min="6318" max="6318" width="15" style="71" customWidth="1"/>
    <col min="6319" max="6319" width="15.28515625" style="71" customWidth="1"/>
    <col min="6320" max="6320" width="14.42578125" style="71" bestFit="1" customWidth="1"/>
    <col min="6321" max="6570" width="9.140625" style="71"/>
    <col min="6571" max="6571" width="9" style="71" customWidth="1"/>
    <col min="6572" max="6572" width="11.42578125" style="71" customWidth="1"/>
    <col min="6573" max="6573" width="65.85546875" style="71" bestFit="1" customWidth="1"/>
    <col min="6574" max="6574" width="15" style="71" customWidth="1"/>
    <col min="6575" max="6575" width="15.28515625" style="71" customWidth="1"/>
    <col min="6576" max="6576" width="14.42578125" style="71" bestFit="1" customWidth="1"/>
    <col min="6577" max="6826" width="9.140625" style="71"/>
    <col min="6827" max="6827" width="9" style="71" customWidth="1"/>
    <col min="6828" max="6828" width="11.42578125" style="71" customWidth="1"/>
    <col min="6829" max="6829" width="65.85546875" style="71" bestFit="1" customWidth="1"/>
    <col min="6830" max="6830" width="15" style="71" customWidth="1"/>
    <col min="6831" max="6831" width="15.28515625" style="71" customWidth="1"/>
    <col min="6832" max="6832" width="14.42578125" style="71" bestFit="1" customWidth="1"/>
    <col min="6833" max="7082" width="9.140625" style="71"/>
    <col min="7083" max="7083" width="9" style="71" customWidth="1"/>
    <col min="7084" max="7084" width="11.42578125" style="71" customWidth="1"/>
    <col min="7085" max="7085" width="65.85546875" style="71" bestFit="1" customWidth="1"/>
    <col min="7086" max="7086" width="15" style="71" customWidth="1"/>
    <col min="7087" max="7087" width="15.28515625" style="71" customWidth="1"/>
    <col min="7088" max="7088" width="14.42578125" style="71" bestFit="1" customWidth="1"/>
    <col min="7089" max="7338" width="9.140625" style="71"/>
    <col min="7339" max="7339" width="9" style="71" customWidth="1"/>
    <col min="7340" max="7340" width="11.42578125" style="71" customWidth="1"/>
    <col min="7341" max="7341" width="65.85546875" style="71" bestFit="1" customWidth="1"/>
    <col min="7342" max="7342" width="15" style="71" customWidth="1"/>
    <col min="7343" max="7343" width="15.28515625" style="71" customWidth="1"/>
    <col min="7344" max="7344" width="14.42578125" style="71" bestFit="1" customWidth="1"/>
    <col min="7345" max="7594" width="9.140625" style="71"/>
    <col min="7595" max="7595" width="9" style="71" customWidth="1"/>
    <col min="7596" max="7596" width="11.42578125" style="71" customWidth="1"/>
    <col min="7597" max="7597" width="65.85546875" style="71" bestFit="1" customWidth="1"/>
    <col min="7598" max="7598" width="15" style="71" customWidth="1"/>
    <col min="7599" max="7599" width="15.28515625" style="71" customWidth="1"/>
    <col min="7600" max="7600" width="14.42578125" style="71" bestFit="1" customWidth="1"/>
    <col min="7601" max="7850" width="9.140625" style="71"/>
    <col min="7851" max="7851" width="9" style="71" customWidth="1"/>
    <col min="7852" max="7852" width="11.42578125" style="71" customWidth="1"/>
    <col min="7853" max="7853" width="65.85546875" style="71" bestFit="1" customWidth="1"/>
    <col min="7854" max="7854" width="15" style="71" customWidth="1"/>
    <col min="7855" max="7855" width="15.28515625" style="71" customWidth="1"/>
    <col min="7856" max="7856" width="14.42578125" style="71" bestFit="1" customWidth="1"/>
    <col min="7857" max="8106" width="9.140625" style="71"/>
    <col min="8107" max="8107" width="9" style="71" customWidth="1"/>
    <col min="8108" max="8108" width="11.42578125" style="71" customWidth="1"/>
    <col min="8109" max="8109" width="65.85546875" style="71" bestFit="1" customWidth="1"/>
    <col min="8110" max="8110" width="15" style="71" customWidth="1"/>
    <col min="8111" max="8111" width="15.28515625" style="71" customWidth="1"/>
    <col min="8112" max="8112" width="14.42578125" style="71" bestFit="1" customWidth="1"/>
    <col min="8113" max="8362" width="9.140625" style="71"/>
    <col min="8363" max="8363" width="9" style="71" customWidth="1"/>
    <col min="8364" max="8364" width="11.42578125" style="71" customWidth="1"/>
    <col min="8365" max="8365" width="65.85546875" style="71" bestFit="1" customWidth="1"/>
    <col min="8366" max="8366" width="15" style="71" customWidth="1"/>
    <col min="8367" max="8367" width="15.28515625" style="71" customWidth="1"/>
    <col min="8368" max="8368" width="14.42578125" style="71" bestFit="1" customWidth="1"/>
    <col min="8369" max="8618" width="9.140625" style="71"/>
    <col min="8619" max="8619" width="9" style="71" customWidth="1"/>
    <col min="8620" max="8620" width="11.42578125" style="71" customWidth="1"/>
    <col min="8621" max="8621" width="65.85546875" style="71" bestFit="1" customWidth="1"/>
    <col min="8622" max="8622" width="15" style="71" customWidth="1"/>
    <col min="8623" max="8623" width="15.28515625" style="71" customWidth="1"/>
    <col min="8624" max="8624" width="14.42578125" style="71" bestFit="1" customWidth="1"/>
    <col min="8625" max="8874" width="9.140625" style="71"/>
    <col min="8875" max="8875" width="9" style="71" customWidth="1"/>
    <col min="8876" max="8876" width="11.42578125" style="71" customWidth="1"/>
    <col min="8877" max="8877" width="65.85546875" style="71" bestFit="1" customWidth="1"/>
    <col min="8878" max="8878" width="15" style="71" customWidth="1"/>
    <col min="8879" max="8879" width="15.28515625" style="71" customWidth="1"/>
    <col min="8880" max="8880" width="14.42578125" style="71" bestFit="1" customWidth="1"/>
    <col min="8881" max="9130" width="9.140625" style="71"/>
    <col min="9131" max="9131" width="9" style="71" customWidth="1"/>
    <col min="9132" max="9132" width="11.42578125" style="71" customWidth="1"/>
    <col min="9133" max="9133" width="65.85546875" style="71" bestFit="1" customWidth="1"/>
    <col min="9134" max="9134" width="15" style="71" customWidth="1"/>
    <col min="9135" max="9135" width="15.28515625" style="71" customWidth="1"/>
    <col min="9136" max="9136" width="14.42578125" style="71" bestFit="1" customWidth="1"/>
    <col min="9137" max="9386" width="9.140625" style="71"/>
    <col min="9387" max="9387" width="9" style="71" customWidth="1"/>
    <col min="9388" max="9388" width="11.42578125" style="71" customWidth="1"/>
    <col min="9389" max="9389" width="65.85546875" style="71" bestFit="1" customWidth="1"/>
    <col min="9390" max="9390" width="15" style="71" customWidth="1"/>
    <col min="9391" max="9391" width="15.28515625" style="71" customWidth="1"/>
    <col min="9392" max="9392" width="14.42578125" style="71" bestFit="1" customWidth="1"/>
    <col min="9393" max="9642" width="9.140625" style="71"/>
    <col min="9643" max="9643" width="9" style="71" customWidth="1"/>
    <col min="9644" max="9644" width="11.42578125" style="71" customWidth="1"/>
    <col min="9645" max="9645" width="65.85546875" style="71" bestFit="1" customWidth="1"/>
    <col min="9646" max="9646" width="15" style="71" customWidth="1"/>
    <col min="9647" max="9647" width="15.28515625" style="71" customWidth="1"/>
    <col min="9648" max="9648" width="14.42578125" style="71" bestFit="1" customWidth="1"/>
    <col min="9649" max="9898" width="9.140625" style="71"/>
    <col min="9899" max="9899" width="9" style="71" customWidth="1"/>
    <col min="9900" max="9900" width="11.42578125" style="71" customWidth="1"/>
    <col min="9901" max="9901" width="65.85546875" style="71" bestFit="1" customWidth="1"/>
    <col min="9902" max="9902" width="15" style="71" customWidth="1"/>
    <col min="9903" max="9903" width="15.28515625" style="71" customWidth="1"/>
    <col min="9904" max="9904" width="14.42578125" style="71" bestFit="1" customWidth="1"/>
    <col min="9905" max="10154" width="9.140625" style="71"/>
    <col min="10155" max="10155" width="9" style="71" customWidth="1"/>
    <col min="10156" max="10156" width="11.42578125" style="71" customWidth="1"/>
    <col min="10157" max="10157" width="65.85546875" style="71" bestFit="1" customWidth="1"/>
    <col min="10158" max="10158" width="15" style="71" customWidth="1"/>
    <col min="10159" max="10159" width="15.28515625" style="71" customWidth="1"/>
    <col min="10160" max="10160" width="14.42578125" style="71" bestFit="1" customWidth="1"/>
    <col min="10161" max="10410" width="9.140625" style="71"/>
    <col min="10411" max="10411" width="9" style="71" customWidth="1"/>
    <col min="10412" max="10412" width="11.42578125" style="71" customWidth="1"/>
    <col min="10413" max="10413" width="65.85546875" style="71" bestFit="1" customWidth="1"/>
    <col min="10414" max="10414" width="15" style="71" customWidth="1"/>
    <col min="10415" max="10415" width="15.28515625" style="71" customWidth="1"/>
    <col min="10416" max="10416" width="14.42578125" style="71" bestFit="1" customWidth="1"/>
    <col min="10417" max="10666" width="9.140625" style="71"/>
    <col min="10667" max="10667" width="9" style="71" customWidth="1"/>
    <col min="10668" max="10668" width="11.42578125" style="71" customWidth="1"/>
    <col min="10669" max="10669" width="65.85546875" style="71" bestFit="1" customWidth="1"/>
    <col min="10670" max="10670" width="15" style="71" customWidth="1"/>
    <col min="10671" max="10671" width="15.28515625" style="71" customWidth="1"/>
    <col min="10672" max="10672" width="14.42578125" style="71" bestFit="1" customWidth="1"/>
    <col min="10673" max="10922" width="9.140625" style="71"/>
    <col min="10923" max="10923" width="9" style="71" customWidth="1"/>
    <col min="10924" max="10924" width="11.42578125" style="71" customWidth="1"/>
    <col min="10925" max="10925" width="65.85546875" style="71" bestFit="1" customWidth="1"/>
    <col min="10926" max="10926" width="15" style="71" customWidth="1"/>
    <col min="10927" max="10927" width="15.28515625" style="71" customWidth="1"/>
    <col min="10928" max="10928" width="14.42578125" style="71" bestFit="1" customWidth="1"/>
    <col min="10929" max="11178" width="9.140625" style="71"/>
    <col min="11179" max="11179" width="9" style="71" customWidth="1"/>
    <col min="11180" max="11180" width="11.42578125" style="71" customWidth="1"/>
    <col min="11181" max="11181" width="65.85546875" style="71" bestFit="1" customWidth="1"/>
    <col min="11182" max="11182" width="15" style="71" customWidth="1"/>
    <col min="11183" max="11183" width="15.28515625" style="71" customWidth="1"/>
    <col min="11184" max="11184" width="14.42578125" style="71" bestFit="1" customWidth="1"/>
    <col min="11185" max="11434" width="9.140625" style="71"/>
    <col min="11435" max="11435" width="9" style="71" customWidth="1"/>
    <col min="11436" max="11436" width="11.42578125" style="71" customWidth="1"/>
    <col min="11437" max="11437" width="65.85546875" style="71" bestFit="1" customWidth="1"/>
    <col min="11438" max="11438" width="15" style="71" customWidth="1"/>
    <col min="11439" max="11439" width="15.28515625" style="71" customWidth="1"/>
    <col min="11440" max="11440" width="14.42578125" style="71" bestFit="1" customWidth="1"/>
    <col min="11441" max="11690" width="9.140625" style="71"/>
    <col min="11691" max="11691" width="9" style="71" customWidth="1"/>
    <col min="11692" max="11692" width="11.42578125" style="71" customWidth="1"/>
    <col min="11693" max="11693" width="65.85546875" style="71" bestFit="1" customWidth="1"/>
    <col min="11694" max="11694" width="15" style="71" customWidth="1"/>
    <col min="11695" max="11695" width="15.28515625" style="71" customWidth="1"/>
    <col min="11696" max="11696" width="14.42578125" style="71" bestFit="1" customWidth="1"/>
    <col min="11697" max="11946" width="9.140625" style="71"/>
    <col min="11947" max="11947" width="9" style="71" customWidth="1"/>
    <col min="11948" max="11948" width="11.42578125" style="71" customWidth="1"/>
    <col min="11949" max="11949" width="65.85546875" style="71" bestFit="1" customWidth="1"/>
    <col min="11950" max="11950" width="15" style="71" customWidth="1"/>
    <col min="11951" max="11951" width="15.28515625" style="71" customWidth="1"/>
    <col min="11952" max="11952" width="14.42578125" style="71" bestFit="1" customWidth="1"/>
    <col min="11953" max="12202" width="9.140625" style="71"/>
    <col min="12203" max="12203" width="9" style="71" customWidth="1"/>
    <col min="12204" max="12204" width="11.42578125" style="71" customWidth="1"/>
    <col min="12205" max="12205" width="65.85546875" style="71" bestFit="1" customWidth="1"/>
    <col min="12206" max="12206" width="15" style="71" customWidth="1"/>
    <col min="12207" max="12207" width="15.28515625" style="71" customWidth="1"/>
    <col min="12208" max="12208" width="14.42578125" style="71" bestFit="1" customWidth="1"/>
    <col min="12209" max="12458" width="9.140625" style="71"/>
    <col min="12459" max="12459" width="9" style="71" customWidth="1"/>
    <col min="12460" max="12460" width="11.42578125" style="71" customWidth="1"/>
    <col min="12461" max="12461" width="65.85546875" style="71" bestFit="1" customWidth="1"/>
    <col min="12462" max="12462" width="15" style="71" customWidth="1"/>
    <col min="12463" max="12463" width="15.28515625" style="71" customWidth="1"/>
    <col min="12464" max="12464" width="14.42578125" style="71" bestFit="1" customWidth="1"/>
    <col min="12465" max="12714" width="9.140625" style="71"/>
    <col min="12715" max="12715" width="9" style="71" customWidth="1"/>
    <col min="12716" max="12716" width="11.42578125" style="71" customWidth="1"/>
    <col min="12717" max="12717" width="65.85546875" style="71" bestFit="1" customWidth="1"/>
    <col min="12718" max="12718" width="15" style="71" customWidth="1"/>
    <col min="12719" max="12719" width="15.28515625" style="71" customWidth="1"/>
    <col min="12720" max="12720" width="14.42578125" style="71" bestFit="1" customWidth="1"/>
    <col min="12721" max="12970" width="9.140625" style="71"/>
    <col min="12971" max="12971" width="9" style="71" customWidth="1"/>
    <col min="12972" max="12972" width="11.42578125" style="71" customWidth="1"/>
    <col min="12973" max="12973" width="65.85546875" style="71" bestFit="1" customWidth="1"/>
    <col min="12974" max="12974" width="15" style="71" customWidth="1"/>
    <col min="12975" max="12975" width="15.28515625" style="71" customWidth="1"/>
    <col min="12976" max="12976" width="14.42578125" style="71" bestFit="1" customWidth="1"/>
    <col min="12977" max="13226" width="9.140625" style="71"/>
    <col min="13227" max="13227" width="9" style="71" customWidth="1"/>
    <col min="13228" max="13228" width="11.42578125" style="71" customWidth="1"/>
    <col min="13229" max="13229" width="65.85546875" style="71" bestFit="1" customWidth="1"/>
    <col min="13230" max="13230" width="15" style="71" customWidth="1"/>
    <col min="13231" max="13231" width="15.28515625" style="71" customWidth="1"/>
    <col min="13232" max="13232" width="14.42578125" style="71" bestFit="1" customWidth="1"/>
    <col min="13233" max="13482" width="9.140625" style="71"/>
    <col min="13483" max="13483" width="9" style="71" customWidth="1"/>
    <col min="13484" max="13484" width="11.42578125" style="71" customWidth="1"/>
    <col min="13485" max="13485" width="65.85546875" style="71" bestFit="1" customWidth="1"/>
    <col min="13486" max="13486" width="15" style="71" customWidth="1"/>
    <col min="13487" max="13487" width="15.28515625" style="71" customWidth="1"/>
    <col min="13488" max="13488" width="14.42578125" style="71" bestFit="1" customWidth="1"/>
    <col min="13489" max="13738" width="9.140625" style="71"/>
    <col min="13739" max="13739" width="9" style="71" customWidth="1"/>
    <col min="13740" max="13740" width="11.42578125" style="71" customWidth="1"/>
    <col min="13741" max="13741" width="65.85546875" style="71" bestFit="1" customWidth="1"/>
    <col min="13742" max="13742" width="15" style="71" customWidth="1"/>
    <col min="13743" max="13743" width="15.28515625" style="71" customWidth="1"/>
    <col min="13744" max="13744" width="14.42578125" style="71" bestFit="1" customWidth="1"/>
    <col min="13745" max="13994" width="9.140625" style="71"/>
    <col min="13995" max="13995" width="9" style="71" customWidth="1"/>
    <col min="13996" max="13996" width="11.42578125" style="71" customWidth="1"/>
    <col min="13997" max="13997" width="65.85546875" style="71" bestFit="1" customWidth="1"/>
    <col min="13998" max="13998" width="15" style="71" customWidth="1"/>
    <col min="13999" max="13999" width="15.28515625" style="71" customWidth="1"/>
    <col min="14000" max="14000" width="14.42578125" style="71" bestFit="1" customWidth="1"/>
    <col min="14001" max="14250" width="9.140625" style="71"/>
    <col min="14251" max="14251" width="9" style="71" customWidth="1"/>
    <col min="14252" max="14252" width="11.42578125" style="71" customWidth="1"/>
    <col min="14253" max="14253" width="65.85546875" style="71" bestFit="1" customWidth="1"/>
    <col min="14254" max="14254" width="15" style="71" customWidth="1"/>
    <col min="14255" max="14255" width="15.28515625" style="71" customWidth="1"/>
    <col min="14256" max="14256" width="14.42578125" style="71" bestFit="1" customWidth="1"/>
    <col min="14257" max="14506" width="9.140625" style="71"/>
    <col min="14507" max="14507" width="9" style="71" customWidth="1"/>
    <col min="14508" max="14508" width="11.42578125" style="71" customWidth="1"/>
    <col min="14509" max="14509" width="65.85546875" style="71" bestFit="1" customWidth="1"/>
    <col min="14510" max="14510" width="15" style="71" customWidth="1"/>
    <col min="14511" max="14511" width="15.28515625" style="71" customWidth="1"/>
    <col min="14512" max="14512" width="14.42578125" style="71" bestFit="1" customWidth="1"/>
    <col min="14513" max="14762" width="9.140625" style="71"/>
    <col min="14763" max="14763" width="9" style="71" customWidth="1"/>
    <col min="14764" max="14764" width="11.42578125" style="71" customWidth="1"/>
    <col min="14765" max="14765" width="65.85546875" style="71" bestFit="1" customWidth="1"/>
    <col min="14766" max="14766" width="15" style="71" customWidth="1"/>
    <col min="14767" max="14767" width="15.28515625" style="71" customWidth="1"/>
    <col min="14768" max="14768" width="14.42578125" style="71" bestFit="1" customWidth="1"/>
    <col min="14769" max="15018" width="9.140625" style="71"/>
    <col min="15019" max="15019" width="9" style="71" customWidth="1"/>
    <col min="15020" max="15020" width="11.42578125" style="71" customWidth="1"/>
    <col min="15021" max="15021" width="65.85546875" style="71" bestFit="1" customWidth="1"/>
    <col min="15022" max="15022" width="15" style="71" customWidth="1"/>
    <col min="15023" max="15023" width="15.28515625" style="71" customWidth="1"/>
    <col min="15024" max="15024" width="14.42578125" style="71" bestFit="1" customWidth="1"/>
    <col min="15025" max="15274" width="9.140625" style="71"/>
    <col min="15275" max="15275" width="9" style="71" customWidth="1"/>
    <col min="15276" max="15276" width="11.42578125" style="71" customWidth="1"/>
    <col min="15277" max="15277" width="65.85546875" style="71" bestFit="1" customWidth="1"/>
    <col min="15278" max="15278" width="15" style="71" customWidth="1"/>
    <col min="15279" max="15279" width="15.28515625" style="71" customWidth="1"/>
    <col min="15280" max="15280" width="14.42578125" style="71" bestFit="1" customWidth="1"/>
    <col min="15281" max="15530" width="9.140625" style="71"/>
    <col min="15531" max="15531" width="9" style="71" customWidth="1"/>
    <col min="15532" max="15532" width="11.42578125" style="71" customWidth="1"/>
    <col min="15533" max="15533" width="65.85546875" style="71" bestFit="1" customWidth="1"/>
    <col min="15534" max="15534" width="15" style="71" customWidth="1"/>
    <col min="15535" max="15535" width="15.28515625" style="71" customWidth="1"/>
    <col min="15536" max="15536" width="14.42578125" style="71" bestFit="1" customWidth="1"/>
    <col min="15537" max="15786" width="9.140625" style="71"/>
    <col min="15787" max="15787" width="9" style="71" customWidth="1"/>
    <col min="15788" max="15788" width="11.42578125" style="71" customWidth="1"/>
    <col min="15789" max="15789" width="65.85546875" style="71" bestFit="1" customWidth="1"/>
    <col min="15790" max="15790" width="15" style="71" customWidth="1"/>
    <col min="15791" max="15791" width="15.28515625" style="71" customWidth="1"/>
    <col min="15792" max="15792" width="14.42578125" style="71" bestFit="1" customWidth="1"/>
    <col min="15793" max="16042" width="9.140625" style="71"/>
    <col min="16043" max="16043" width="9" style="71" customWidth="1"/>
    <col min="16044" max="16044" width="11.42578125" style="71" customWidth="1"/>
    <col min="16045" max="16045" width="65.85546875" style="71" bestFit="1" customWidth="1"/>
    <col min="16046" max="16046" width="15" style="71" customWidth="1"/>
    <col min="16047" max="16047" width="15.28515625" style="71" customWidth="1"/>
    <col min="16048" max="16048" width="14.42578125" style="71" bestFit="1" customWidth="1"/>
    <col min="16049" max="16306" width="9.140625" style="71"/>
    <col min="16307" max="16384" width="9.140625" style="71" customWidth="1"/>
  </cols>
  <sheetData>
    <row r="1" spans="1:6" x14ac:dyDescent="0.2">
      <c r="A1" s="392" t="s">
        <v>31</v>
      </c>
      <c r="B1" s="392">
        <v>0</v>
      </c>
      <c r="C1" s="392">
        <v>0</v>
      </c>
      <c r="D1" s="392">
        <v>0</v>
      </c>
      <c r="E1" s="392">
        <v>0</v>
      </c>
      <c r="F1" s="392">
        <v>0</v>
      </c>
    </row>
    <row r="2" spans="1:6" x14ac:dyDescent="0.2">
      <c r="A2" s="392" t="s">
        <v>646</v>
      </c>
      <c r="B2" s="392">
        <v>0</v>
      </c>
      <c r="C2" s="392">
        <v>0</v>
      </c>
      <c r="D2" s="392">
        <v>0</v>
      </c>
      <c r="E2" s="392">
        <v>0</v>
      </c>
      <c r="F2" s="392">
        <v>0</v>
      </c>
    </row>
    <row r="3" spans="1:6" x14ac:dyDescent="0.2">
      <c r="A3" s="392" t="s">
        <v>647</v>
      </c>
      <c r="B3" s="392">
        <v>0</v>
      </c>
      <c r="C3" s="392">
        <v>0</v>
      </c>
      <c r="D3" s="392">
        <v>0</v>
      </c>
      <c r="E3" s="392">
        <v>0</v>
      </c>
      <c r="F3" s="392">
        <v>0</v>
      </c>
    </row>
    <row r="4" spans="1:6" x14ac:dyDescent="0.2">
      <c r="A4" s="392" t="s">
        <v>648</v>
      </c>
      <c r="B4" s="392">
        <v>0</v>
      </c>
      <c r="C4" s="392">
        <v>0</v>
      </c>
      <c r="D4" s="392">
        <v>0</v>
      </c>
      <c r="E4" s="392">
        <v>0</v>
      </c>
      <c r="F4" s="392">
        <v>0</v>
      </c>
    </row>
    <row r="5" spans="1:6" x14ac:dyDescent="0.2">
      <c r="A5" s="179"/>
      <c r="B5" s="180"/>
      <c r="C5" s="180"/>
      <c r="D5" s="180"/>
      <c r="E5" s="180"/>
      <c r="F5" s="180"/>
    </row>
    <row r="6" spans="1:6" x14ac:dyDescent="0.2">
      <c r="A6" s="181" t="s">
        <v>649</v>
      </c>
      <c r="B6" s="181"/>
      <c r="C6" s="181" t="s">
        <v>650</v>
      </c>
      <c r="D6" s="181" t="s">
        <v>651</v>
      </c>
      <c r="E6" s="180" t="s">
        <v>652</v>
      </c>
      <c r="F6" s="181" t="s">
        <v>653</v>
      </c>
    </row>
    <row r="7" spans="1:6" x14ac:dyDescent="0.2">
      <c r="A7" s="181"/>
      <c r="B7" s="181"/>
      <c r="C7" s="181"/>
      <c r="D7" s="181" t="s">
        <v>37</v>
      </c>
      <c r="E7" s="180" t="s">
        <v>38</v>
      </c>
      <c r="F7" s="181" t="s">
        <v>654</v>
      </c>
    </row>
    <row r="8" spans="1:6" ht="13.5" thickBot="1" x14ac:dyDescent="0.25">
      <c r="A8" s="181"/>
      <c r="B8" s="181"/>
      <c r="C8" s="181"/>
      <c r="D8" s="181"/>
      <c r="E8" s="180"/>
      <c r="F8" s="181"/>
    </row>
    <row r="9" spans="1:6" x14ac:dyDescent="0.2">
      <c r="A9" s="182"/>
      <c r="B9" s="183"/>
      <c r="C9" s="184" t="s">
        <v>655</v>
      </c>
      <c r="D9" s="183"/>
      <c r="E9" s="25"/>
      <c r="F9" s="185"/>
    </row>
    <row r="10" spans="1:6" x14ac:dyDescent="0.2">
      <c r="A10" s="54"/>
      <c r="B10" s="181"/>
      <c r="C10" s="181"/>
      <c r="D10" s="181"/>
      <c r="E10" s="7"/>
      <c r="F10" s="45"/>
    </row>
    <row r="11" spans="1:6" x14ac:dyDescent="0.2">
      <c r="A11" s="46">
        <v>1</v>
      </c>
      <c r="B11" s="181"/>
      <c r="C11" s="43" t="s">
        <v>656</v>
      </c>
      <c r="D11" s="44">
        <v>99562723.537753806</v>
      </c>
      <c r="E11" s="44">
        <v>-7398340.4688151656</v>
      </c>
      <c r="F11" s="186">
        <v>92164383.068938643</v>
      </c>
    </row>
    <row r="12" spans="1:6" x14ac:dyDescent="0.2">
      <c r="A12" s="46"/>
      <c r="B12" s="181"/>
      <c r="C12" s="43"/>
      <c r="D12" s="44"/>
      <c r="E12" s="7"/>
      <c r="F12" s="45"/>
    </row>
    <row r="13" spans="1:6" x14ac:dyDescent="0.2">
      <c r="A13" s="46">
        <v>2</v>
      </c>
      <c r="B13" s="187"/>
      <c r="C13" s="47" t="s">
        <v>657</v>
      </c>
      <c r="D13" s="188">
        <v>-43856.102485243231</v>
      </c>
      <c r="E13" s="189" t="s">
        <v>658</v>
      </c>
      <c r="F13" s="107">
        <v>-43856.102485243231</v>
      </c>
    </row>
    <row r="14" spans="1:6" x14ac:dyDescent="0.2">
      <c r="A14" s="46"/>
      <c r="B14" s="181"/>
      <c r="C14" s="6"/>
      <c r="D14" s="190"/>
      <c r="E14" s="190"/>
      <c r="F14" s="191"/>
    </row>
    <row r="15" spans="1:6" x14ac:dyDescent="0.2">
      <c r="A15" s="46">
        <v>3</v>
      </c>
      <c r="B15" s="187" t="s">
        <v>659</v>
      </c>
      <c r="C15" s="47" t="s">
        <v>660</v>
      </c>
      <c r="D15" s="192">
        <v>99518867.435268566</v>
      </c>
      <c r="E15" s="192">
        <v>-7398340.4688151656</v>
      </c>
      <c r="F15" s="193">
        <v>92120526.966453403</v>
      </c>
    </row>
    <row r="16" spans="1:6" x14ac:dyDescent="0.2">
      <c r="A16" s="46"/>
      <c r="B16" s="187"/>
      <c r="C16" s="47"/>
      <c r="D16" s="44"/>
      <c r="E16" s="44"/>
      <c r="F16" s="186"/>
    </row>
    <row r="17" spans="1:6" ht="13.5" thickBot="1" x14ac:dyDescent="0.25">
      <c r="A17" s="194"/>
      <c r="B17" s="195"/>
      <c r="C17" s="109"/>
      <c r="D17" s="109"/>
      <c r="E17" s="109"/>
      <c r="F17" s="110"/>
    </row>
    <row r="18" spans="1:6" x14ac:dyDescent="0.2">
      <c r="A18" s="181"/>
      <c r="B18" s="214"/>
      <c r="C18" s="71" t="s">
        <v>661</v>
      </c>
    </row>
    <row r="19" spans="1:6" ht="13.5" thickBot="1" x14ac:dyDescent="0.25">
      <c r="A19" s="181"/>
      <c r="B19" s="214"/>
    </row>
    <row r="20" spans="1:6" x14ac:dyDescent="0.2">
      <c r="A20" s="196"/>
      <c r="B20" s="183"/>
      <c r="C20" s="184" t="s">
        <v>647</v>
      </c>
      <c r="D20" s="197"/>
      <c r="E20" s="197"/>
      <c r="F20" s="185"/>
    </row>
    <row r="21" spans="1:6" x14ac:dyDescent="0.2">
      <c r="A21" s="46"/>
      <c r="B21" s="181"/>
      <c r="C21" s="6"/>
      <c r="D21" s="6"/>
      <c r="E21" s="6"/>
      <c r="F21" s="45"/>
    </row>
    <row r="22" spans="1:6" x14ac:dyDescent="0.2">
      <c r="A22" s="46">
        <v>4</v>
      </c>
      <c r="B22" s="181"/>
      <c r="C22" s="6" t="s">
        <v>662</v>
      </c>
      <c r="D22" s="198">
        <v>0.95238599999999995</v>
      </c>
      <c r="E22" s="198">
        <v>0.95238599999999995</v>
      </c>
      <c r="F22" s="199">
        <v>0.95238599999999995</v>
      </c>
    </row>
    <row r="23" spans="1:6" x14ac:dyDescent="0.2">
      <c r="A23" s="46"/>
      <c r="B23" s="181"/>
      <c r="C23" s="6"/>
      <c r="D23" s="6"/>
      <c r="E23" s="6"/>
      <c r="F23" s="45"/>
    </row>
    <row r="24" spans="1:6" x14ac:dyDescent="0.2">
      <c r="A24" s="46">
        <v>5</v>
      </c>
      <c r="B24" s="187" t="s">
        <v>663</v>
      </c>
      <c r="C24" s="43" t="s">
        <v>664</v>
      </c>
      <c r="D24" s="44">
        <v>104540305.65102156</v>
      </c>
      <c r="E24" s="44">
        <v>-7768216.3207094241</v>
      </c>
      <c r="F24" s="186">
        <v>96772089.330312133</v>
      </c>
    </row>
    <row r="25" spans="1:6" x14ac:dyDescent="0.2">
      <c r="A25" s="46"/>
      <c r="B25" s="187"/>
      <c r="C25" s="47"/>
      <c r="D25" s="106"/>
      <c r="E25" s="106"/>
      <c r="F25" s="107"/>
    </row>
    <row r="26" spans="1:6" x14ac:dyDescent="0.2">
      <c r="A26" s="46">
        <v>6</v>
      </c>
      <c r="B26" s="187" t="s">
        <v>665</v>
      </c>
      <c r="C26" s="47" t="s">
        <v>666</v>
      </c>
      <c r="D26" s="188">
        <v>-46048.663551588572</v>
      </c>
      <c r="E26" s="189" t="s">
        <v>658</v>
      </c>
      <c r="F26" s="107">
        <v>-46048.663551588572</v>
      </c>
    </row>
    <row r="27" spans="1:6" x14ac:dyDescent="0.2">
      <c r="A27" s="46"/>
      <c r="B27" s="187"/>
      <c r="C27" s="47"/>
      <c r="D27" s="200"/>
      <c r="E27" s="201"/>
      <c r="F27" s="202"/>
    </row>
    <row r="28" spans="1:6" x14ac:dyDescent="0.2">
      <c r="A28" s="46">
        <v>7</v>
      </c>
      <c r="B28" s="187" t="s">
        <v>667</v>
      </c>
      <c r="C28" s="47" t="s">
        <v>668</v>
      </c>
      <c r="D28" s="192">
        <v>104494256.98746997</v>
      </c>
      <c r="E28" s="192">
        <v>-7768216.3207094241</v>
      </c>
      <c r="F28" s="193">
        <v>96726040.666760549</v>
      </c>
    </row>
    <row r="29" spans="1:6" x14ac:dyDescent="0.2">
      <c r="A29" s="46"/>
      <c r="B29" s="187"/>
      <c r="C29" s="203"/>
      <c r="D29" s="44"/>
      <c r="E29" s="44"/>
      <c r="F29" s="186"/>
    </row>
    <row r="30" spans="1:6" ht="13.5" thickBot="1" x14ac:dyDescent="0.25">
      <c r="A30" s="204"/>
      <c r="B30" s="205"/>
      <c r="C30" s="205"/>
      <c r="D30" s="205"/>
      <c r="E30" s="205"/>
      <c r="F30" s="206"/>
    </row>
    <row r="31" spans="1:6" x14ac:dyDescent="0.2">
      <c r="A31" s="207"/>
      <c r="B31" s="207"/>
      <c r="C31" s="207"/>
      <c r="D31" s="207"/>
      <c r="E31" s="207"/>
      <c r="F31" s="207"/>
    </row>
    <row r="32" spans="1:6" x14ac:dyDescent="0.2">
      <c r="A32" s="207"/>
      <c r="B32" s="214"/>
    </row>
    <row r="33" spans="1:6" ht="15" x14ac:dyDescent="0.25">
      <c r="A33" s="207"/>
      <c r="B33" s="208"/>
      <c r="C33" s="208"/>
      <c r="D33" s="208"/>
      <c r="E33" s="208"/>
      <c r="F33" s="208"/>
    </row>
    <row r="34" spans="1:6" ht="40.15" customHeight="1" x14ac:dyDescent="0.2">
      <c r="A34" s="207"/>
      <c r="B34" s="393" t="s">
        <v>669</v>
      </c>
      <c r="C34" s="393">
        <v>0</v>
      </c>
      <c r="D34" s="393">
        <v>0</v>
      </c>
      <c r="E34" s="393">
        <v>0</v>
      </c>
      <c r="F34" s="393">
        <v>0</v>
      </c>
    </row>
    <row r="35" spans="1:6" ht="40.15" customHeight="1" x14ac:dyDescent="0.2">
      <c r="A35" s="207"/>
      <c r="B35" s="393">
        <v>0</v>
      </c>
      <c r="C35" s="393">
        <v>0</v>
      </c>
      <c r="D35" s="393">
        <v>0</v>
      </c>
      <c r="E35" s="393">
        <v>0</v>
      </c>
      <c r="F35" s="393">
        <v>0</v>
      </c>
    </row>
    <row r="36" spans="1:6" x14ac:dyDescent="0.2">
      <c r="B36" s="214"/>
    </row>
    <row r="37" spans="1:6" x14ac:dyDescent="0.2">
      <c r="B37" s="391" t="s">
        <v>670</v>
      </c>
      <c r="C37" s="391">
        <v>0</v>
      </c>
      <c r="D37" s="391">
        <v>0</v>
      </c>
      <c r="E37" s="391">
        <v>0</v>
      </c>
      <c r="F37" s="391">
        <v>0</v>
      </c>
    </row>
    <row r="38" spans="1:6" x14ac:dyDescent="0.2">
      <c r="B38" s="391">
        <v>0</v>
      </c>
      <c r="C38" s="391">
        <v>0</v>
      </c>
      <c r="D38" s="391">
        <v>0</v>
      </c>
      <c r="E38" s="391">
        <v>0</v>
      </c>
      <c r="F38" s="391">
        <v>0</v>
      </c>
    </row>
  </sheetData>
  <mergeCells count="6">
    <mergeCell ref="B37:F38"/>
    <mergeCell ref="A1:F1"/>
    <mergeCell ref="A2:F2"/>
    <mergeCell ref="A3:F3"/>
    <mergeCell ref="A4:F4"/>
    <mergeCell ref="B34:F35"/>
  </mergeCells>
  <printOptions horizontalCentered="1"/>
  <pageMargins left="0.7" right="0.7" top="0.91" bottom="0.75" header="0.3" footer="0.3"/>
  <pageSetup scale="80" orientation="landscape" r:id="rId1"/>
  <headerFooter alignWithMargins="0">
    <oddHeader>&amp;RAdvice No. 2018-xx
Electric Schedule 120 Rate Design Workpapers
Page &amp;P of &amp;N</oddHeader>
    <oddFooter>&amp;L&amp;F
&amp;A&amp;R&amp;D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pane xSplit="2" ySplit="3" topLeftCell="C4"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4.42578125" style="181" bestFit="1" customWidth="1"/>
    <col min="2" max="2" width="21" style="6" bestFit="1" customWidth="1"/>
    <col min="3" max="3" width="8.5703125" style="6" bestFit="1" customWidth="1"/>
    <col min="4" max="4" width="15.140625" style="106" bestFit="1" customWidth="1"/>
    <col min="5" max="5" width="11.28515625" style="6" bestFit="1" customWidth="1"/>
    <col min="6" max="6" width="11.85546875" style="106" bestFit="1" customWidth="1"/>
    <col min="7" max="7" width="11.28515625" style="6" bestFit="1" customWidth="1"/>
    <col min="8" max="8" width="9.85546875" style="6" bestFit="1" customWidth="1"/>
    <col min="9" max="10" width="12.42578125" style="6" bestFit="1" customWidth="1"/>
    <col min="11" max="11" width="15.140625" style="6" bestFit="1" customWidth="1"/>
    <col min="12" max="12" width="11.5703125" style="6" bestFit="1" customWidth="1"/>
    <col min="13" max="13" width="4.28515625" style="6" customWidth="1"/>
    <col min="14" max="14" width="14.85546875" style="6" bestFit="1" customWidth="1"/>
    <col min="15" max="15" width="19.7109375" style="6" customWidth="1"/>
    <col min="16" max="16" width="10.28515625" style="6" bestFit="1" customWidth="1"/>
    <col min="17" max="17" width="11" style="6" bestFit="1" customWidth="1"/>
    <col min="18" max="18" width="13.85546875" style="6" bestFit="1" customWidth="1"/>
    <col min="19" max="19" width="8.42578125" style="6" bestFit="1" customWidth="1"/>
    <col min="20" max="16384" width="9.140625" style="6"/>
  </cols>
  <sheetData>
    <row r="1" spans="1:12" x14ac:dyDescent="0.2">
      <c r="A1" s="196"/>
      <c r="B1" s="411" t="s">
        <v>377</v>
      </c>
      <c r="C1" s="411"/>
      <c r="D1" s="411"/>
      <c r="E1" s="411"/>
      <c r="F1" s="411"/>
      <c r="G1" s="411"/>
      <c r="H1" s="411"/>
      <c r="I1" s="411"/>
      <c r="J1" s="411"/>
      <c r="K1" s="411"/>
      <c r="L1" s="412"/>
    </row>
    <row r="2" spans="1:12" x14ac:dyDescent="0.2">
      <c r="A2" s="46"/>
      <c r="L2" s="45"/>
    </row>
    <row r="3" spans="1:12" s="5" customFormat="1" ht="76.5" x14ac:dyDescent="0.2">
      <c r="A3" s="308" t="s">
        <v>77</v>
      </c>
      <c r="B3" s="97" t="s">
        <v>20</v>
      </c>
      <c r="C3" s="97" t="s">
        <v>32</v>
      </c>
      <c r="D3" s="93" t="s">
        <v>234</v>
      </c>
      <c r="E3" s="93" t="s">
        <v>220</v>
      </c>
      <c r="F3" s="93" t="s">
        <v>224</v>
      </c>
      <c r="G3" s="93" t="s">
        <v>221</v>
      </c>
      <c r="H3" s="94" t="s">
        <v>227</v>
      </c>
      <c r="I3" s="94" t="s">
        <v>379</v>
      </c>
      <c r="J3" s="94" t="s">
        <v>379</v>
      </c>
      <c r="K3" s="94" t="str">
        <f>+'Peak Credit Budget 2018'!K3</f>
        <v>F2017
Forecast
KWH
5/18 to 4/19</v>
      </c>
      <c r="L3" s="309" t="s">
        <v>374</v>
      </c>
    </row>
    <row r="4" spans="1:12" s="5" customFormat="1" ht="32.25" customHeight="1" x14ac:dyDescent="0.2">
      <c r="A4" s="310"/>
      <c r="D4" s="4" t="s">
        <v>37</v>
      </c>
      <c r="E4" s="13" t="s">
        <v>225</v>
      </c>
      <c r="F4" s="4" t="s">
        <v>46</v>
      </c>
      <c r="G4" s="13" t="s">
        <v>226</v>
      </c>
      <c r="H4" s="5" t="s">
        <v>58</v>
      </c>
      <c r="I4" s="5" t="s">
        <v>41</v>
      </c>
      <c r="J4" s="3" t="s">
        <v>151</v>
      </c>
      <c r="K4" s="5" t="s">
        <v>56</v>
      </c>
      <c r="L4" s="311" t="s">
        <v>196</v>
      </c>
    </row>
    <row r="5" spans="1:12" s="5" customFormat="1" x14ac:dyDescent="0.2">
      <c r="A5" s="310"/>
      <c r="D5" s="4"/>
      <c r="E5" s="3"/>
      <c r="F5" s="4"/>
      <c r="G5" s="3"/>
      <c r="L5" s="11"/>
    </row>
    <row r="6" spans="1:12" x14ac:dyDescent="0.2">
      <c r="A6" s="46">
        <v>1</v>
      </c>
      <c r="B6" s="6" t="s">
        <v>4</v>
      </c>
      <c r="C6" s="181">
        <v>7</v>
      </c>
      <c r="D6" s="106">
        <f>+'UE-141368 Final PC Alloc'!C8</f>
        <v>11786470304.505386</v>
      </c>
      <c r="E6" s="12">
        <f t="shared" ref="E6:E13" si="0">+D6/D$25*0.75</f>
        <v>0.38907514741575877</v>
      </c>
      <c r="F6" s="106">
        <f>+'UE-141368 Final PC Alloc'!E8</f>
        <v>2552474.8564782003</v>
      </c>
      <c r="G6" s="12">
        <f t="shared" ref="G6:G13" si="1">+F6/F$25*0.25</f>
        <v>0.15797278696410502</v>
      </c>
      <c r="H6" s="12">
        <f t="shared" ref="H6:H11" si="2">+G6+E6</f>
        <v>0.54704793437986377</v>
      </c>
      <c r="I6" s="12"/>
      <c r="J6" s="44">
        <f t="shared" ref="J6:J13" si="3">+H6*(SUM($I$25))</f>
        <v>-25190.82627684985</v>
      </c>
      <c r="K6" s="106">
        <f>+'Projected Revenue on F2017'!C8</f>
        <v>10637302000</v>
      </c>
      <c r="L6" s="53">
        <f>+J6/K6</f>
        <v>-2.3681593581577216E-6</v>
      </c>
    </row>
    <row r="7" spans="1:12" x14ac:dyDescent="0.2">
      <c r="A7" s="46">
        <f>+A6+1</f>
        <v>2</v>
      </c>
      <c r="B7" s="43" t="s">
        <v>5</v>
      </c>
      <c r="C7" s="187" t="s">
        <v>244</v>
      </c>
      <c r="D7" s="106">
        <f>+'UE-141368 Final PC Alloc'!C9</f>
        <v>2918217955.3328881</v>
      </c>
      <c r="E7" s="12">
        <f t="shared" si="0"/>
        <v>9.6331306305370151E-2</v>
      </c>
      <c r="F7" s="106">
        <f>+'UE-141368 Final PC Alloc'!E9</f>
        <v>437500.53947799094</v>
      </c>
      <c r="G7" s="12">
        <f t="shared" si="1"/>
        <v>2.7076928630355719E-2</v>
      </c>
      <c r="H7" s="12">
        <f t="shared" si="2"/>
        <v>0.12340823493572586</v>
      </c>
      <c r="I7" s="12"/>
      <c r="J7" s="44">
        <f t="shared" si="3"/>
        <v>-5682.7842900506394</v>
      </c>
      <c r="K7" s="106">
        <f>SUM('Projected Revenue on F2017'!C12:C13)</f>
        <v>3012037000</v>
      </c>
      <c r="L7" s="53">
        <f t="shared" ref="L7:L13" si="4">+J7/K7</f>
        <v>-1.886691395242037E-6</v>
      </c>
    </row>
    <row r="8" spans="1:12" x14ac:dyDescent="0.2">
      <c r="A8" s="46">
        <f t="shared" ref="A8:A25" si="5">+A7+1</f>
        <v>3</v>
      </c>
      <c r="B8" s="6" t="s">
        <v>6</v>
      </c>
      <c r="C8" s="187" t="s">
        <v>245</v>
      </c>
      <c r="D8" s="106">
        <f>+'UE-141368 Final PC Alloc'!C10</f>
        <v>2999905247.897716</v>
      </c>
      <c r="E8" s="12">
        <f t="shared" si="0"/>
        <v>9.9027829910448589E-2</v>
      </c>
      <c r="F8" s="106">
        <f>+'UE-141368 Final PC Alloc'!E10</f>
        <v>432535.97934953577</v>
      </c>
      <c r="G8" s="12">
        <f t="shared" si="1"/>
        <v>2.6769671774307769E-2</v>
      </c>
      <c r="H8" s="12">
        <f t="shared" si="2"/>
        <v>0.12579750168475637</v>
      </c>
      <c r="I8" s="12"/>
      <c r="J8" s="44">
        <f t="shared" si="3"/>
        <v>-5792.8068307117428</v>
      </c>
      <c r="K8" s="106">
        <f>SUM('Projected Revenue on F2017'!C9,'Projected Revenue on F2017'!C14:C15)</f>
        <v>2993580000</v>
      </c>
      <c r="L8" s="53">
        <f t="shared" si="4"/>
        <v>-1.935076674320293E-6</v>
      </c>
    </row>
    <row r="9" spans="1:12" x14ac:dyDescent="0.2">
      <c r="A9" s="46">
        <f t="shared" si="5"/>
        <v>4</v>
      </c>
      <c r="B9" s="6" t="s">
        <v>7</v>
      </c>
      <c r="C9" s="187" t="s">
        <v>246</v>
      </c>
      <c r="D9" s="106">
        <f>+'UE-141368 Final PC Alloc'!C11</f>
        <v>2049311018.9545679</v>
      </c>
      <c r="E9" s="12">
        <f t="shared" si="0"/>
        <v>6.7648410949264867E-2</v>
      </c>
      <c r="F9" s="106">
        <f>+'UE-141368 Final PC Alloc'!E11</f>
        <v>267916.78757331776</v>
      </c>
      <c r="G9" s="12">
        <f t="shared" si="1"/>
        <v>1.6581382378756677E-2</v>
      </c>
      <c r="H9" s="12">
        <f t="shared" si="2"/>
        <v>8.4229793328021552E-2</v>
      </c>
      <c r="I9" s="12"/>
      <c r="J9" s="44">
        <f t="shared" si="3"/>
        <v>-3878.6694139819042</v>
      </c>
      <c r="K9" s="106">
        <f>SUM('Projected Revenue on F2017'!C16:C17)</f>
        <v>1913788000</v>
      </c>
      <c r="L9" s="53">
        <f t="shared" si="4"/>
        <v>-2.0266975307515276E-6</v>
      </c>
    </row>
    <row r="10" spans="1:12" x14ac:dyDescent="0.2">
      <c r="A10" s="46">
        <f t="shared" si="5"/>
        <v>5</v>
      </c>
      <c r="B10" s="6" t="s">
        <v>8</v>
      </c>
      <c r="C10" s="181">
        <v>29</v>
      </c>
      <c r="D10" s="106">
        <f>+'UE-141368 Final PC Alloc'!C12</f>
        <v>17798308.365999948</v>
      </c>
      <c r="E10" s="12">
        <f t="shared" si="0"/>
        <v>5.875278410200146E-4</v>
      </c>
      <c r="F10" s="106">
        <f>+'UE-141368 Final PC Alloc'!E12</f>
        <v>614.89645437416527</v>
      </c>
      <c r="G10" s="12">
        <f t="shared" si="1"/>
        <v>3.8055970010948139E-5</v>
      </c>
      <c r="H10" s="12">
        <f t="shared" si="2"/>
        <v>6.2558381103096274E-4</v>
      </c>
      <c r="I10" s="12"/>
      <c r="J10" s="44">
        <f t="shared" si="3"/>
        <v>-28.807298437485368</v>
      </c>
      <c r="K10" s="106">
        <f>SUM('Projected Revenue on F2017'!C18)</f>
        <v>16193000</v>
      </c>
      <c r="L10" s="53">
        <f t="shared" si="4"/>
        <v>-1.7789970010180552E-6</v>
      </c>
    </row>
    <row r="11" spans="1:12" x14ac:dyDescent="0.2">
      <c r="A11" s="46">
        <f t="shared" si="5"/>
        <v>6</v>
      </c>
      <c r="B11" s="6" t="s">
        <v>10</v>
      </c>
      <c r="C11" s="187" t="s">
        <v>247</v>
      </c>
      <c r="D11" s="106">
        <f>+'UE-141368 Final PC Alloc'!C13</f>
        <v>1322270702.6607897</v>
      </c>
      <c r="E11" s="12">
        <f t="shared" si="0"/>
        <v>4.3648578011063421E-2</v>
      </c>
      <c r="F11" s="106">
        <f>+'UE-141368 Final PC Alloc'!E13</f>
        <v>170195.01684374851</v>
      </c>
      <c r="G11" s="12">
        <f t="shared" si="1"/>
        <v>1.0533377466960123E-2</v>
      </c>
      <c r="H11" s="12">
        <f t="shared" si="2"/>
        <v>5.4181955478023541E-2</v>
      </c>
      <c r="I11" s="12"/>
      <c r="J11" s="44">
        <f t="shared" si="3"/>
        <v>-2495.0066383746575</v>
      </c>
      <c r="K11" s="106">
        <f>SUM('Projected Revenue on F2017'!C21:C22)</f>
        <v>1316672000</v>
      </c>
      <c r="L11" s="53">
        <f t="shared" si="4"/>
        <v>-1.8949340749819678E-6</v>
      </c>
    </row>
    <row r="12" spans="1:12" x14ac:dyDescent="0.2">
      <c r="A12" s="46">
        <f t="shared" si="5"/>
        <v>7</v>
      </c>
      <c r="B12" s="6" t="s">
        <v>11</v>
      </c>
      <c r="C12" s="181">
        <v>35</v>
      </c>
      <c r="D12" s="106">
        <f>+'UE-141368 Final PC Alloc'!C14</f>
        <v>4375940.3410168542</v>
      </c>
      <c r="E12" s="12">
        <f t="shared" si="0"/>
        <v>1.4445118761406372E-4</v>
      </c>
      <c r="F12" s="106">
        <f>+'UE-141368 Final PC Alloc'!E14</f>
        <v>3.7791345676280526</v>
      </c>
      <c r="G12" s="12">
        <f t="shared" si="1"/>
        <v>2.3389081324166623E-7</v>
      </c>
      <c r="H12" s="12">
        <f>+G12+E12</f>
        <v>1.446850784273054E-4</v>
      </c>
      <c r="I12" s="12"/>
      <c r="J12" s="44">
        <f t="shared" si="3"/>
        <v>-6.6625544974341917</v>
      </c>
      <c r="K12" s="106">
        <f>SUM('Projected Revenue on F2017'!C23)</f>
        <v>5161000</v>
      </c>
      <c r="L12" s="53">
        <f t="shared" si="4"/>
        <v>-1.2909425493962781E-6</v>
      </c>
    </row>
    <row r="13" spans="1:12" x14ac:dyDescent="0.2">
      <c r="A13" s="46">
        <f t="shared" si="5"/>
        <v>8</v>
      </c>
      <c r="B13" s="6" t="s">
        <v>12</v>
      </c>
      <c r="C13" s="181">
        <v>43</v>
      </c>
      <c r="D13" s="106">
        <f>+'UE-141368 Final PC Alloc'!C15</f>
        <v>137254791.32199681</v>
      </c>
      <c r="E13" s="12">
        <f t="shared" si="0"/>
        <v>4.5308244781910676E-3</v>
      </c>
      <c r="F13" s="106">
        <v>0</v>
      </c>
      <c r="G13" s="12">
        <f t="shared" si="1"/>
        <v>0</v>
      </c>
      <c r="H13" s="12">
        <f>+G13+E13</f>
        <v>4.5308244781910676E-3</v>
      </c>
      <c r="I13" s="12"/>
      <c r="J13" s="44">
        <f t="shared" si="3"/>
        <v>-208.63841200752233</v>
      </c>
      <c r="K13" s="106">
        <f>SUM('Projected Revenue on F2017'!C24)</f>
        <v>123190000</v>
      </c>
      <c r="L13" s="53">
        <f t="shared" si="4"/>
        <v>-1.6936310740118706E-6</v>
      </c>
    </row>
    <row r="14" spans="1:12" x14ac:dyDescent="0.2">
      <c r="A14" s="46">
        <f t="shared" si="5"/>
        <v>9</v>
      </c>
      <c r="C14" s="181"/>
      <c r="E14" s="12"/>
      <c r="G14" s="12"/>
      <c r="H14" s="12"/>
      <c r="I14" s="12"/>
      <c r="J14" s="44"/>
      <c r="K14" s="106"/>
      <c r="L14" s="53"/>
    </row>
    <row r="15" spans="1:12" x14ac:dyDescent="0.2">
      <c r="A15" s="46">
        <f t="shared" si="5"/>
        <v>10</v>
      </c>
      <c r="B15" s="47" t="s">
        <v>60</v>
      </c>
      <c r="C15" s="181"/>
      <c r="E15" s="12"/>
      <c r="G15" s="12"/>
      <c r="H15" s="12"/>
      <c r="I15" s="12"/>
      <c r="J15" s="44"/>
      <c r="K15" s="106"/>
      <c r="L15" s="53"/>
    </row>
    <row r="16" spans="1:12" x14ac:dyDescent="0.2">
      <c r="A16" s="46">
        <f t="shared" si="5"/>
        <v>11</v>
      </c>
      <c r="B16" s="52" t="s">
        <v>119</v>
      </c>
      <c r="C16" s="181">
        <v>40</v>
      </c>
      <c r="D16" s="106">
        <f>+'UE-141368 Final PC Alloc'!C17</f>
        <v>741555022.86859286</v>
      </c>
      <c r="E16" s="12">
        <f>+D16/D$25*0.75</f>
        <v>2.4478968035850982E-2</v>
      </c>
      <c r="F16" s="106">
        <f>+'UE-141368 Final PC Alloc'!E17</f>
        <v>90993.297809216907</v>
      </c>
      <c r="G16" s="12">
        <f>+F16/F$25*0.25</f>
        <v>5.6315794114462237E-3</v>
      </c>
      <c r="H16" s="12">
        <f>+G16+E16</f>
        <v>3.0110547447297208E-2</v>
      </c>
      <c r="I16" s="44"/>
      <c r="J16" s="44">
        <f>+H16*(SUM($I$25))</f>
        <v>-1386.5504687547332</v>
      </c>
      <c r="K16" s="106">
        <f>SUM('Projected Revenue on F2017'!C27)</f>
        <v>679072000</v>
      </c>
      <c r="L16" s="53">
        <f>+J16/K16</f>
        <v>-2.0418313061865797E-6</v>
      </c>
    </row>
    <row r="17" spans="1:15" x14ac:dyDescent="0.2">
      <c r="A17" s="46">
        <f t="shared" si="5"/>
        <v>12</v>
      </c>
      <c r="B17" s="48"/>
      <c r="C17" s="187"/>
      <c r="E17" s="12"/>
      <c r="G17" s="12"/>
      <c r="H17" s="12"/>
      <c r="I17" s="44"/>
      <c r="J17" s="44"/>
      <c r="K17" s="106"/>
      <c r="L17" s="53"/>
    </row>
    <row r="18" spans="1:15" x14ac:dyDescent="0.2">
      <c r="A18" s="46">
        <f t="shared" si="5"/>
        <v>13</v>
      </c>
      <c r="B18" s="52" t="s">
        <v>67</v>
      </c>
      <c r="C18" s="181">
        <v>46</v>
      </c>
      <c r="D18" s="106">
        <f>+'UE-141368 Final PC Alloc'!C20</f>
        <v>46821433.391501412</v>
      </c>
      <c r="E18" s="12">
        <f>+D18/D$25*0.75</f>
        <v>1.5455904633342233E-3</v>
      </c>
      <c r="F18" s="106">
        <v>0</v>
      </c>
      <c r="G18" s="12">
        <f>+F18/F$25*0.25</f>
        <v>0</v>
      </c>
      <c r="H18" s="12">
        <f t="shared" ref="H18:H19" si="6">+G18+E18</f>
        <v>1.5455904633342233E-3</v>
      </c>
      <c r="I18" s="44"/>
      <c r="J18" s="44">
        <f t="shared" ref="J18:J19" si="7">+H18*(SUM($I$25))</f>
        <v>-71.172375234621541</v>
      </c>
      <c r="K18" s="106">
        <f>SUM('Projected Revenue on F2017'!C29)</f>
        <v>72776000</v>
      </c>
      <c r="L18" s="53">
        <f>+J18/K18</f>
        <v>-9.7796492297765116E-7</v>
      </c>
    </row>
    <row r="19" spans="1:15" x14ac:dyDescent="0.2">
      <c r="A19" s="46">
        <f t="shared" si="5"/>
        <v>14</v>
      </c>
      <c r="B19" s="52" t="s">
        <v>68</v>
      </c>
      <c r="C19" s="181">
        <v>49</v>
      </c>
      <c r="D19" s="106">
        <f>+'UE-141368 Final PC Alloc'!C21</f>
        <v>604282290.05697274</v>
      </c>
      <c r="E19" s="12">
        <f>+D19/D$25*0.75</f>
        <v>1.9947551303359883E-2</v>
      </c>
      <c r="F19" s="106">
        <f>+'UE-141368 Final PC Alloc'!E21</f>
        <v>71206.398327346193</v>
      </c>
      <c r="G19" s="12">
        <f>+F19/F$25*0.25</f>
        <v>4.4069672870225727E-3</v>
      </c>
      <c r="H19" s="12">
        <f t="shared" si="6"/>
        <v>2.4354518590382457E-2</v>
      </c>
      <c r="I19" s="44"/>
      <c r="J19" s="44">
        <f t="shared" si="7"/>
        <v>-1121.4930325294308</v>
      </c>
      <c r="K19" s="106">
        <f>SUM('Projected Revenue on F2017'!C30)</f>
        <v>584007000</v>
      </c>
      <c r="L19" s="53">
        <f>+J19/K19</f>
        <v>-1.9203417639333617E-6</v>
      </c>
    </row>
    <row r="20" spans="1:15" x14ac:dyDescent="0.2">
      <c r="A20" s="46">
        <f t="shared" si="5"/>
        <v>15</v>
      </c>
      <c r="B20" s="43"/>
      <c r="C20" s="187"/>
      <c r="E20" s="12"/>
      <c r="G20" s="12"/>
      <c r="H20" s="12"/>
      <c r="I20" s="12"/>
      <c r="J20" s="44"/>
      <c r="K20" s="106"/>
      <c r="L20" s="53"/>
    </row>
    <row r="21" spans="1:15" x14ac:dyDescent="0.2">
      <c r="A21" s="46">
        <f t="shared" si="5"/>
        <v>16</v>
      </c>
      <c r="B21" s="43" t="s">
        <v>261</v>
      </c>
      <c r="C21" s="187" t="s">
        <v>273</v>
      </c>
      <c r="E21" s="12"/>
      <c r="G21" s="12"/>
      <c r="H21" s="12"/>
      <c r="I21" s="12"/>
      <c r="J21" s="44">
        <v>0</v>
      </c>
      <c r="K21" s="106">
        <f>+'Projected Revenue on F2017'!C35</f>
        <v>2088697000</v>
      </c>
      <c r="L21" s="53">
        <f>+J21/K21</f>
        <v>0</v>
      </c>
    </row>
    <row r="22" spans="1:15" x14ac:dyDescent="0.2">
      <c r="A22" s="46">
        <f t="shared" si="5"/>
        <v>17</v>
      </c>
      <c r="B22" s="43"/>
      <c r="C22" s="43"/>
      <c r="E22" s="12"/>
      <c r="G22" s="12"/>
      <c r="H22" s="12"/>
      <c r="I22" s="12"/>
      <c r="J22" s="44"/>
      <c r="K22" s="106"/>
      <c r="L22" s="53"/>
    </row>
    <row r="23" spans="1:15" x14ac:dyDescent="0.2">
      <c r="A23" s="46">
        <f t="shared" si="5"/>
        <v>18</v>
      </c>
      <c r="B23" s="6" t="s">
        <v>17</v>
      </c>
      <c r="C23" s="187" t="s">
        <v>114</v>
      </c>
      <c r="D23" s="106">
        <f>+'UE-141368 Final PC Alloc'!C23</f>
        <v>91905021.488787219</v>
      </c>
      <c r="E23" s="12">
        <f>+D23/D$25*0.75</f>
        <v>3.0338140987238452E-3</v>
      </c>
      <c r="F23" s="106">
        <f>+'UE-141368 Final PC Alloc'!E23</f>
        <v>15980.214685035569</v>
      </c>
      <c r="G23" s="12">
        <f>+F23/F$25*0.25</f>
        <v>9.8901622622167714E-4</v>
      </c>
      <c r="H23" s="12">
        <f>+G23+E23</f>
        <v>4.0228303249455226E-3</v>
      </c>
      <c r="I23" s="12"/>
      <c r="J23" s="44">
        <f>+H23*(SUM($I$25))</f>
        <v>-185.24596015854411</v>
      </c>
      <c r="K23" s="106">
        <f>+'Projected Revenue on F2017'!C33</f>
        <v>76506000</v>
      </c>
      <c r="L23" s="53">
        <f>+J23/K23</f>
        <v>-2.4213259111513361E-6</v>
      </c>
    </row>
    <row r="24" spans="1:15" x14ac:dyDescent="0.2">
      <c r="A24" s="46">
        <f t="shared" si="5"/>
        <v>19</v>
      </c>
      <c r="E24" s="12"/>
      <c r="J24" s="44"/>
      <c r="L24" s="53"/>
    </row>
    <row r="25" spans="1:15" x14ac:dyDescent="0.2">
      <c r="A25" s="46">
        <f t="shared" si="5"/>
        <v>20</v>
      </c>
      <c r="B25" s="6" t="s">
        <v>18</v>
      </c>
      <c r="D25" s="106">
        <f>SUM(D6:D23)</f>
        <v>22720168037.186218</v>
      </c>
      <c r="E25" s="12">
        <f>SUM(E6:E24)</f>
        <v>0.74999999999999989</v>
      </c>
      <c r="F25" s="106">
        <f>SUM(F6:F23)</f>
        <v>4039421.766133334</v>
      </c>
      <c r="G25" s="12">
        <f>SUM(G6:G24)</f>
        <v>0.25</v>
      </c>
      <c r="H25" s="12">
        <f>SUM(H6:H24)</f>
        <v>0.99999999999999989</v>
      </c>
      <c r="I25" s="44">
        <f>+'Table 1'!F26</f>
        <v>-46048.663551588572</v>
      </c>
      <c r="J25" s="44">
        <f>SUM(J6:J13,J16:J16,J18:J19,J21,J23)</f>
        <v>-46048.663551588579</v>
      </c>
      <c r="K25" s="106">
        <f>SUM(K6:K13,K16:K16,K18:K19,K21,K23)</f>
        <v>23518981000</v>
      </c>
      <c r="L25" s="53">
        <f>+J25/K25</f>
        <v>-1.9579361687306344E-6</v>
      </c>
    </row>
    <row r="26" spans="1:15" ht="13.5" thickBot="1" x14ac:dyDescent="0.25">
      <c r="A26" s="194"/>
      <c r="B26" s="109"/>
      <c r="C26" s="109"/>
      <c r="D26" s="312"/>
      <c r="E26" s="109"/>
      <c r="F26" s="312"/>
      <c r="G26" s="109"/>
      <c r="H26" s="109"/>
      <c r="I26" s="313"/>
      <c r="J26" s="313"/>
      <c r="K26" s="109"/>
      <c r="L26" s="314"/>
      <c r="N26" s="71"/>
      <c r="O26" s="71"/>
    </row>
    <row r="27" spans="1:15" x14ac:dyDescent="0.2">
      <c r="J27" s="44"/>
      <c r="K27" s="106"/>
      <c r="N27" s="71"/>
      <c r="O27" s="71"/>
    </row>
    <row r="28" spans="1:15" x14ac:dyDescent="0.2">
      <c r="E28" s="106"/>
      <c r="J28" s="44"/>
    </row>
    <row r="29" spans="1:15" x14ac:dyDescent="0.2">
      <c r="E29" s="106"/>
      <c r="J29" s="44"/>
      <c r="K29" s="106"/>
    </row>
  </sheetData>
  <mergeCells count="1">
    <mergeCell ref="B1:L1"/>
  </mergeCells>
  <phoneticPr fontId="4" type="noConversion"/>
  <printOptions horizontalCentered="1"/>
  <pageMargins left="0.7" right="0.7" top="0.75" bottom="0.75" header="0.3" footer="0.3"/>
  <pageSetup scale="86" orientation="landscape" r:id="rId1"/>
  <headerFooter alignWithMargins="0">
    <oddHeader>&amp;RAdvice No. 2018-xx
Electric Schedule 120 Rate Design Workpapers
Page &amp;P of &amp;N</oddHeader>
    <oddFooter>&amp;L&amp;F
&amp;A&amp;R&amp;D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pane xSplit="3" ySplit="7" topLeftCell="D11"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5.28515625" style="20" customWidth="1"/>
    <col min="2" max="2" width="22.7109375" style="20" bestFit="1" customWidth="1"/>
    <col min="3" max="3" width="15.140625" style="20" bestFit="1" customWidth="1"/>
    <col min="4" max="4" width="17.7109375" style="20" bestFit="1" customWidth="1"/>
    <col min="5" max="6" width="13.28515625" style="20" bestFit="1" customWidth="1"/>
    <col min="7" max="7" width="12.42578125" style="20" bestFit="1" customWidth="1"/>
    <col min="8" max="8" width="12.140625" style="20" bestFit="1" customWidth="1"/>
    <col min="9" max="9" width="10.5703125" style="20" bestFit="1" customWidth="1"/>
    <col min="10" max="10" width="12.42578125" style="20" bestFit="1" customWidth="1"/>
    <col min="11" max="11" width="13.5703125" style="20" bestFit="1" customWidth="1"/>
    <col min="12" max="12" width="13.28515625" style="20" bestFit="1" customWidth="1"/>
    <col min="13" max="13" width="18.140625" style="20" customWidth="1"/>
    <col min="14" max="14" width="14.7109375" style="20" bestFit="1" customWidth="1"/>
    <col min="15" max="16384" width="9.140625" style="20"/>
  </cols>
  <sheetData>
    <row r="1" spans="1:13" x14ac:dyDescent="0.2">
      <c r="A1" s="413" t="s">
        <v>31</v>
      </c>
      <c r="B1" s="413"/>
      <c r="C1" s="413"/>
      <c r="D1" s="413"/>
      <c r="E1" s="413"/>
      <c r="F1" s="413"/>
      <c r="G1" s="413"/>
      <c r="H1" s="413"/>
      <c r="I1" s="413"/>
      <c r="J1" s="413"/>
      <c r="K1" s="413"/>
      <c r="L1" s="413"/>
      <c r="M1" s="413"/>
    </row>
    <row r="2" spans="1:13" x14ac:dyDescent="0.2">
      <c r="A2" s="392" t="s">
        <v>638</v>
      </c>
      <c r="B2" s="413"/>
      <c r="C2" s="413"/>
      <c r="D2" s="413"/>
      <c r="E2" s="413"/>
      <c r="F2" s="413"/>
      <c r="G2" s="413"/>
      <c r="H2" s="413"/>
      <c r="I2" s="413"/>
      <c r="J2" s="413"/>
      <c r="K2" s="413"/>
      <c r="L2" s="413"/>
      <c r="M2" s="413"/>
    </row>
    <row r="3" spans="1:13" x14ac:dyDescent="0.2">
      <c r="A3" s="392" t="s">
        <v>351</v>
      </c>
      <c r="B3" s="413"/>
      <c r="C3" s="413"/>
      <c r="D3" s="413"/>
      <c r="E3" s="413"/>
      <c r="F3" s="413"/>
      <c r="G3" s="413"/>
      <c r="H3" s="413"/>
      <c r="I3" s="413"/>
      <c r="J3" s="413"/>
      <c r="K3" s="413"/>
      <c r="L3" s="413"/>
      <c r="M3" s="413"/>
    </row>
    <row r="4" spans="1:13" x14ac:dyDescent="0.2">
      <c r="A4" s="392" t="s">
        <v>639</v>
      </c>
      <c r="B4" s="413"/>
      <c r="C4" s="413"/>
      <c r="D4" s="413"/>
      <c r="E4" s="413"/>
      <c r="F4" s="413"/>
      <c r="G4" s="413"/>
      <c r="H4" s="413"/>
      <c r="I4" s="413"/>
      <c r="J4" s="413"/>
      <c r="K4" s="413"/>
      <c r="L4" s="413"/>
      <c r="M4" s="413"/>
    </row>
    <row r="5" spans="1:13" s="22" customFormat="1" x14ac:dyDescent="0.2">
      <c r="A5" s="209"/>
      <c r="B5" s="214"/>
      <c r="C5" s="214"/>
      <c r="D5" s="214"/>
      <c r="E5" s="214"/>
      <c r="F5" s="214"/>
      <c r="G5" s="214"/>
      <c r="H5" s="214"/>
      <c r="I5" s="214"/>
      <c r="J5" s="214"/>
      <c r="K5" s="214"/>
      <c r="L5" s="214"/>
      <c r="M5" s="71"/>
    </row>
    <row r="6" spans="1:13" s="21" customFormat="1" x14ac:dyDescent="0.2">
      <c r="A6" s="209"/>
      <c r="B6" s="214"/>
      <c r="C6" s="214"/>
      <c r="D6" s="214"/>
      <c r="E6" s="214"/>
      <c r="F6" s="214"/>
      <c r="G6" s="214"/>
      <c r="H6" s="214"/>
      <c r="I6" s="214"/>
      <c r="J6" s="214"/>
      <c r="K6" s="214"/>
      <c r="L6" s="214"/>
      <c r="M6" s="56"/>
    </row>
    <row r="7" spans="1:13" s="21" customFormat="1" ht="51" x14ac:dyDescent="0.2">
      <c r="A7" s="97" t="s">
        <v>77</v>
      </c>
      <c r="B7" s="97" t="s">
        <v>28</v>
      </c>
      <c r="C7" s="94" t="s">
        <v>211</v>
      </c>
      <c r="D7" s="57" t="s">
        <v>248</v>
      </c>
      <c r="E7" s="57" t="s">
        <v>249</v>
      </c>
      <c r="F7" s="57" t="s">
        <v>250</v>
      </c>
      <c r="G7" s="57" t="s">
        <v>251</v>
      </c>
      <c r="H7" s="57" t="s">
        <v>252</v>
      </c>
      <c r="I7" s="57" t="s">
        <v>253</v>
      </c>
      <c r="J7" s="57" t="s">
        <v>254</v>
      </c>
      <c r="K7" s="57" t="s">
        <v>255</v>
      </c>
      <c r="L7" s="57" t="s">
        <v>256</v>
      </c>
      <c r="M7" s="94" t="s">
        <v>636</v>
      </c>
    </row>
    <row r="8" spans="1:13" s="21" customFormat="1" x14ac:dyDescent="0.2">
      <c r="A8" s="214">
        <v>1</v>
      </c>
      <c r="B8" s="58">
        <v>7</v>
      </c>
      <c r="C8" s="175">
        <v>10637302000</v>
      </c>
      <c r="D8" s="59">
        <v>1159444000</v>
      </c>
      <c r="E8" s="59">
        <v>0</v>
      </c>
      <c r="F8" s="59">
        <v>-26498000</v>
      </c>
      <c r="G8" s="59">
        <v>9967000</v>
      </c>
      <c r="H8" s="59">
        <v>-3681000</v>
      </c>
      <c r="I8" s="59">
        <v>-372000</v>
      </c>
      <c r="J8" s="59">
        <v>38337000</v>
      </c>
      <c r="K8" s="59">
        <v>12775000</v>
      </c>
      <c r="L8" s="59">
        <v>-78780000</v>
      </c>
      <c r="M8" s="59">
        <f>SUM(D8:L8)</f>
        <v>1111192000</v>
      </c>
    </row>
    <row r="9" spans="1:13" x14ac:dyDescent="0.2">
      <c r="A9" s="214">
        <f t="shared" ref="A9:A43" si="0">+A8+1</f>
        <v>2</v>
      </c>
      <c r="B9" s="60" t="s">
        <v>257</v>
      </c>
      <c r="C9" s="175">
        <v>2067000</v>
      </c>
      <c r="D9" s="59">
        <v>176000</v>
      </c>
      <c r="E9" s="59">
        <v>0</v>
      </c>
      <c r="F9" s="59">
        <v>-4000</v>
      </c>
      <c r="G9" s="59">
        <v>2000</v>
      </c>
      <c r="H9" s="59">
        <v>-1000</v>
      </c>
      <c r="I9" s="59">
        <v>0</v>
      </c>
      <c r="J9" s="59">
        <v>5000</v>
      </c>
      <c r="K9" s="59">
        <v>2000</v>
      </c>
      <c r="L9" s="59">
        <v>-15000</v>
      </c>
      <c r="M9" s="59">
        <f>SUM(D9:L9)</f>
        <v>165000</v>
      </c>
    </row>
    <row r="10" spans="1:13" x14ac:dyDescent="0.2">
      <c r="A10" s="214">
        <f t="shared" si="0"/>
        <v>3</v>
      </c>
      <c r="B10" s="61" t="s">
        <v>4</v>
      </c>
      <c r="C10" s="176">
        <f t="shared" ref="C10" si="1">SUM(C8:C9)</f>
        <v>10639369000</v>
      </c>
      <c r="D10" s="63">
        <f t="shared" ref="D10" si="2">SUM(D8:D9)</f>
        <v>1159620000</v>
      </c>
      <c r="E10" s="63">
        <f t="shared" ref="E10:M10" si="3">SUM(E8:E9)</f>
        <v>0</v>
      </c>
      <c r="F10" s="63">
        <f t="shared" si="3"/>
        <v>-26502000</v>
      </c>
      <c r="G10" s="63">
        <f t="shared" si="3"/>
        <v>9969000</v>
      </c>
      <c r="H10" s="63">
        <f t="shared" si="3"/>
        <v>-3682000</v>
      </c>
      <c r="I10" s="63">
        <f t="shared" si="3"/>
        <v>-372000</v>
      </c>
      <c r="J10" s="63">
        <f t="shared" si="3"/>
        <v>38342000</v>
      </c>
      <c r="K10" s="63">
        <f t="shared" si="3"/>
        <v>12777000</v>
      </c>
      <c r="L10" s="63">
        <f t="shared" si="3"/>
        <v>-78795000</v>
      </c>
      <c r="M10" s="63">
        <f t="shared" si="3"/>
        <v>1111357000</v>
      </c>
    </row>
    <row r="11" spans="1:13" x14ac:dyDescent="0.2">
      <c r="A11" s="214">
        <f t="shared" si="0"/>
        <v>4</v>
      </c>
      <c r="B11" s="214"/>
      <c r="C11" s="175"/>
      <c r="D11" s="59"/>
      <c r="E11" s="59"/>
      <c r="F11" s="59"/>
      <c r="G11" s="59"/>
      <c r="H11" s="59"/>
      <c r="I11" s="59"/>
      <c r="J11" s="59"/>
      <c r="K11" s="59"/>
      <c r="L11" s="59"/>
      <c r="M11" s="59"/>
    </row>
    <row r="12" spans="1:13" x14ac:dyDescent="0.2">
      <c r="A12" s="214">
        <f t="shared" si="0"/>
        <v>5</v>
      </c>
      <c r="B12" s="58">
        <v>8</v>
      </c>
      <c r="C12" s="175">
        <v>253017000</v>
      </c>
      <c r="D12" s="59">
        <v>25376000</v>
      </c>
      <c r="E12" s="59">
        <v>0</v>
      </c>
      <c r="F12" s="59">
        <v>-509000</v>
      </c>
      <c r="G12" s="59">
        <v>216000</v>
      </c>
      <c r="H12" s="59">
        <v>-67000</v>
      </c>
      <c r="I12" s="59">
        <v>-7000</v>
      </c>
      <c r="J12" s="59">
        <v>644000</v>
      </c>
      <c r="K12" s="59">
        <v>338000</v>
      </c>
      <c r="L12" s="59">
        <v>-1874000</v>
      </c>
      <c r="M12" s="59">
        <f t="shared" ref="M12:M18" si="4">SUM(D12:L12)</f>
        <v>24117000</v>
      </c>
    </row>
    <row r="13" spans="1:13" x14ac:dyDescent="0.2">
      <c r="A13" s="214">
        <f t="shared" si="0"/>
        <v>6</v>
      </c>
      <c r="B13" s="58">
        <v>24</v>
      </c>
      <c r="C13" s="175">
        <v>2759020000</v>
      </c>
      <c r="D13" s="59">
        <v>276708000</v>
      </c>
      <c r="E13" s="59">
        <v>0</v>
      </c>
      <c r="F13" s="59">
        <v>-5551000</v>
      </c>
      <c r="G13" s="59">
        <v>2359000</v>
      </c>
      <c r="H13" s="59">
        <v>-726000</v>
      </c>
      <c r="I13" s="59">
        <v>-77000</v>
      </c>
      <c r="J13" s="59">
        <v>7027000</v>
      </c>
      <c r="K13" s="59">
        <v>3683000</v>
      </c>
      <c r="L13" s="59">
        <v>0</v>
      </c>
      <c r="M13" s="59">
        <f t="shared" si="4"/>
        <v>283423000</v>
      </c>
    </row>
    <row r="14" spans="1:13" x14ac:dyDescent="0.2">
      <c r="A14" s="214">
        <f t="shared" si="0"/>
        <v>7</v>
      </c>
      <c r="B14" s="60">
        <v>11</v>
      </c>
      <c r="C14" s="175">
        <v>151312000</v>
      </c>
      <c r="D14" s="59">
        <v>14014000</v>
      </c>
      <c r="E14" s="59">
        <v>0</v>
      </c>
      <c r="F14" s="59">
        <v>-312000</v>
      </c>
      <c r="G14" s="59">
        <v>120000</v>
      </c>
      <c r="H14" s="59">
        <v>-37000</v>
      </c>
      <c r="I14" s="59">
        <v>-4000</v>
      </c>
      <c r="J14" s="59">
        <v>351000</v>
      </c>
      <c r="K14" s="59">
        <v>202000</v>
      </c>
      <c r="L14" s="59">
        <v>-1121000</v>
      </c>
      <c r="M14" s="59">
        <f t="shared" si="4"/>
        <v>13213000</v>
      </c>
    </row>
    <row r="15" spans="1:13" x14ac:dyDescent="0.2">
      <c r="A15" s="214">
        <f t="shared" si="0"/>
        <v>8</v>
      </c>
      <c r="B15" s="60">
        <v>25</v>
      </c>
      <c r="C15" s="175">
        <v>2840201000</v>
      </c>
      <c r="D15" s="59">
        <v>263057000</v>
      </c>
      <c r="E15" s="59">
        <v>0</v>
      </c>
      <c r="F15" s="59">
        <v>-5848000</v>
      </c>
      <c r="G15" s="59">
        <v>2255000</v>
      </c>
      <c r="H15" s="59">
        <v>-696000</v>
      </c>
      <c r="I15" s="59">
        <v>-82000</v>
      </c>
      <c r="J15" s="59">
        <v>6584000</v>
      </c>
      <c r="K15" s="59">
        <v>3792000</v>
      </c>
      <c r="L15" s="59">
        <v>0</v>
      </c>
      <c r="M15" s="59">
        <f t="shared" si="4"/>
        <v>269062000</v>
      </c>
    </row>
    <row r="16" spans="1:13" x14ac:dyDescent="0.2">
      <c r="A16" s="214">
        <f t="shared" si="0"/>
        <v>9</v>
      </c>
      <c r="B16" s="58">
        <v>12</v>
      </c>
      <c r="C16" s="175">
        <v>20054000</v>
      </c>
      <c r="D16" s="59">
        <v>1701000</v>
      </c>
      <c r="E16" s="59">
        <v>0</v>
      </c>
      <c r="F16" s="59">
        <v>-41000</v>
      </c>
      <c r="G16" s="59">
        <v>14000</v>
      </c>
      <c r="H16" s="59">
        <v>-4000</v>
      </c>
      <c r="I16" s="59">
        <v>-1000</v>
      </c>
      <c r="J16" s="59">
        <v>44000</v>
      </c>
      <c r="K16" s="59">
        <v>-8000</v>
      </c>
      <c r="L16" s="59">
        <v>-149000</v>
      </c>
      <c r="M16" s="59">
        <f t="shared" si="4"/>
        <v>1556000</v>
      </c>
    </row>
    <row r="17" spans="1:13" x14ac:dyDescent="0.2">
      <c r="A17" s="214">
        <f t="shared" si="0"/>
        <v>10</v>
      </c>
      <c r="B17" s="58" t="s">
        <v>258</v>
      </c>
      <c r="C17" s="175">
        <v>1893734000</v>
      </c>
      <c r="D17" s="59">
        <v>160642000</v>
      </c>
      <c r="E17" s="59">
        <v>0</v>
      </c>
      <c r="F17" s="59">
        <v>-3899000</v>
      </c>
      <c r="G17" s="59">
        <v>1339000</v>
      </c>
      <c r="H17" s="59">
        <v>-383000</v>
      </c>
      <c r="I17" s="59">
        <v>-57000</v>
      </c>
      <c r="J17" s="59">
        <v>4178000</v>
      </c>
      <c r="K17" s="59">
        <v>-741000</v>
      </c>
      <c r="L17" s="59">
        <v>0</v>
      </c>
      <c r="M17" s="59">
        <f t="shared" si="4"/>
        <v>161079000</v>
      </c>
    </row>
    <row r="18" spans="1:13" x14ac:dyDescent="0.2">
      <c r="A18" s="214">
        <f t="shared" si="0"/>
        <v>11</v>
      </c>
      <c r="B18" s="58">
        <v>29</v>
      </c>
      <c r="C18" s="175">
        <v>16193000</v>
      </c>
      <c r="D18" s="59">
        <v>1323000</v>
      </c>
      <c r="E18" s="59">
        <v>0</v>
      </c>
      <c r="F18" s="59">
        <v>-35000</v>
      </c>
      <c r="G18" s="59">
        <v>12000</v>
      </c>
      <c r="H18" s="59">
        <v>-4000</v>
      </c>
      <c r="I18" s="59">
        <v>0</v>
      </c>
      <c r="J18" s="59">
        <v>38000</v>
      </c>
      <c r="K18" s="59">
        <v>22000</v>
      </c>
      <c r="L18" s="59">
        <v>-120000</v>
      </c>
      <c r="M18" s="59">
        <f t="shared" si="4"/>
        <v>1236000</v>
      </c>
    </row>
    <row r="19" spans="1:13" x14ac:dyDescent="0.2">
      <c r="A19" s="214">
        <f t="shared" si="0"/>
        <v>12</v>
      </c>
      <c r="B19" s="62" t="s">
        <v>112</v>
      </c>
      <c r="C19" s="176">
        <f t="shared" ref="C19" si="5">SUM(C12:C18)</f>
        <v>7933531000</v>
      </c>
      <c r="D19" s="63">
        <f t="shared" ref="D19" si="6">SUM(D12:D18)</f>
        <v>742821000</v>
      </c>
      <c r="E19" s="63">
        <f t="shared" ref="E19:M19" si="7">SUM(E12:E18)</f>
        <v>0</v>
      </c>
      <c r="F19" s="63">
        <f t="shared" si="7"/>
        <v>-16195000</v>
      </c>
      <c r="G19" s="63">
        <f t="shared" si="7"/>
        <v>6315000</v>
      </c>
      <c r="H19" s="63">
        <f t="shared" si="7"/>
        <v>-1917000</v>
      </c>
      <c r="I19" s="63">
        <f t="shared" si="7"/>
        <v>-228000</v>
      </c>
      <c r="J19" s="63">
        <f t="shared" si="7"/>
        <v>18866000</v>
      </c>
      <c r="K19" s="63">
        <f t="shared" si="7"/>
        <v>7288000</v>
      </c>
      <c r="L19" s="63">
        <f t="shared" si="7"/>
        <v>-3264000</v>
      </c>
      <c r="M19" s="63">
        <f t="shared" si="7"/>
        <v>753686000</v>
      </c>
    </row>
    <row r="20" spans="1:13" x14ac:dyDescent="0.2">
      <c r="A20" s="214">
        <f t="shared" si="0"/>
        <v>13</v>
      </c>
      <c r="B20" s="214"/>
      <c r="C20" s="175"/>
      <c r="D20" s="59"/>
      <c r="E20" s="59"/>
      <c r="F20" s="59"/>
      <c r="G20" s="59"/>
      <c r="H20" s="59"/>
      <c r="I20" s="59"/>
      <c r="J20" s="59"/>
      <c r="K20" s="59"/>
      <c r="L20" s="59"/>
      <c r="M20" s="59"/>
    </row>
    <row r="21" spans="1:13" x14ac:dyDescent="0.2">
      <c r="A21" s="214">
        <f t="shared" si="0"/>
        <v>14</v>
      </c>
      <c r="B21" s="58">
        <v>10</v>
      </c>
      <c r="C21" s="175">
        <v>30336000</v>
      </c>
      <c r="D21" s="59">
        <v>2531000</v>
      </c>
      <c r="E21" s="59">
        <v>0</v>
      </c>
      <c r="F21" s="59">
        <v>-61000</v>
      </c>
      <c r="G21" s="59">
        <v>21000</v>
      </c>
      <c r="H21" s="59">
        <v>-7000</v>
      </c>
      <c r="I21" s="59">
        <v>-1000</v>
      </c>
      <c r="J21" s="59">
        <v>67000</v>
      </c>
      <c r="K21" s="59">
        <v>-3000</v>
      </c>
      <c r="L21" s="59">
        <v>-225000</v>
      </c>
      <c r="M21" s="59">
        <f>SUM(D21:L21)</f>
        <v>2322000</v>
      </c>
    </row>
    <row r="22" spans="1:13" x14ac:dyDescent="0.2">
      <c r="A22" s="214">
        <f t="shared" si="0"/>
        <v>15</v>
      </c>
      <c r="B22" s="58">
        <v>31</v>
      </c>
      <c r="C22" s="175">
        <v>1286336000</v>
      </c>
      <c r="D22" s="59">
        <v>107316000</v>
      </c>
      <c r="E22" s="59">
        <v>0</v>
      </c>
      <c r="F22" s="59">
        <v>-2579000</v>
      </c>
      <c r="G22" s="59">
        <v>895000</v>
      </c>
      <c r="H22" s="59">
        <v>-306000</v>
      </c>
      <c r="I22" s="59">
        <v>-36000</v>
      </c>
      <c r="J22" s="59">
        <v>2827000</v>
      </c>
      <c r="K22" s="59">
        <v>-127000</v>
      </c>
      <c r="L22" s="59">
        <v>0</v>
      </c>
      <c r="M22" s="59">
        <f>SUM(D22:L22)</f>
        <v>107990000</v>
      </c>
    </row>
    <row r="23" spans="1:13" x14ac:dyDescent="0.2">
      <c r="A23" s="214">
        <f t="shared" si="0"/>
        <v>16</v>
      </c>
      <c r="B23" s="58">
        <v>35</v>
      </c>
      <c r="C23" s="175">
        <v>5161000</v>
      </c>
      <c r="D23" s="59">
        <v>306000</v>
      </c>
      <c r="E23" s="59">
        <v>0</v>
      </c>
      <c r="F23" s="59">
        <v>-7000</v>
      </c>
      <c r="G23" s="59">
        <v>2000</v>
      </c>
      <c r="H23" s="59">
        <v>-1000</v>
      </c>
      <c r="I23" s="59">
        <v>0</v>
      </c>
      <c r="J23" s="59">
        <v>11000</v>
      </c>
      <c r="K23" s="59">
        <v>7000</v>
      </c>
      <c r="L23" s="59">
        <v>-38000</v>
      </c>
      <c r="M23" s="59">
        <f>SUM(D23:L23)</f>
        <v>280000</v>
      </c>
    </row>
    <row r="24" spans="1:13" x14ac:dyDescent="0.2">
      <c r="A24" s="214">
        <f t="shared" si="0"/>
        <v>17</v>
      </c>
      <c r="B24" s="58">
        <v>43</v>
      </c>
      <c r="C24" s="175">
        <v>123190000</v>
      </c>
      <c r="D24" s="59">
        <v>11211000</v>
      </c>
      <c r="E24" s="59">
        <v>0</v>
      </c>
      <c r="F24" s="59">
        <v>-223000</v>
      </c>
      <c r="G24" s="59">
        <v>95000</v>
      </c>
      <c r="H24" s="59">
        <v>-29000</v>
      </c>
      <c r="I24" s="59">
        <v>-3000</v>
      </c>
      <c r="J24" s="59">
        <v>464000</v>
      </c>
      <c r="K24" s="59">
        <v>164000</v>
      </c>
      <c r="L24" s="59">
        <v>0</v>
      </c>
      <c r="M24" s="59">
        <f>SUM(D24:L24)</f>
        <v>11679000</v>
      </c>
    </row>
    <row r="25" spans="1:13" x14ac:dyDescent="0.2">
      <c r="A25" s="214">
        <f t="shared" si="0"/>
        <v>18</v>
      </c>
      <c r="B25" s="61" t="s">
        <v>113</v>
      </c>
      <c r="C25" s="176">
        <f t="shared" ref="C25" si="8">SUM(C21:C24)</f>
        <v>1445023000</v>
      </c>
      <c r="D25" s="63">
        <f t="shared" ref="D25" si="9">SUM(D21:D24)</f>
        <v>121364000</v>
      </c>
      <c r="E25" s="63">
        <f t="shared" ref="E25:M25" si="10">SUM(E21:E24)</f>
        <v>0</v>
      </c>
      <c r="F25" s="63">
        <f t="shared" si="10"/>
        <v>-2870000</v>
      </c>
      <c r="G25" s="63">
        <f t="shared" si="10"/>
        <v>1013000</v>
      </c>
      <c r="H25" s="63">
        <f t="shared" si="10"/>
        <v>-343000</v>
      </c>
      <c r="I25" s="63">
        <f t="shared" si="10"/>
        <v>-40000</v>
      </c>
      <c r="J25" s="63">
        <f t="shared" si="10"/>
        <v>3369000</v>
      </c>
      <c r="K25" s="63">
        <f t="shared" si="10"/>
        <v>41000</v>
      </c>
      <c r="L25" s="63">
        <f t="shared" si="10"/>
        <v>-263000</v>
      </c>
      <c r="M25" s="63">
        <f t="shared" si="10"/>
        <v>122271000</v>
      </c>
    </row>
    <row r="26" spans="1:13" x14ac:dyDescent="0.2">
      <c r="A26" s="214">
        <f t="shared" si="0"/>
        <v>19</v>
      </c>
      <c r="B26" s="214"/>
      <c r="C26" s="175"/>
      <c r="D26" s="59"/>
      <c r="E26" s="59"/>
      <c r="F26" s="59"/>
      <c r="G26" s="59"/>
      <c r="H26" s="59"/>
      <c r="I26" s="59"/>
      <c r="J26" s="59"/>
      <c r="K26" s="59"/>
      <c r="L26" s="59"/>
      <c r="M26" s="59"/>
    </row>
    <row r="27" spans="1:13" x14ac:dyDescent="0.2">
      <c r="A27" s="214">
        <f t="shared" si="0"/>
        <v>20</v>
      </c>
      <c r="B27" s="58">
        <v>40</v>
      </c>
      <c r="C27" s="176">
        <v>679072000</v>
      </c>
      <c r="D27" s="63">
        <v>51132000</v>
      </c>
      <c r="E27" s="63">
        <v>0</v>
      </c>
      <c r="F27" s="63">
        <v>-1446000</v>
      </c>
      <c r="G27" s="63">
        <v>455000</v>
      </c>
      <c r="H27" s="63">
        <v>-89000</v>
      </c>
      <c r="I27" s="63">
        <v>-20000</v>
      </c>
      <c r="J27" s="63">
        <v>1596000</v>
      </c>
      <c r="K27" s="63">
        <v>907000</v>
      </c>
      <c r="L27" s="63">
        <v>0</v>
      </c>
      <c r="M27" s="63">
        <f>SUM(D27:L27)</f>
        <v>52535000</v>
      </c>
    </row>
    <row r="28" spans="1:13" x14ac:dyDescent="0.2">
      <c r="A28" s="214">
        <f t="shared" si="0"/>
        <v>21</v>
      </c>
      <c r="B28" s="58"/>
      <c r="C28" s="175"/>
      <c r="D28" s="59"/>
      <c r="E28" s="59"/>
      <c r="F28" s="59"/>
      <c r="G28" s="59"/>
      <c r="H28" s="59"/>
      <c r="I28" s="59"/>
      <c r="J28" s="59"/>
      <c r="K28" s="59"/>
      <c r="L28" s="59"/>
      <c r="M28" s="59"/>
    </row>
    <row r="29" spans="1:13" x14ac:dyDescent="0.2">
      <c r="A29" s="214">
        <f t="shared" si="0"/>
        <v>22</v>
      </c>
      <c r="B29" s="58">
        <v>46</v>
      </c>
      <c r="C29" s="175">
        <v>72776000</v>
      </c>
      <c r="D29" s="59">
        <v>4993000</v>
      </c>
      <c r="E29" s="59">
        <v>0</v>
      </c>
      <c r="F29" s="59">
        <v>-75000</v>
      </c>
      <c r="G29" s="59">
        <v>44000</v>
      </c>
      <c r="H29" s="59">
        <v>-8000</v>
      </c>
      <c r="I29" s="59">
        <v>-1000</v>
      </c>
      <c r="J29" s="59">
        <v>107000</v>
      </c>
      <c r="K29" s="59">
        <v>97000</v>
      </c>
      <c r="L29" s="59">
        <v>0</v>
      </c>
      <c r="M29" s="59">
        <f>SUM(D29:L29)</f>
        <v>5157000</v>
      </c>
    </row>
    <row r="30" spans="1:13" x14ac:dyDescent="0.2">
      <c r="A30" s="214">
        <f t="shared" si="0"/>
        <v>23</v>
      </c>
      <c r="B30" s="58">
        <v>49</v>
      </c>
      <c r="C30" s="175">
        <v>584007000</v>
      </c>
      <c r="D30" s="59">
        <v>39323000</v>
      </c>
      <c r="E30" s="59">
        <v>0</v>
      </c>
      <c r="F30" s="59">
        <v>-1190000</v>
      </c>
      <c r="G30" s="59">
        <v>336000</v>
      </c>
      <c r="H30" s="59">
        <v>-64000</v>
      </c>
      <c r="I30" s="59">
        <v>-16000</v>
      </c>
      <c r="J30" s="59">
        <v>856000</v>
      </c>
      <c r="K30" s="59">
        <v>780000</v>
      </c>
      <c r="L30" s="59">
        <v>0</v>
      </c>
      <c r="M30" s="59">
        <f>SUM(D30:L30)</f>
        <v>40025000</v>
      </c>
    </row>
    <row r="31" spans="1:13" x14ac:dyDescent="0.2">
      <c r="A31" s="214">
        <f t="shared" si="0"/>
        <v>24</v>
      </c>
      <c r="B31" s="61" t="s">
        <v>75</v>
      </c>
      <c r="C31" s="176">
        <f t="shared" ref="C31" si="11">SUM(C29:C30)</f>
        <v>656783000</v>
      </c>
      <c r="D31" s="63">
        <f t="shared" ref="D31" si="12">SUM(D29:D30)</f>
        <v>44316000</v>
      </c>
      <c r="E31" s="63">
        <f t="shared" ref="E31:M31" si="13">SUM(E29:E30)</f>
        <v>0</v>
      </c>
      <c r="F31" s="63">
        <f t="shared" si="13"/>
        <v>-1265000</v>
      </c>
      <c r="G31" s="63">
        <f t="shared" si="13"/>
        <v>380000</v>
      </c>
      <c r="H31" s="63">
        <f t="shared" si="13"/>
        <v>-72000</v>
      </c>
      <c r="I31" s="63">
        <f t="shared" si="13"/>
        <v>-17000</v>
      </c>
      <c r="J31" s="63">
        <f t="shared" si="13"/>
        <v>963000</v>
      </c>
      <c r="K31" s="63">
        <f t="shared" si="13"/>
        <v>877000</v>
      </c>
      <c r="L31" s="63">
        <f t="shared" si="13"/>
        <v>0</v>
      </c>
      <c r="M31" s="63">
        <f t="shared" si="13"/>
        <v>45182000</v>
      </c>
    </row>
    <row r="32" spans="1:13" x14ac:dyDescent="0.2">
      <c r="A32" s="214">
        <f t="shared" si="0"/>
        <v>25</v>
      </c>
      <c r="B32" s="58"/>
      <c r="C32" s="175"/>
      <c r="D32" s="59"/>
      <c r="E32" s="59"/>
      <c r="F32" s="59"/>
      <c r="G32" s="59"/>
      <c r="H32" s="59"/>
      <c r="I32" s="59"/>
      <c r="J32" s="59"/>
      <c r="K32" s="59"/>
      <c r="L32" s="59"/>
      <c r="M32" s="59"/>
    </row>
    <row r="33" spans="1:14" x14ac:dyDescent="0.2">
      <c r="A33" s="214">
        <f t="shared" si="0"/>
        <v>26</v>
      </c>
      <c r="B33" s="58" t="s">
        <v>114</v>
      </c>
      <c r="C33" s="176">
        <v>76506000</v>
      </c>
      <c r="D33" s="63">
        <v>18910000</v>
      </c>
      <c r="E33" s="63">
        <v>0</v>
      </c>
      <c r="F33" s="63">
        <v>-194000</v>
      </c>
      <c r="G33" s="63">
        <v>166000</v>
      </c>
      <c r="H33" s="63">
        <v>-107000</v>
      </c>
      <c r="I33" s="63">
        <v>-3000</v>
      </c>
      <c r="J33" s="63">
        <v>782000</v>
      </c>
      <c r="K33" s="63">
        <v>0</v>
      </c>
      <c r="L33" s="63">
        <v>-15000</v>
      </c>
      <c r="M33" s="63">
        <f>SUM(D33:L33)</f>
        <v>19539000</v>
      </c>
    </row>
    <row r="34" spans="1:14" x14ac:dyDescent="0.2">
      <c r="A34" s="214">
        <f t="shared" si="0"/>
        <v>27</v>
      </c>
      <c r="B34" s="58"/>
      <c r="C34" s="175"/>
      <c r="D34" s="59"/>
      <c r="E34" s="59"/>
      <c r="F34" s="59"/>
      <c r="G34" s="59"/>
      <c r="H34" s="59"/>
      <c r="I34" s="59"/>
      <c r="J34" s="59"/>
      <c r="K34" s="59"/>
      <c r="L34" s="59"/>
      <c r="M34" s="59"/>
    </row>
    <row r="35" spans="1:14" x14ac:dyDescent="0.2">
      <c r="A35" s="214">
        <f t="shared" si="0"/>
        <v>28</v>
      </c>
      <c r="B35" s="58" t="s">
        <v>216</v>
      </c>
      <c r="C35" s="176">
        <v>2088697000</v>
      </c>
      <c r="D35" s="63">
        <v>8505000</v>
      </c>
      <c r="E35" s="63">
        <v>0</v>
      </c>
      <c r="F35" s="63">
        <v>0</v>
      </c>
      <c r="G35" s="63">
        <v>69000</v>
      </c>
      <c r="H35" s="63">
        <v>-58000</v>
      </c>
      <c r="I35" s="63">
        <v>0</v>
      </c>
      <c r="J35" s="63">
        <v>625000</v>
      </c>
      <c r="K35" s="63">
        <v>0</v>
      </c>
      <c r="L35" s="63">
        <v>0</v>
      </c>
      <c r="M35" s="63">
        <f>SUM(D35:L35)</f>
        <v>9141000</v>
      </c>
    </row>
    <row r="36" spans="1:14" x14ac:dyDescent="0.2">
      <c r="A36" s="214">
        <f t="shared" si="0"/>
        <v>29</v>
      </c>
      <c r="B36" s="58"/>
      <c r="C36" s="175"/>
      <c r="D36" s="59"/>
      <c r="E36" s="59"/>
      <c r="F36" s="59"/>
      <c r="G36" s="59"/>
      <c r="H36" s="59"/>
      <c r="I36" s="59"/>
      <c r="J36" s="59"/>
      <c r="K36" s="59"/>
      <c r="L36" s="59"/>
      <c r="M36" s="59"/>
    </row>
    <row r="37" spans="1:14" ht="13.5" thickBot="1" x14ac:dyDescent="0.25">
      <c r="A37" s="214">
        <f t="shared" si="0"/>
        <v>30</v>
      </c>
      <c r="B37" s="61" t="s">
        <v>19</v>
      </c>
      <c r="C37" s="177">
        <f t="shared" ref="C37" si="14">SUM(C10,C19,C25,C27,C31,C33,C35)</f>
        <v>23518981000</v>
      </c>
      <c r="D37" s="64">
        <f t="shared" ref="D37" si="15">SUM(D10,D19,D25,D27,D31,D33,D35)</f>
        <v>2146668000</v>
      </c>
      <c r="E37" s="64">
        <f t="shared" ref="E37:M37" si="16">SUM(E10,E19,E25,E27,E31,E33,E35)</f>
        <v>0</v>
      </c>
      <c r="F37" s="64">
        <f t="shared" si="16"/>
        <v>-48472000</v>
      </c>
      <c r="G37" s="64">
        <f t="shared" si="16"/>
        <v>18367000</v>
      </c>
      <c r="H37" s="64">
        <f t="shared" si="16"/>
        <v>-6268000</v>
      </c>
      <c r="I37" s="64">
        <f t="shared" si="16"/>
        <v>-680000</v>
      </c>
      <c r="J37" s="64">
        <f t="shared" si="16"/>
        <v>64543000</v>
      </c>
      <c r="K37" s="64">
        <f t="shared" si="16"/>
        <v>21890000</v>
      </c>
      <c r="L37" s="64">
        <f t="shared" si="16"/>
        <v>-82337000</v>
      </c>
      <c r="M37" s="64">
        <f t="shared" si="16"/>
        <v>2113711000</v>
      </c>
    </row>
    <row r="38" spans="1:14" ht="13.5" thickTop="1" x14ac:dyDescent="0.2">
      <c r="A38" s="214">
        <f t="shared" si="0"/>
        <v>31</v>
      </c>
      <c r="B38" s="58"/>
      <c r="C38" s="178"/>
      <c r="D38" s="65"/>
      <c r="E38" s="65"/>
      <c r="F38" s="65"/>
      <c r="G38" s="65"/>
      <c r="H38" s="65"/>
      <c r="I38" s="65"/>
      <c r="J38" s="65"/>
      <c r="K38" s="65"/>
      <c r="L38" s="65"/>
      <c r="M38" s="65"/>
    </row>
    <row r="39" spans="1:14" x14ac:dyDescent="0.2">
      <c r="A39" s="214">
        <f t="shared" si="0"/>
        <v>32</v>
      </c>
      <c r="B39" s="58">
        <v>5</v>
      </c>
      <c r="C39" s="176">
        <v>0</v>
      </c>
      <c r="D39" s="63">
        <v>0</v>
      </c>
      <c r="E39" s="63">
        <v>0</v>
      </c>
      <c r="F39" s="63">
        <v>0</v>
      </c>
      <c r="G39" s="63">
        <v>0</v>
      </c>
      <c r="H39" s="63">
        <v>0</v>
      </c>
      <c r="I39" s="63">
        <v>0</v>
      </c>
      <c r="J39" s="63">
        <v>0</v>
      </c>
      <c r="K39" s="63">
        <v>0</v>
      </c>
      <c r="L39" s="63">
        <v>0</v>
      </c>
      <c r="M39" s="63">
        <f>SUM(D39:L39)</f>
        <v>0</v>
      </c>
    </row>
    <row r="40" spans="1:14" x14ac:dyDescent="0.2">
      <c r="A40" s="214">
        <f t="shared" si="0"/>
        <v>33</v>
      </c>
      <c r="B40" s="58"/>
      <c r="C40" s="178"/>
      <c r="D40" s="65"/>
      <c r="E40" s="65"/>
      <c r="F40" s="65"/>
      <c r="G40" s="65"/>
      <c r="H40" s="65"/>
      <c r="I40" s="65"/>
      <c r="J40" s="65"/>
      <c r="K40" s="65"/>
      <c r="L40" s="65"/>
      <c r="M40" s="65"/>
    </row>
    <row r="41" spans="1:14" ht="13.5" thickBot="1" x14ac:dyDescent="0.25">
      <c r="A41" s="214">
        <f t="shared" si="0"/>
        <v>34</v>
      </c>
      <c r="B41" s="61" t="s">
        <v>259</v>
      </c>
      <c r="C41" s="177">
        <f t="shared" ref="C41" si="17">+C39+C37</f>
        <v>23518981000</v>
      </c>
      <c r="D41" s="64">
        <f t="shared" ref="D41" si="18">+D39+D37</f>
        <v>2146668000</v>
      </c>
      <c r="E41" s="64">
        <f t="shared" ref="E41:M41" si="19">+E39+E37</f>
        <v>0</v>
      </c>
      <c r="F41" s="64">
        <f t="shared" si="19"/>
        <v>-48472000</v>
      </c>
      <c r="G41" s="64">
        <f t="shared" si="19"/>
        <v>18367000</v>
      </c>
      <c r="H41" s="64">
        <f t="shared" si="19"/>
        <v>-6268000</v>
      </c>
      <c r="I41" s="64">
        <f t="shared" si="19"/>
        <v>-680000</v>
      </c>
      <c r="J41" s="64">
        <f t="shared" si="19"/>
        <v>64543000</v>
      </c>
      <c r="K41" s="64">
        <f t="shared" si="19"/>
        <v>21890000</v>
      </c>
      <c r="L41" s="64">
        <f t="shared" si="19"/>
        <v>-82337000</v>
      </c>
      <c r="M41" s="64">
        <f t="shared" si="19"/>
        <v>2113711000</v>
      </c>
      <c r="N41" s="98"/>
    </row>
    <row r="42" spans="1:14" ht="13.5" thickTop="1" x14ac:dyDescent="0.2">
      <c r="A42" s="214">
        <f t="shared" si="0"/>
        <v>35</v>
      </c>
      <c r="B42" s="23"/>
      <c r="C42" s="175"/>
      <c r="D42" s="59"/>
      <c r="E42" s="59"/>
      <c r="F42" s="59"/>
      <c r="G42" s="59"/>
      <c r="H42" s="59"/>
      <c r="I42" s="59"/>
      <c r="J42" s="59"/>
      <c r="K42" s="59"/>
      <c r="L42" s="59"/>
      <c r="M42" s="59"/>
    </row>
    <row r="43" spans="1:14" ht="13.5" thickBot="1" x14ac:dyDescent="0.25">
      <c r="A43" s="214">
        <f t="shared" si="0"/>
        <v>36</v>
      </c>
      <c r="B43" s="60" t="s">
        <v>260</v>
      </c>
      <c r="C43" s="177">
        <f>+C9+C14+C15</f>
        <v>2993580000</v>
      </c>
      <c r="D43" s="64">
        <f t="shared" ref="D43:M43" si="20">+D9+D14+D15</f>
        <v>277247000</v>
      </c>
      <c r="E43" s="64">
        <f t="shared" ref="E43:L43" si="21">+E9+E14+E15</f>
        <v>0</v>
      </c>
      <c r="F43" s="64">
        <f t="shared" si="21"/>
        <v>-6164000</v>
      </c>
      <c r="G43" s="64">
        <f t="shared" si="21"/>
        <v>2377000</v>
      </c>
      <c r="H43" s="64">
        <f t="shared" si="21"/>
        <v>-734000</v>
      </c>
      <c r="I43" s="64">
        <f t="shared" si="21"/>
        <v>-86000</v>
      </c>
      <c r="J43" s="64">
        <f t="shared" si="21"/>
        <v>6940000</v>
      </c>
      <c r="K43" s="64">
        <f t="shared" si="21"/>
        <v>3996000</v>
      </c>
      <c r="L43" s="64">
        <f t="shared" si="21"/>
        <v>-1136000</v>
      </c>
      <c r="M43" s="64">
        <f t="shared" si="20"/>
        <v>282440000</v>
      </c>
    </row>
    <row r="44" spans="1:14" ht="13.5" thickTop="1" x14ac:dyDescent="0.2"/>
    <row r="46" spans="1:14" x14ac:dyDescent="0.2">
      <c r="D46" s="98"/>
      <c r="E46" s="98"/>
      <c r="F46" s="98"/>
      <c r="G46" s="98"/>
      <c r="H46" s="98"/>
      <c r="I46" s="98"/>
      <c r="J46" s="98"/>
      <c r="K46" s="98"/>
      <c r="L46" s="98"/>
      <c r="M46" s="98"/>
    </row>
  </sheetData>
  <mergeCells count="4">
    <mergeCell ref="A1:M1"/>
    <mergeCell ref="A2:M2"/>
    <mergeCell ref="A3:M3"/>
    <mergeCell ref="A4:M4"/>
  </mergeCells>
  <phoneticPr fontId="0" type="noConversion"/>
  <printOptions horizontalCentered="1"/>
  <pageMargins left="0.7" right="0.7" top="0.75" bottom="0.75" header="0.3" footer="0.3"/>
  <pageSetup scale="69" orientation="landscape" r:id="rId1"/>
  <headerFooter alignWithMargins="0">
    <oddHeader>&amp;RAdvice No. 2018-xx
Electric Schedule 120 Rate Design Workpapers
Page &amp;P of &amp;N</oddHeader>
    <oddFooter>&amp;L&amp;F
&amp;A&amp;R&amp;D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workbookViewId="0">
      <selection sqref="A1:XFD1048576"/>
    </sheetView>
  </sheetViews>
  <sheetFormatPr defaultColWidth="8.85546875" defaultRowHeight="15" x14ac:dyDescent="0.25"/>
  <cols>
    <col min="1" max="1" width="7.7109375" style="130" bestFit="1" customWidth="1"/>
    <col min="2" max="2" width="15.7109375" style="130" bestFit="1" customWidth="1"/>
    <col min="3" max="4" width="15.140625" style="130" bestFit="1" customWidth="1"/>
    <col min="5" max="8" width="10.42578125" style="130" bestFit="1" customWidth="1"/>
    <col min="9" max="9" width="15.28515625" style="130" customWidth="1"/>
    <col min="10" max="10" width="12.7109375" style="130" bestFit="1" customWidth="1"/>
    <col min="11" max="11" width="15.140625" style="130" bestFit="1" customWidth="1"/>
    <col min="12" max="14" width="10.42578125" style="130" bestFit="1" customWidth="1"/>
    <col min="15" max="16384" width="8.85546875" style="130"/>
  </cols>
  <sheetData>
    <row r="1" spans="1:14" x14ac:dyDescent="0.25">
      <c r="A1" s="413" t="s">
        <v>31</v>
      </c>
      <c r="B1" s="413"/>
      <c r="C1" s="413"/>
      <c r="D1" s="413"/>
      <c r="E1" s="413"/>
      <c r="F1" s="413"/>
      <c r="G1" s="413"/>
      <c r="H1" s="413"/>
      <c r="I1" s="413"/>
      <c r="J1" s="413"/>
      <c r="K1" s="413"/>
      <c r="L1" s="413"/>
      <c r="M1" s="413"/>
      <c r="N1" s="214"/>
    </row>
    <row r="2" spans="1:14" x14ac:dyDescent="0.25">
      <c r="A2" s="413" t="s">
        <v>381</v>
      </c>
      <c r="B2" s="413"/>
      <c r="C2" s="413"/>
      <c r="D2" s="413"/>
      <c r="E2" s="413"/>
      <c r="F2" s="413"/>
      <c r="G2" s="413"/>
      <c r="H2" s="413"/>
      <c r="I2" s="413"/>
      <c r="J2" s="413"/>
      <c r="K2" s="413"/>
      <c r="L2" s="413"/>
      <c r="M2" s="413"/>
      <c r="N2" s="214"/>
    </row>
    <row r="3" spans="1:14" x14ac:dyDescent="0.25">
      <c r="A3" s="392" t="s">
        <v>382</v>
      </c>
      <c r="B3" s="413"/>
      <c r="C3" s="413"/>
      <c r="D3" s="413"/>
      <c r="E3" s="413"/>
      <c r="F3" s="413"/>
      <c r="G3" s="413"/>
      <c r="H3" s="413"/>
      <c r="I3" s="413"/>
      <c r="J3" s="413"/>
      <c r="K3" s="413"/>
      <c r="L3" s="413"/>
      <c r="M3" s="413"/>
      <c r="N3" s="214"/>
    </row>
    <row r="4" spans="1:14" x14ac:dyDescent="0.25">
      <c r="A4" s="392" t="s">
        <v>383</v>
      </c>
      <c r="B4" s="413"/>
      <c r="C4" s="413"/>
      <c r="D4" s="413"/>
      <c r="E4" s="413"/>
      <c r="F4" s="413"/>
      <c r="G4" s="413"/>
      <c r="H4" s="413"/>
      <c r="I4" s="413"/>
      <c r="J4" s="413"/>
      <c r="K4" s="413"/>
      <c r="L4" s="413"/>
      <c r="M4" s="413"/>
      <c r="N4" s="214"/>
    </row>
    <row r="5" spans="1:14" ht="15.75" thickBot="1" x14ac:dyDescent="0.3">
      <c r="A5" s="71"/>
      <c r="B5" s="71"/>
      <c r="C5" s="71"/>
      <c r="D5" s="71"/>
      <c r="E5" s="71"/>
      <c r="F5" s="71"/>
      <c r="G5" s="71"/>
      <c r="H5" s="71"/>
      <c r="I5" s="71"/>
      <c r="J5" s="71"/>
      <c r="K5" s="71"/>
      <c r="L5" s="71"/>
      <c r="M5" s="71"/>
      <c r="N5" s="71"/>
    </row>
    <row r="6" spans="1:14" ht="15.75" thickBot="1" x14ac:dyDescent="0.3">
      <c r="A6" s="71"/>
      <c r="B6" s="71"/>
      <c r="C6" s="414" t="s">
        <v>384</v>
      </c>
      <c r="D6" s="415"/>
      <c r="E6" s="415"/>
      <c r="F6" s="415"/>
      <c r="G6" s="415"/>
      <c r="H6" s="415"/>
      <c r="I6" s="415"/>
      <c r="J6" s="416"/>
      <c r="K6" s="414" t="s">
        <v>385</v>
      </c>
      <c r="L6" s="415"/>
      <c r="M6" s="415"/>
      <c r="N6" s="416"/>
    </row>
    <row r="7" spans="1:14" ht="15.75" thickBot="1" x14ac:dyDescent="0.3">
      <c r="A7" s="71"/>
      <c r="B7" s="71"/>
      <c r="C7" s="196" t="s">
        <v>386</v>
      </c>
      <c r="D7" s="212" t="s">
        <v>387</v>
      </c>
      <c r="E7" s="183" t="s">
        <v>388</v>
      </c>
      <c r="F7" s="212" t="s">
        <v>389</v>
      </c>
      <c r="G7" s="212" t="s">
        <v>390</v>
      </c>
      <c r="H7" s="212" t="s">
        <v>391</v>
      </c>
      <c r="I7" s="212" t="s">
        <v>392</v>
      </c>
      <c r="J7" s="304" t="s">
        <v>393</v>
      </c>
      <c r="K7" s="414" t="s">
        <v>394</v>
      </c>
      <c r="L7" s="415"/>
      <c r="M7" s="415"/>
      <c r="N7" s="416"/>
    </row>
    <row r="8" spans="1:14" ht="65.25" thickBot="1" x14ac:dyDescent="0.3">
      <c r="A8" s="131" t="s">
        <v>77</v>
      </c>
      <c r="B8" s="131" t="s">
        <v>28</v>
      </c>
      <c r="C8" s="100" t="s">
        <v>395</v>
      </c>
      <c r="D8" s="101" t="s">
        <v>396</v>
      </c>
      <c r="E8" s="101" t="s">
        <v>397</v>
      </c>
      <c r="F8" s="101" t="s">
        <v>398</v>
      </c>
      <c r="G8" s="101" t="s">
        <v>399</v>
      </c>
      <c r="H8" s="101" t="s">
        <v>400</v>
      </c>
      <c r="I8" s="101" t="s">
        <v>401</v>
      </c>
      <c r="J8" s="102" t="s">
        <v>402</v>
      </c>
      <c r="K8" s="100" t="s">
        <v>403</v>
      </c>
      <c r="L8" s="101" t="s">
        <v>404</v>
      </c>
      <c r="M8" s="103"/>
      <c r="N8" s="104"/>
    </row>
    <row r="9" spans="1:14" x14ac:dyDescent="0.25">
      <c r="A9" s="196">
        <v>1</v>
      </c>
      <c r="B9" s="305">
        <v>7</v>
      </c>
      <c r="C9" s="105">
        <f>+K9</f>
        <v>11362694034.5944</v>
      </c>
      <c r="D9" s="106">
        <f>+C9</f>
        <v>11362694034.5944</v>
      </c>
      <c r="E9" s="106"/>
      <c r="F9" s="106"/>
      <c r="G9" s="106"/>
      <c r="H9" s="106">
        <f>+L9</f>
        <v>2401760.8159533199</v>
      </c>
      <c r="I9" s="106">
        <f>+H9</f>
        <v>2401760.8159533199</v>
      </c>
      <c r="J9" s="107"/>
      <c r="K9" s="105">
        <f>+'UE-170033 LR Data -Energy'!J20</f>
        <v>11362694034.5944</v>
      </c>
      <c r="L9" s="106">
        <f>+'UE-170033 LR Data- Dem 4CP'!S19</f>
        <v>2401760.8159533199</v>
      </c>
      <c r="M9" s="106"/>
      <c r="N9" s="107"/>
    </row>
    <row r="10" spans="1:14" x14ac:dyDescent="0.25">
      <c r="A10" s="46">
        <v>2</v>
      </c>
      <c r="B10" s="306">
        <v>24</v>
      </c>
      <c r="C10" s="105">
        <f t="shared" ref="C10:C21" si="0">+K10</f>
        <v>2983833723.3713889</v>
      </c>
      <c r="D10" s="106">
        <f t="shared" ref="D10:D18" si="1">+C10</f>
        <v>2983833723.3713889</v>
      </c>
      <c r="E10" s="106"/>
      <c r="F10" s="106"/>
      <c r="G10" s="106"/>
      <c r="H10" s="106">
        <f t="shared" ref="H10:H21" si="2">+L10</f>
        <v>483797.35950569448</v>
      </c>
      <c r="I10" s="106">
        <f t="shared" ref="I10:I21" si="3">+H10</f>
        <v>483797.35950569448</v>
      </c>
      <c r="J10" s="107"/>
      <c r="K10" s="105">
        <f>+'UE-170033 LR Data -Energy'!J21</f>
        <v>2983833723.3713889</v>
      </c>
      <c r="L10" s="106">
        <f>+'UE-170033 LR Data- Dem 4CP'!E19</f>
        <v>483797.35950569448</v>
      </c>
      <c r="M10" s="106"/>
      <c r="N10" s="107"/>
    </row>
    <row r="11" spans="1:14" x14ac:dyDescent="0.25">
      <c r="A11" s="46">
        <v>3</v>
      </c>
      <c r="B11" s="306" t="s">
        <v>405</v>
      </c>
      <c r="C11" s="105">
        <f t="shared" si="0"/>
        <v>3080584885.4856691</v>
      </c>
      <c r="D11" s="106">
        <f t="shared" si="1"/>
        <v>3080584885.4856691</v>
      </c>
      <c r="E11" s="106"/>
      <c r="F11" s="106"/>
      <c r="G11" s="106"/>
      <c r="H11" s="106">
        <f t="shared" si="2"/>
        <v>452472.55815379717</v>
      </c>
      <c r="I11" s="106">
        <f t="shared" si="3"/>
        <v>452472.55815379717</v>
      </c>
      <c r="J11" s="107"/>
      <c r="K11" s="105">
        <f>+'UE-170033 LR Data -Energy'!J22+'UE-170033 LR Data -Energy'!J24</f>
        <v>3080584885.4856691</v>
      </c>
      <c r="L11" s="106">
        <f>+'UE-170033 LR Data- Dem 4CP'!F19+'UE-170033 LR Data- Dem 4CP'!H19</f>
        <v>452472.55815379717</v>
      </c>
      <c r="M11" s="106"/>
      <c r="N11" s="107"/>
    </row>
    <row r="12" spans="1:14" x14ac:dyDescent="0.25">
      <c r="A12" s="46">
        <v>4</v>
      </c>
      <c r="B12" s="306">
        <v>26</v>
      </c>
      <c r="C12" s="105">
        <f t="shared" si="0"/>
        <v>2051022389.543107</v>
      </c>
      <c r="D12" s="106">
        <f t="shared" si="1"/>
        <v>2051022389.543107</v>
      </c>
      <c r="E12" s="106"/>
      <c r="F12" s="106"/>
      <c r="G12" s="106"/>
      <c r="H12" s="106">
        <f t="shared" si="2"/>
        <v>261562.891393383</v>
      </c>
      <c r="I12" s="106">
        <f t="shared" si="3"/>
        <v>261562.891393383</v>
      </c>
      <c r="J12" s="107"/>
      <c r="K12" s="105">
        <f>+'UE-170033 LR Data -Energy'!J23</f>
        <v>2051022389.543107</v>
      </c>
      <c r="L12" s="106">
        <f>+'UE-170033 LR Data- Dem 4CP'!G19</f>
        <v>261562.891393383</v>
      </c>
      <c r="M12" s="106"/>
      <c r="N12" s="107"/>
    </row>
    <row r="13" spans="1:14" x14ac:dyDescent="0.25">
      <c r="A13" s="46">
        <v>5</v>
      </c>
      <c r="B13" s="306">
        <v>31</v>
      </c>
      <c r="C13" s="105">
        <f t="shared" si="0"/>
        <v>1342870567.1184549</v>
      </c>
      <c r="D13" s="106">
        <f t="shared" si="1"/>
        <v>1342870567.1184549</v>
      </c>
      <c r="E13" s="106"/>
      <c r="F13" s="106"/>
      <c r="G13" s="106"/>
      <c r="H13" s="106">
        <f t="shared" si="2"/>
        <v>179157.07260351363</v>
      </c>
      <c r="I13" s="106">
        <f t="shared" si="3"/>
        <v>179157.07260351363</v>
      </c>
      <c r="J13" s="107"/>
      <c r="K13" s="105">
        <f>+'UE-170033 LR Data -Energy'!J25</f>
        <v>1342870567.1184549</v>
      </c>
      <c r="L13" s="106">
        <f>+'UE-170033 LR Data- Dem 4CP'!I19</f>
        <v>179157.07260351363</v>
      </c>
      <c r="M13" s="106"/>
      <c r="N13" s="107"/>
    </row>
    <row r="14" spans="1:14" x14ac:dyDescent="0.25">
      <c r="A14" s="46">
        <v>6</v>
      </c>
      <c r="B14" s="306">
        <v>35</v>
      </c>
      <c r="C14" s="105">
        <f t="shared" si="0"/>
        <v>4594563.3633324662</v>
      </c>
      <c r="D14" s="106">
        <f t="shared" si="1"/>
        <v>4594563.3633324662</v>
      </c>
      <c r="E14" s="106"/>
      <c r="F14" s="106"/>
      <c r="G14" s="106"/>
      <c r="H14" s="106">
        <f t="shared" si="2"/>
        <v>4.0419526549894496</v>
      </c>
      <c r="I14" s="106">
        <f t="shared" si="3"/>
        <v>4.0419526549894496</v>
      </c>
      <c r="J14" s="107"/>
      <c r="K14" s="105">
        <f>+'UE-170033 LR Data -Energy'!J26</f>
        <v>4594563.3633324662</v>
      </c>
      <c r="L14" s="106">
        <f>+'UE-170033 LR Data- Dem 4CP'!J19</f>
        <v>4.0419526549894496</v>
      </c>
      <c r="M14" s="106"/>
      <c r="N14" s="107"/>
    </row>
    <row r="15" spans="1:14" x14ac:dyDescent="0.25">
      <c r="A15" s="46">
        <v>7</v>
      </c>
      <c r="B15" s="306">
        <v>43</v>
      </c>
      <c r="C15" s="105">
        <f t="shared" si="0"/>
        <v>124979540.86316925</v>
      </c>
      <c r="D15" s="106">
        <f t="shared" si="1"/>
        <v>124979540.86316925</v>
      </c>
      <c r="E15" s="106"/>
      <c r="F15" s="106"/>
      <c r="G15" s="106"/>
      <c r="H15" s="106">
        <v>0</v>
      </c>
      <c r="I15" s="106">
        <f t="shared" si="3"/>
        <v>0</v>
      </c>
      <c r="J15" s="107"/>
      <c r="K15" s="105">
        <f>+'UE-170033 LR Data -Energy'!J28</f>
        <v>124979540.86316925</v>
      </c>
      <c r="L15" s="106">
        <f>+'UE-170033 LR Data- Dem 4CP'!L19</f>
        <v>40576.134916547075</v>
      </c>
      <c r="M15" s="106"/>
      <c r="N15" s="107"/>
    </row>
    <row r="16" spans="1:14" x14ac:dyDescent="0.25">
      <c r="A16" s="46">
        <v>8</v>
      </c>
      <c r="B16" s="306">
        <v>40</v>
      </c>
      <c r="C16" s="105">
        <f t="shared" si="0"/>
        <v>639599439.09802258</v>
      </c>
      <c r="D16" s="106">
        <f t="shared" si="1"/>
        <v>639599439.09802258</v>
      </c>
      <c r="E16" s="106"/>
      <c r="F16" s="106"/>
      <c r="G16" s="106"/>
      <c r="H16" s="106">
        <f t="shared" si="2"/>
        <v>80420.565981487191</v>
      </c>
      <c r="I16" s="106">
        <f t="shared" si="3"/>
        <v>80420.565981487191</v>
      </c>
      <c r="J16" s="107"/>
      <c r="K16" s="105">
        <f>+'UE-170033 LR Data -Energy'!J27</f>
        <v>639599439.09802258</v>
      </c>
      <c r="L16" s="106">
        <f>+'UE-170033 LR Data- Dem 4CP'!K19</f>
        <v>80420.565981487191</v>
      </c>
      <c r="M16" s="106"/>
      <c r="N16" s="107"/>
    </row>
    <row r="17" spans="1:14" x14ac:dyDescent="0.25">
      <c r="A17" s="46">
        <v>9</v>
      </c>
      <c r="B17" s="306" t="s">
        <v>22</v>
      </c>
      <c r="C17" s="105">
        <f t="shared" si="0"/>
        <v>632887813.72208166</v>
      </c>
      <c r="D17" s="106">
        <f t="shared" si="1"/>
        <v>632887813.72208166</v>
      </c>
      <c r="E17" s="106"/>
      <c r="F17" s="106"/>
      <c r="G17" s="106"/>
      <c r="H17" s="106">
        <f>+'UE-170033 LR Data- Dem 4CP'!Q21</f>
        <v>67179.705291231017</v>
      </c>
      <c r="I17" s="106">
        <f t="shared" si="3"/>
        <v>67179.705291231017</v>
      </c>
      <c r="J17" s="107"/>
      <c r="K17" s="105">
        <f>+'UE-170033 LR Data -Energy'!J29+'UE-170033 LR Data -Energy'!J30</f>
        <v>632887813.72208166</v>
      </c>
      <c r="L17" s="106">
        <f>+'UE-170033 LR Data- Dem 4CP'!P19+'UE-170033 LR Data- Dem 4CP'!Q19</f>
        <v>72695.711848550389</v>
      </c>
      <c r="M17" s="106"/>
      <c r="N17" s="107"/>
    </row>
    <row r="18" spans="1:14" x14ac:dyDescent="0.25">
      <c r="A18" s="46">
        <v>10</v>
      </c>
      <c r="B18" s="306" t="s">
        <v>406</v>
      </c>
      <c r="C18" s="105">
        <f t="shared" si="0"/>
        <v>81534389.017231286</v>
      </c>
      <c r="D18" s="106">
        <f t="shared" si="1"/>
        <v>81534389.017231286</v>
      </c>
      <c r="E18" s="106"/>
      <c r="F18" s="106"/>
      <c r="G18" s="106"/>
      <c r="H18" s="106">
        <f t="shared" si="2"/>
        <v>13772.381425311305</v>
      </c>
      <c r="I18" s="106">
        <f t="shared" si="3"/>
        <v>13772.381425311305</v>
      </c>
      <c r="J18" s="107"/>
      <c r="K18" s="105">
        <f>+'UE-170033 LR Data -Energy'!J32</f>
        <v>81534389.017231286</v>
      </c>
      <c r="L18" s="106">
        <f>+'UE-170033 LR Data- Dem 4CP'!T19+'UE-170033 LR Data- Dem 4CP'!U19</f>
        <v>13772.381425311305</v>
      </c>
      <c r="M18" s="106"/>
      <c r="N18" s="107"/>
    </row>
    <row r="19" spans="1:14" x14ac:dyDescent="0.25">
      <c r="A19" s="46">
        <v>11</v>
      </c>
      <c r="B19" s="306" t="s">
        <v>407</v>
      </c>
      <c r="C19" s="105">
        <f t="shared" si="0"/>
        <v>107396590.46418484</v>
      </c>
      <c r="D19" s="106">
        <v>0</v>
      </c>
      <c r="E19" s="106"/>
      <c r="F19" s="106"/>
      <c r="G19" s="106"/>
      <c r="H19" s="106">
        <f t="shared" si="2"/>
        <v>12414.482378834524</v>
      </c>
      <c r="I19" s="106">
        <v>0</v>
      </c>
      <c r="J19" s="107"/>
      <c r="K19" s="105">
        <f>+'UE-170033 LR Data -Energy'!J41</f>
        <v>107396590.46418484</v>
      </c>
      <c r="L19" s="106">
        <f>+'UE-170033 LR Data- Dem 4CP'!N19</f>
        <v>12414.482378834524</v>
      </c>
      <c r="M19" s="106"/>
      <c r="N19" s="107"/>
    </row>
    <row r="20" spans="1:14" x14ac:dyDescent="0.25">
      <c r="A20" s="46">
        <v>12</v>
      </c>
      <c r="B20" s="307" t="s">
        <v>408</v>
      </c>
      <c r="C20" s="105">
        <f t="shared" si="0"/>
        <v>2033050978.3414011</v>
      </c>
      <c r="D20" s="106">
        <v>0</v>
      </c>
      <c r="E20" s="106"/>
      <c r="F20" s="106"/>
      <c r="G20" s="106"/>
      <c r="H20" s="106">
        <f t="shared" si="2"/>
        <v>230846.168346208</v>
      </c>
      <c r="I20" s="106">
        <v>0</v>
      </c>
      <c r="J20" s="107"/>
      <c r="K20" s="105">
        <f>+'UE-170033 LR Data -Energy'!J39+'UE-170033 LR Data -Energy'!J40</f>
        <v>2033050978.3414011</v>
      </c>
      <c r="L20" s="106">
        <f>+'UE-170033 LR Data- Dem 4CP'!M19+'UE-170033 LR Data- Dem 4CP'!O19</f>
        <v>230846.168346208</v>
      </c>
      <c r="M20" s="106"/>
      <c r="N20" s="107"/>
    </row>
    <row r="21" spans="1:14" x14ac:dyDescent="0.25">
      <c r="A21" s="46">
        <v>14</v>
      </c>
      <c r="B21" s="306" t="s">
        <v>409</v>
      </c>
      <c r="C21" s="105">
        <f t="shared" si="0"/>
        <v>7227693.8231415441</v>
      </c>
      <c r="D21" s="106">
        <f t="shared" ref="D21" si="4">+C21</f>
        <v>7227693.8231415441</v>
      </c>
      <c r="E21" s="106"/>
      <c r="F21" s="106"/>
      <c r="G21" s="106"/>
      <c r="H21" s="106">
        <f t="shared" si="2"/>
        <v>1530.4662657410647</v>
      </c>
      <c r="I21" s="106">
        <f t="shared" si="3"/>
        <v>1530.4662657410647</v>
      </c>
      <c r="J21" s="107"/>
      <c r="K21" s="105">
        <f>+'UE-170033 LR Data -Energy'!J31</f>
        <v>7227693.8231415441</v>
      </c>
      <c r="L21" s="106">
        <f>+'UE-170033 LR Data- Dem 4CP'!R19</f>
        <v>1530.4662657410647</v>
      </c>
      <c r="M21" s="106"/>
      <c r="N21" s="107"/>
    </row>
    <row r="22" spans="1:14" x14ac:dyDescent="0.25">
      <c r="A22" s="46">
        <v>15</v>
      </c>
      <c r="B22" s="6"/>
      <c r="C22" s="105"/>
      <c r="D22" s="106"/>
      <c r="E22" s="106"/>
      <c r="F22" s="106"/>
      <c r="G22" s="106"/>
      <c r="H22" s="106"/>
      <c r="I22" s="106"/>
      <c r="J22" s="107"/>
      <c r="K22" s="105"/>
      <c r="L22" s="106"/>
      <c r="M22" s="106"/>
      <c r="N22" s="107"/>
    </row>
    <row r="23" spans="1:14" x14ac:dyDescent="0.25">
      <c r="A23" s="46">
        <v>16</v>
      </c>
      <c r="B23" s="6" t="s">
        <v>19</v>
      </c>
      <c r="C23" s="105">
        <f>SUM(C9:C21)</f>
        <v>24452276608.80558</v>
      </c>
      <c r="D23" s="106">
        <f>SUM(D9:D22)</f>
        <v>22311829039.999996</v>
      </c>
      <c r="E23" s="106"/>
      <c r="F23" s="106"/>
      <c r="G23" s="106"/>
      <c r="H23" s="106">
        <f t="shared" ref="H23:I23" si="5">SUM(H9:H21)</f>
        <v>4184918.5092511764</v>
      </c>
      <c r="I23" s="106">
        <f t="shared" si="5"/>
        <v>3941657.8585261339</v>
      </c>
      <c r="J23" s="107"/>
      <c r="K23" s="105">
        <f>SUM(K9:K21)</f>
        <v>24452276608.80558</v>
      </c>
      <c r="L23" s="106">
        <f>SUM(L9:L21)</f>
        <v>4231010.6507250424</v>
      </c>
      <c r="M23" s="106"/>
      <c r="N23" s="107"/>
    </row>
    <row r="24" spans="1:14" x14ac:dyDescent="0.25">
      <c r="A24" s="46">
        <v>17</v>
      </c>
      <c r="B24" s="6" t="s">
        <v>410</v>
      </c>
      <c r="C24" s="105">
        <f>+'UE-170033 LR Data -Energy'!J34+'UE-170033 LR Data -Energy'!J43</f>
        <v>24452276608.805588</v>
      </c>
      <c r="D24" s="106">
        <f>+'UE-170033 LR Data -Energy'!J34</f>
        <v>22311829040</v>
      </c>
      <c r="E24" s="106"/>
      <c r="F24" s="106"/>
      <c r="G24" s="106"/>
      <c r="H24" s="106">
        <f>+'UE-170033 LR Data- Dem 4CP'!D21</f>
        <v>4184918.5092511764</v>
      </c>
      <c r="I24" s="106">
        <f>+'UE-170033 LR Data- Dem 4CP'!D23</f>
        <v>3941657.8585261335</v>
      </c>
      <c r="J24" s="107"/>
      <c r="K24" s="105">
        <f>+'UE-170033 LR Data -Energy'!J34+'UE-170033 LR Data -Energy'!J43</f>
        <v>24452276608.805588</v>
      </c>
      <c r="L24" s="106">
        <f>+'UE-170033 LR Data- Dem 4CP'!D19</f>
        <v>4231010.6507250424</v>
      </c>
      <c r="M24" s="106"/>
      <c r="N24" s="107"/>
    </row>
    <row r="25" spans="1:14" x14ac:dyDescent="0.25">
      <c r="A25" s="46">
        <v>18</v>
      </c>
      <c r="B25" s="6" t="s">
        <v>410</v>
      </c>
      <c r="C25" s="105">
        <f>+C23-C24</f>
        <v>0</v>
      </c>
      <c r="D25" s="106">
        <f>+D23-D24</f>
        <v>0</v>
      </c>
      <c r="E25" s="106"/>
      <c r="F25" s="106"/>
      <c r="G25" s="106"/>
      <c r="H25" s="106">
        <f t="shared" ref="H25:L25" si="6">+H23-H24</f>
        <v>0</v>
      </c>
      <c r="I25" s="106">
        <f t="shared" si="6"/>
        <v>0</v>
      </c>
      <c r="J25" s="107"/>
      <c r="K25" s="105">
        <f t="shared" si="6"/>
        <v>0</v>
      </c>
      <c r="L25" s="106">
        <f t="shared" si="6"/>
        <v>0</v>
      </c>
      <c r="M25" s="106"/>
      <c r="N25" s="107"/>
    </row>
    <row r="26" spans="1:14" ht="15.75" thickBot="1" x14ac:dyDescent="0.3">
      <c r="A26" s="108"/>
      <c r="B26" s="109"/>
      <c r="C26" s="108"/>
      <c r="D26" s="109"/>
      <c r="E26" s="109"/>
      <c r="F26" s="109"/>
      <c r="G26" s="109"/>
      <c r="H26" s="109"/>
      <c r="I26" s="109"/>
      <c r="J26" s="110"/>
      <c r="K26" s="108"/>
      <c r="L26" s="109"/>
      <c r="M26" s="109"/>
      <c r="N26" s="110"/>
    </row>
    <row r="27" spans="1:14" x14ac:dyDescent="0.25">
      <c r="A27" s="71"/>
      <c r="B27" s="71"/>
      <c r="C27" s="71"/>
      <c r="D27" s="71"/>
      <c r="E27" s="71"/>
      <c r="F27" s="71"/>
      <c r="G27" s="71"/>
      <c r="H27" s="71"/>
      <c r="I27" s="71"/>
      <c r="J27" s="71"/>
      <c r="K27" s="71"/>
      <c r="L27" s="71"/>
      <c r="M27" s="71"/>
      <c r="N27" s="71"/>
    </row>
    <row r="28" spans="1:14" x14ac:dyDescent="0.25">
      <c r="B28" s="130" t="s">
        <v>573</v>
      </c>
      <c r="D28" s="111">
        <f>+D23-D21</f>
        <v>22304601346.176853</v>
      </c>
      <c r="I28" s="111">
        <f>+I23-I21</f>
        <v>3940127.3922603927</v>
      </c>
    </row>
    <row r="29" spans="1:14" x14ac:dyDescent="0.25">
      <c r="B29" s="114" t="s">
        <v>410</v>
      </c>
      <c r="C29" s="111"/>
      <c r="D29" s="111">
        <f>+'Peak Credit Budget 2018'!D25</f>
        <v>22304601346.176857</v>
      </c>
      <c r="E29" s="111"/>
      <c r="F29" s="111"/>
      <c r="G29" s="111"/>
      <c r="H29" s="111"/>
      <c r="I29" s="111">
        <f>+'Peak Credit Budget 2018'!F25</f>
        <v>3940127.3922603927</v>
      </c>
      <c r="J29" s="111"/>
      <c r="K29" s="111"/>
      <c r="L29" s="111"/>
      <c r="M29" s="111"/>
      <c r="N29" s="111"/>
    </row>
    <row r="30" spans="1:14" x14ac:dyDescent="0.25">
      <c r="B30" s="130" t="s">
        <v>410</v>
      </c>
      <c r="D30" s="111">
        <f>+D28-D29</f>
        <v>0</v>
      </c>
      <c r="I30" s="111">
        <f>+I28-I29</f>
        <v>0</v>
      </c>
    </row>
  </sheetData>
  <mergeCells count="7">
    <mergeCell ref="K7:N7"/>
    <mergeCell ref="A1:M1"/>
    <mergeCell ref="A2:M2"/>
    <mergeCell ref="A3:M3"/>
    <mergeCell ref="A4:M4"/>
    <mergeCell ref="C6:J6"/>
    <mergeCell ref="K6:N6"/>
  </mergeCells>
  <printOptions horizontalCentered="1"/>
  <pageMargins left="0.25" right="0.25" top="0.75" bottom="0.75" header="0.3" footer="0.3"/>
  <pageSetup scale="80" orientation="landscape" r:id="rId1"/>
  <headerFooter>
    <oddHeader>&amp;RAdvice No. 2018-xx
Electric Schedule 120 Rate Design Workpapers
Page &amp;P of &amp;N</oddHeader>
    <oddFooter>&amp;L&amp;"Times New Roman,Regular"&amp;F
&amp;A&amp;R&amp;"Times New Roman,Regular"&amp;D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workbookViewId="0">
      <selection sqref="A1:XFD1048576"/>
    </sheetView>
  </sheetViews>
  <sheetFormatPr defaultColWidth="8.85546875" defaultRowHeight="15" x14ac:dyDescent="0.25"/>
  <cols>
    <col min="1" max="1" width="17.42578125" style="130" bestFit="1" customWidth="1"/>
    <col min="2" max="2" width="10.5703125" style="130" bestFit="1" customWidth="1"/>
    <col min="3" max="3" width="17.42578125" style="130" bestFit="1" customWidth="1"/>
    <col min="4" max="4" width="10" style="130" bestFit="1" customWidth="1"/>
    <col min="5" max="7" width="8.5703125" style="130" bestFit="1" customWidth="1"/>
    <col min="8" max="8" width="6.5703125" style="130" bestFit="1" customWidth="1"/>
    <col min="9" max="9" width="8.5703125" style="130" bestFit="1" customWidth="1"/>
    <col min="10" max="10" width="6.5703125" style="130" bestFit="1" customWidth="1"/>
    <col min="11" max="11" width="8.5703125" style="130" bestFit="1" customWidth="1"/>
    <col min="12" max="12" width="7.5703125" style="130" bestFit="1" customWidth="1"/>
    <col min="13" max="13" width="8.5703125" style="130" bestFit="1" customWidth="1"/>
    <col min="14" max="15" width="7.5703125" style="130" bestFit="1" customWidth="1"/>
    <col min="16" max="16" width="6.5703125" style="130" bestFit="1" customWidth="1"/>
    <col min="17" max="17" width="7.5703125" style="130" bestFit="1" customWidth="1"/>
    <col min="18" max="18" width="6.5703125" style="130" bestFit="1" customWidth="1"/>
    <col min="19" max="19" width="10" style="130" bestFit="1" customWidth="1"/>
    <col min="20" max="20" width="6.5703125" style="130" bestFit="1" customWidth="1"/>
    <col min="21" max="21" width="7.5703125" style="130" bestFit="1" customWidth="1"/>
    <col min="22" max="22" width="10" style="130" bestFit="1" customWidth="1"/>
    <col min="23" max="16384" width="8.85546875" style="130"/>
  </cols>
  <sheetData>
    <row r="1" spans="1:22" x14ac:dyDescent="0.25">
      <c r="A1" s="130" t="s">
        <v>411</v>
      </c>
      <c r="B1" s="417" t="s">
        <v>412</v>
      </c>
      <c r="C1" s="417"/>
      <c r="D1" s="417"/>
      <c r="E1" s="417"/>
      <c r="F1" s="417"/>
      <c r="G1" s="417"/>
      <c r="H1" s="417"/>
      <c r="I1" s="417"/>
      <c r="J1" s="417"/>
      <c r="K1" s="417"/>
      <c r="L1" s="417"/>
      <c r="M1" s="417"/>
      <c r="N1" s="417"/>
      <c r="O1" s="417"/>
      <c r="P1" s="417"/>
      <c r="Q1" s="417"/>
      <c r="R1" s="417"/>
      <c r="S1" s="417"/>
      <c r="T1" s="417"/>
      <c r="U1" s="417"/>
      <c r="V1" s="417"/>
    </row>
    <row r="2" spans="1:22" x14ac:dyDescent="0.25">
      <c r="A2" s="130" t="s">
        <v>413</v>
      </c>
    </row>
    <row r="4" spans="1:22" x14ac:dyDescent="0.25">
      <c r="A4" s="130" t="s">
        <v>414</v>
      </c>
      <c r="B4" s="130" t="s">
        <v>415</v>
      </c>
      <c r="C4" s="130" t="s">
        <v>416</v>
      </c>
      <c r="D4" s="130" t="s">
        <v>417</v>
      </c>
      <c r="E4" s="130" t="s">
        <v>418</v>
      </c>
      <c r="F4" s="130" t="s">
        <v>419</v>
      </c>
      <c r="G4" s="130" t="s">
        <v>420</v>
      </c>
      <c r="H4" s="130" t="s">
        <v>421</v>
      </c>
      <c r="I4" s="130" t="s">
        <v>422</v>
      </c>
      <c r="J4" s="130" t="s">
        <v>423</v>
      </c>
      <c r="K4" s="130" t="s">
        <v>424</v>
      </c>
      <c r="L4" s="130" t="s">
        <v>425</v>
      </c>
      <c r="M4" s="130" t="s">
        <v>426</v>
      </c>
      <c r="N4" s="130" t="s">
        <v>427</v>
      </c>
      <c r="O4" s="130" t="s">
        <v>428</v>
      </c>
      <c r="P4" s="130" t="s">
        <v>429</v>
      </c>
      <c r="Q4" s="130" t="s">
        <v>430</v>
      </c>
      <c r="R4" s="130" t="s">
        <v>431</v>
      </c>
      <c r="S4" s="130" t="s">
        <v>432</v>
      </c>
      <c r="T4" s="130" t="s">
        <v>433</v>
      </c>
      <c r="U4" s="130" t="s">
        <v>434</v>
      </c>
      <c r="V4" s="130" t="s">
        <v>435</v>
      </c>
    </row>
    <row r="5" spans="1:22" x14ac:dyDescent="0.25">
      <c r="A5" s="130" t="s">
        <v>436</v>
      </c>
      <c r="B5" s="216">
        <v>42303</v>
      </c>
      <c r="C5" s="130" t="s">
        <v>437</v>
      </c>
      <c r="D5" s="130" t="s">
        <v>438</v>
      </c>
      <c r="E5" s="111">
        <v>269594.21353494999</v>
      </c>
      <c r="F5" s="111">
        <v>358966.41095898498</v>
      </c>
      <c r="G5" s="111">
        <v>247781.948880738</v>
      </c>
      <c r="H5" s="111">
        <v>337.55674279833602</v>
      </c>
      <c r="I5" s="111">
        <v>152506.06420517599</v>
      </c>
      <c r="J5" s="111">
        <v>3.7310332199902598</v>
      </c>
      <c r="K5" s="111">
        <v>83063.264875620094</v>
      </c>
      <c r="L5" s="111">
        <v>10150.847140931501</v>
      </c>
      <c r="M5" s="111">
        <v>207332.847208947</v>
      </c>
      <c r="N5" s="111">
        <v>12065.960039432999</v>
      </c>
      <c r="O5" s="111">
        <v>34717.533081064001</v>
      </c>
      <c r="P5" s="111">
        <v>8601.4517544612299</v>
      </c>
      <c r="Q5" s="111">
        <v>71685.071738800994</v>
      </c>
      <c r="R5" s="111">
        <v>755.732861913683</v>
      </c>
      <c r="S5" s="111">
        <v>1781802.5974067501</v>
      </c>
      <c r="T5" s="111">
        <v>1348.69658216928</v>
      </c>
      <c r="U5" s="111">
        <v>14402.4122834851</v>
      </c>
      <c r="V5" s="111">
        <v>3001000</v>
      </c>
    </row>
    <row r="6" spans="1:22" x14ac:dyDescent="0.25">
      <c r="A6" s="130" t="s">
        <v>439</v>
      </c>
      <c r="B6" s="216">
        <v>42338</v>
      </c>
      <c r="C6" s="130" t="s">
        <v>440</v>
      </c>
      <c r="D6" s="130" t="s">
        <v>438</v>
      </c>
      <c r="E6" s="111">
        <v>545055.83159289602</v>
      </c>
      <c r="F6" s="111">
        <v>557407.83056049398</v>
      </c>
      <c r="G6" s="111">
        <v>308148.99328739801</v>
      </c>
      <c r="H6" s="111">
        <v>241.78159205100701</v>
      </c>
      <c r="I6" s="111">
        <v>204895.16237578599</v>
      </c>
      <c r="J6" s="111">
        <v>3.1091943499918799</v>
      </c>
      <c r="K6" s="111">
        <v>106853.910508733</v>
      </c>
      <c r="L6" s="111">
        <v>66844.398020481996</v>
      </c>
      <c r="M6" s="111">
        <v>198919.95289764099</v>
      </c>
      <c r="N6" s="111">
        <v>11781.843695158001</v>
      </c>
      <c r="O6" s="111">
        <v>34849.204472164798</v>
      </c>
      <c r="P6" s="111">
        <v>7611.9951932417398</v>
      </c>
      <c r="Q6" s="111">
        <v>71519.466384241707</v>
      </c>
      <c r="R6" s="111">
        <v>1600.3440283515699</v>
      </c>
      <c r="S6" s="111">
        <v>2274067.7347942698</v>
      </c>
      <c r="T6" s="111">
        <v>728.29644568999004</v>
      </c>
      <c r="U6" s="111">
        <v>8021.1460220153604</v>
      </c>
      <c r="V6" s="111">
        <v>4153000</v>
      </c>
    </row>
    <row r="7" spans="1:22" x14ac:dyDescent="0.25">
      <c r="A7" s="130" t="s">
        <v>441</v>
      </c>
      <c r="B7" s="216">
        <v>42368</v>
      </c>
      <c r="C7" s="130" t="s">
        <v>437</v>
      </c>
      <c r="D7" s="130" t="s">
        <v>438</v>
      </c>
      <c r="E7" s="111">
        <v>445598.961896608</v>
      </c>
      <c r="F7" s="111">
        <v>389863.24558770802</v>
      </c>
      <c r="G7" s="111">
        <v>235322.261152864</v>
      </c>
      <c r="H7" s="111">
        <v>501.63874625004399</v>
      </c>
      <c r="I7" s="111">
        <v>158704.759102721</v>
      </c>
      <c r="J7" s="111">
        <v>4.3528720899886402</v>
      </c>
      <c r="K7" s="111">
        <v>84245.945845808194</v>
      </c>
      <c r="L7" s="111">
        <v>19399.907031096602</v>
      </c>
      <c r="M7" s="111">
        <v>186230.45853216801</v>
      </c>
      <c r="N7" s="111">
        <v>12384.15873193</v>
      </c>
      <c r="O7" s="111">
        <v>35843.1170073998</v>
      </c>
      <c r="P7" s="111">
        <v>2603.55338488291</v>
      </c>
      <c r="Q7" s="111">
        <v>64841.315952711702</v>
      </c>
      <c r="R7" s="111">
        <v>1702.5493946302199</v>
      </c>
      <c r="S7" s="111">
        <v>2625416.1886497098</v>
      </c>
      <c r="T7" s="111">
        <v>1618.43654597776</v>
      </c>
      <c r="U7" s="111">
        <v>17176.883836939502</v>
      </c>
      <c r="V7" s="111">
        <v>4047000</v>
      </c>
    </row>
    <row r="8" spans="1:22" x14ac:dyDescent="0.25">
      <c r="A8" s="130" t="s">
        <v>442</v>
      </c>
      <c r="B8" s="216">
        <v>42372</v>
      </c>
      <c r="C8" s="130" t="s">
        <v>443</v>
      </c>
      <c r="D8" s="130" t="s">
        <v>438</v>
      </c>
      <c r="E8" s="111">
        <v>396604.63888535497</v>
      </c>
      <c r="F8" s="111">
        <v>331882.39346885798</v>
      </c>
      <c r="G8" s="111">
        <v>174144.22687904199</v>
      </c>
      <c r="H8" s="111">
        <v>312.22506393903302</v>
      </c>
      <c r="I8" s="111">
        <v>134424.07412209001</v>
      </c>
      <c r="J8" s="111">
        <v>4.3528720899886402</v>
      </c>
      <c r="K8" s="111">
        <v>78254.180986737294</v>
      </c>
      <c r="L8" s="111">
        <v>21975.509949114999</v>
      </c>
      <c r="M8" s="111">
        <v>185740.98563272099</v>
      </c>
      <c r="N8" s="111">
        <v>11367.5777814024</v>
      </c>
      <c r="O8" s="111">
        <v>33095.837064884698</v>
      </c>
      <c r="P8" s="111">
        <v>3716.3051916732902</v>
      </c>
      <c r="Q8" s="111">
        <v>62627.0593801129</v>
      </c>
      <c r="R8" s="111">
        <v>1386.67293838253</v>
      </c>
      <c r="S8" s="111">
        <v>2876873.0398796899</v>
      </c>
      <c r="T8" s="111">
        <v>1618.43654597776</v>
      </c>
      <c r="U8" s="111">
        <v>17176.883836939502</v>
      </c>
      <c r="V8" s="111">
        <v>4101000</v>
      </c>
    </row>
    <row r="9" spans="1:22" x14ac:dyDescent="0.25">
      <c r="A9" s="130" t="s">
        <v>444</v>
      </c>
      <c r="B9" s="216">
        <v>42402</v>
      </c>
      <c r="C9" s="130" t="s">
        <v>440</v>
      </c>
      <c r="D9" s="130" t="s">
        <v>438</v>
      </c>
      <c r="E9" s="111">
        <v>547930.00564791902</v>
      </c>
      <c r="F9" s="111">
        <v>523734.24516802299</v>
      </c>
      <c r="G9" s="111">
        <v>307105.20425422798</v>
      </c>
      <c r="H9" s="111">
        <v>377.59909453222599</v>
      </c>
      <c r="I9" s="111">
        <v>204220.428146791</v>
      </c>
      <c r="J9" s="111">
        <v>4.3528720899886402</v>
      </c>
      <c r="K9" s="111">
        <v>93812.246584670298</v>
      </c>
      <c r="L9" s="111">
        <v>54084.724665494701</v>
      </c>
      <c r="M9" s="111">
        <v>213930.65863653901</v>
      </c>
      <c r="N9" s="111">
        <v>14124.3493068477</v>
      </c>
      <c r="O9" s="111">
        <v>34774.4591413136</v>
      </c>
      <c r="P9" s="111">
        <v>8132.1724594795596</v>
      </c>
      <c r="Q9" s="111">
        <v>69730.979447857797</v>
      </c>
      <c r="R9" s="111">
        <v>1432.2987015999399</v>
      </c>
      <c r="S9" s="111">
        <v>1830686.3004896101</v>
      </c>
      <c r="T9" s="111">
        <v>728.29644568999004</v>
      </c>
      <c r="U9" s="111">
        <v>8021.1460220153604</v>
      </c>
      <c r="V9" s="111">
        <v>3650000</v>
      </c>
    </row>
    <row r="10" spans="1:22" x14ac:dyDescent="0.25">
      <c r="A10" s="130" t="s">
        <v>445</v>
      </c>
      <c r="B10" s="216">
        <v>42446</v>
      </c>
      <c r="C10" s="130" t="s">
        <v>440</v>
      </c>
      <c r="D10" s="130" t="s">
        <v>438</v>
      </c>
      <c r="E10" s="111">
        <v>501571.09506495902</v>
      </c>
      <c r="F10" s="111">
        <v>530690.37935532106</v>
      </c>
      <c r="G10" s="111">
        <v>301517.97457367298</v>
      </c>
      <c r="H10" s="111">
        <v>372.46373352324002</v>
      </c>
      <c r="I10" s="111">
        <v>199897.663898595</v>
      </c>
      <c r="J10" s="111">
        <v>4.3528720899886402</v>
      </c>
      <c r="K10" s="111">
        <v>98389.134243628898</v>
      </c>
      <c r="L10" s="111">
        <v>50196.899746374103</v>
      </c>
      <c r="M10" s="111">
        <v>208005.114448451</v>
      </c>
      <c r="N10" s="111">
        <v>12971.044947845699</v>
      </c>
      <c r="O10" s="111">
        <v>35403.188508197403</v>
      </c>
      <c r="P10" s="111">
        <v>5822.5039606296396</v>
      </c>
      <c r="Q10" s="111">
        <v>72083.746018295598</v>
      </c>
      <c r="R10" s="111">
        <v>1266.7805129915</v>
      </c>
      <c r="S10" s="111">
        <v>1849308.29224446</v>
      </c>
      <c r="T10" s="111">
        <v>296.71336622310997</v>
      </c>
      <c r="U10" s="111">
        <v>3582.0004092304598</v>
      </c>
      <c r="V10" s="111">
        <v>3615000</v>
      </c>
    </row>
    <row r="11" spans="1:22" x14ac:dyDescent="0.25">
      <c r="A11" s="130" t="s">
        <v>446</v>
      </c>
      <c r="B11" s="216">
        <v>42474</v>
      </c>
      <c r="C11" s="130" t="s">
        <v>440</v>
      </c>
      <c r="D11" s="130" t="s">
        <v>438</v>
      </c>
      <c r="E11" s="111">
        <v>386330.00695932203</v>
      </c>
      <c r="F11" s="111">
        <v>424520.82594963902</v>
      </c>
      <c r="G11" s="111">
        <v>283989.14357926801</v>
      </c>
      <c r="H11" s="111">
        <v>659.28602668981705</v>
      </c>
      <c r="I11" s="111">
        <v>185343.74341258299</v>
      </c>
      <c r="J11" s="111">
        <v>767.34916557799704</v>
      </c>
      <c r="K11" s="111">
        <v>82421.819151721895</v>
      </c>
      <c r="L11" s="111">
        <v>36934.395551740301</v>
      </c>
      <c r="M11" s="111">
        <v>215135.965811231</v>
      </c>
      <c r="N11" s="111">
        <v>13064.5718054553</v>
      </c>
      <c r="O11" s="111">
        <v>38411.380407757897</v>
      </c>
      <c r="P11" s="111">
        <v>7417.9517676248097</v>
      </c>
      <c r="Q11" s="111">
        <v>70614.723719784903</v>
      </c>
      <c r="R11" s="111">
        <v>861.31107767387095</v>
      </c>
      <c r="S11" s="111">
        <v>1434609.35582857</v>
      </c>
      <c r="T11" s="111">
        <v>0</v>
      </c>
      <c r="U11" s="111">
        <v>530.08780980466202</v>
      </c>
      <c r="V11" s="111">
        <v>2915000</v>
      </c>
    </row>
    <row r="12" spans="1:22" x14ac:dyDescent="0.25">
      <c r="A12" s="130" t="s">
        <v>447</v>
      </c>
      <c r="B12" s="216">
        <v>42492</v>
      </c>
      <c r="C12" s="130" t="s">
        <v>443</v>
      </c>
      <c r="D12" s="130" t="s">
        <v>438</v>
      </c>
      <c r="E12" s="111">
        <v>377578.67515887</v>
      </c>
      <c r="F12" s="111">
        <v>457477.53979317303</v>
      </c>
      <c r="G12" s="111">
        <v>319009.72028940998</v>
      </c>
      <c r="H12" s="111">
        <v>1939.68579244088</v>
      </c>
      <c r="I12" s="111">
        <v>190050.69765538399</v>
      </c>
      <c r="J12" s="111">
        <v>1019.81574679734</v>
      </c>
      <c r="K12" s="111">
        <v>109255.503536716</v>
      </c>
      <c r="L12" s="111">
        <v>12629.0970206768</v>
      </c>
      <c r="M12" s="111">
        <v>213076.10577995499</v>
      </c>
      <c r="N12" s="111">
        <v>14125.3861899698</v>
      </c>
      <c r="O12" s="111">
        <v>30918.844977337299</v>
      </c>
      <c r="P12" s="111">
        <v>4669.2679075021197</v>
      </c>
      <c r="Q12" s="111">
        <v>72305.995121971297</v>
      </c>
      <c r="R12" s="111">
        <v>441.97670172863599</v>
      </c>
      <c r="S12" s="111">
        <v>1262091.9374655299</v>
      </c>
      <c r="T12" s="111">
        <v>0</v>
      </c>
      <c r="U12" s="111">
        <v>530.08780980466202</v>
      </c>
      <c r="V12" s="111">
        <v>2809000</v>
      </c>
    </row>
    <row r="13" spans="1:22" x14ac:dyDescent="0.25">
      <c r="A13" s="130" t="s">
        <v>448</v>
      </c>
      <c r="B13" s="216">
        <v>42527</v>
      </c>
      <c r="C13" s="130" t="s">
        <v>443</v>
      </c>
      <c r="D13" s="130" t="s">
        <v>438</v>
      </c>
      <c r="E13" s="111">
        <v>406273.41822728398</v>
      </c>
      <c r="F13" s="111">
        <v>449594.49990199698</v>
      </c>
      <c r="G13" s="111">
        <v>307132.86554861203</v>
      </c>
      <c r="H13" s="111">
        <v>4062.7693738906601</v>
      </c>
      <c r="I13" s="111">
        <v>175818.990390358</v>
      </c>
      <c r="J13" s="111">
        <v>1018.5720690573399</v>
      </c>
      <c r="K13" s="111">
        <v>106745.57465383501</v>
      </c>
      <c r="L13" s="111">
        <v>12830.925607670801</v>
      </c>
      <c r="M13" s="111">
        <v>207312.70177906199</v>
      </c>
      <c r="N13" s="111">
        <v>14024.4145115438</v>
      </c>
      <c r="O13" s="111">
        <v>31830.302702773599</v>
      </c>
      <c r="P13" s="111">
        <v>6025.4036332451396</v>
      </c>
      <c r="Q13" s="111">
        <v>73832.1599195905</v>
      </c>
      <c r="R13" s="111">
        <v>407.73241992651299</v>
      </c>
      <c r="S13" s="111">
        <v>1593727.00044473</v>
      </c>
      <c r="T13" s="111">
        <v>0</v>
      </c>
      <c r="U13" s="111">
        <v>530.08780980466202</v>
      </c>
      <c r="V13" s="111">
        <v>3138000</v>
      </c>
    </row>
    <row r="14" spans="1:22" x14ac:dyDescent="0.25">
      <c r="A14" s="130" t="s">
        <v>449</v>
      </c>
      <c r="B14" s="216">
        <v>42579</v>
      </c>
      <c r="C14" s="130" t="s">
        <v>443</v>
      </c>
      <c r="D14" s="130" t="s">
        <v>438</v>
      </c>
      <c r="E14" s="111">
        <v>454470.386174844</v>
      </c>
      <c r="F14" s="111">
        <v>480956.40285393398</v>
      </c>
      <c r="G14" s="111">
        <v>326786.86328616802</v>
      </c>
      <c r="H14" s="111">
        <v>7465.3752149258698</v>
      </c>
      <c r="I14" s="111">
        <v>190891.673105325</v>
      </c>
      <c r="J14" s="111">
        <v>1507.9592597460601</v>
      </c>
      <c r="K14" s="111">
        <v>111974.925856124</v>
      </c>
      <c r="L14" s="111">
        <v>8940.2811742207905</v>
      </c>
      <c r="M14" s="111">
        <v>210041.349384681</v>
      </c>
      <c r="N14" s="111">
        <v>13644.6145927654</v>
      </c>
      <c r="O14" s="111">
        <v>30761.370224640399</v>
      </c>
      <c r="P14" s="111">
        <v>7143.8356536276997</v>
      </c>
      <c r="Q14" s="111">
        <v>72873.779238113406</v>
      </c>
      <c r="R14" s="111">
        <v>367.52284413699499</v>
      </c>
      <c r="S14" s="111">
        <v>1499090.90752903</v>
      </c>
      <c r="T14" s="111">
        <v>0</v>
      </c>
      <c r="U14" s="111">
        <v>530.08780980466202</v>
      </c>
      <c r="V14" s="111">
        <v>3163000</v>
      </c>
    </row>
    <row r="15" spans="1:22" x14ac:dyDescent="0.25">
      <c r="A15" s="130" t="s">
        <v>450</v>
      </c>
      <c r="B15" s="216">
        <v>42601</v>
      </c>
      <c r="C15" s="130" t="s">
        <v>451</v>
      </c>
      <c r="D15" s="130" t="s">
        <v>438</v>
      </c>
      <c r="E15" s="111">
        <v>501029.61135854898</v>
      </c>
      <c r="F15" s="111">
        <v>484831.51350807602</v>
      </c>
      <c r="G15" s="111">
        <v>292058.68650197098</v>
      </c>
      <c r="H15" s="111">
        <v>5379.4165498502898</v>
      </c>
      <c r="I15" s="111">
        <v>184534.05463799101</v>
      </c>
      <c r="J15" s="111">
        <v>1244.9214177367501</v>
      </c>
      <c r="K15" s="111">
        <v>105501.028224241</v>
      </c>
      <c r="L15" s="111">
        <v>11364.8833281564</v>
      </c>
      <c r="M15" s="111">
        <v>229278.077939382</v>
      </c>
      <c r="N15" s="111">
        <v>12896.233830589301</v>
      </c>
      <c r="O15" s="111">
        <v>29527.497614460201</v>
      </c>
      <c r="P15" s="111">
        <v>8713.9260913430608</v>
      </c>
      <c r="Q15" s="111">
        <v>76953.143978043605</v>
      </c>
      <c r="R15" s="111">
        <v>397.748664299072</v>
      </c>
      <c r="S15" s="111">
        <v>1593460.97792994</v>
      </c>
      <c r="T15" s="111">
        <v>0</v>
      </c>
      <c r="U15" s="111">
        <v>530.08780980466202</v>
      </c>
      <c r="V15" s="111">
        <v>3266000</v>
      </c>
    </row>
    <row r="16" spans="1:22" x14ac:dyDescent="0.25">
      <c r="A16" s="130" t="s">
        <v>452</v>
      </c>
      <c r="B16" s="216">
        <v>42639</v>
      </c>
      <c r="C16" s="130" t="s">
        <v>453</v>
      </c>
      <c r="D16" s="130" t="s">
        <v>438</v>
      </c>
      <c r="E16" s="111">
        <v>314967.074393071</v>
      </c>
      <c r="F16" s="111">
        <v>378513.345300621</v>
      </c>
      <c r="G16" s="111">
        <v>257769.13237565701</v>
      </c>
      <c r="H16" s="111">
        <v>1793.1647306080399</v>
      </c>
      <c r="I16" s="111">
        <v>168723.97389862</v>
      </c>
      <c r="J16" s="111">
        <v>996.185869737399</v>
      </c>
      <c r="K16" s="111">
        <v>83798.588694497696</v>
      </c>
      <c r="L16" s="111">
        <v>9800.6414975790103</v>
      </c>
      <c r="M16" s="111">
        <v>193700.44498026301</v>
      </c>
      <c r="N16" s="111">
        <v>10935.1871506733</v>
      </c>
      <c r="O16" s="111">
        <v>36899.407160556999</v>
      </c>
      <c r="P16" s="111">
        <v>9496.0344972592593</v>
      </c>
      <c r="Q16" s="111">
        <v>62129.652959301398</v>
      </c>
      <c r="R16" s="111">
        <v>478.78348080846899</v>
      </c>
      <c r="S16" s="111">
        <v>1400869.05180793</v>
      </c>
      <c r="T16" s="111">
        <v>1429.6184094681701</v>
      </c>
      <c r="U16" s="111">
        <v>15234.752084841801</v>
      </c>
      <c r="V16" s="111">
        <v>2706000</v>
      </c>
    </row>
    <row r="18" spans="1:22" x14ac:dyDescent="0.25">
      <c r="E18" s="130" t="s">
        <v>418</v>
      </c>
      <c r="F18" s="130" t="s">
        <v>419</v>
      </c>
      <c r="G18" s="130" t="s">
        <v>420</v>
      </c>
      <c r="H18" s="130" t="s">
        <v>421</v>
      </c>
      <c r="I18" s="130" t="s">
        <v>422</v>
      </c>
      <c r="J18" s="130" t="s">
        <v>423</v>
      </c>
      <c r="K18" s="130" t="s">
        <v>424</v>
      </c>
      <c r="L18" s="130" t="s">
        <v>425</v>
      </c>
      <c r="M18" s="130" t="s">
        <v>426</v>
      </c>
      <c r="N18" s="130" t="s">
        <v>427</v>
      </c>
      <c r="O18" s="130" t="s">
        <v>428</v>
      </c>
      <c r="P18" s="130" t="s">
        <v>429</v>
      </c>
      <c r="Q18" s="130" t="s">
        <v>430</v>
      </c>
      <c r="R18" s="130" t="s">
        <v>431</v>
      </c>
      <c r="S18" s="130" t="s">
        <v>432</v>
      </c>
      <c r="T18" s="130" t="s">
        <v>433</v>
      </c>
      <c r="U18" s="130" t="s">
        <v>434</v>
      </c>
      <c r="V18" s="130" t="s">
        <v>435</v>
      </c>
    </row>
    <row r="19" spans="1:22" x14ac:dyDescent="0.25">
      <c r="A19" s="130" t="s">
        <v>640</v>
      </c>
      <c r="C19" s="130" t="s">
        <v>454</v>
      </c>
      <c r="D19" s="111">
        <f>SUM(E19:U19)</f>
        <v>4231010.6507250424</v>
      </c>
      <c r="E19" s="111">
        <f>SUM(E26:E29)</f>
        <v>483797.35950569448</v>
      </c>
      <c r="F19" s="111">
        <f t="shared" ref="F19:V19" si="0">SUM(F26:F29)</f>
        <v>452114.2470296041</v>
      </c>
      <c r="G19" s="111">
        <f t="shared" si="0"/>
        <v>261562.891393383</v>
      </c>
      <c r="H19" s="111">
        <f t="shared" si="0"/>
        <v>358.31112419307749</v>
      </c>
      <c r="I19" s="111">
        <f t="shared" si="0"/>
        <v>179157.07260351363</v>
      </c>
      <c r="J19" s="111">
        <f t="shared" si="0"/>
        <v>4.0419526549894496</v>
      </c>
      <c r="K19" s="111">
        <f t="shared" si="0"/>
        <v>80420.565981487191</v>
      </c>
      <c r="L19" s="111">
        <f t="shared" si="0"/>
        <v>40576.134916547075</v>
      </c>
      <c r="M19" s="111">
        <f t="shared" si="0"/>
        <v>196205.51392476726</v>
      </c>
      <c r="N19" s="111">
        <f t="shared" si="0"/>
        <v>12414.482378834524</v>
      </c>
      <c r="O19" s="111">
        <f t="shared" si="0"/>
        <v>34640.654421440719</v>
      </c>
      <c r="P19" s="111">
        <f t="shared" si="0"/>
        <v>5516.0065573193751</v>
      </c>
      <c r="Q19" s="111">
        <f t="shared" si="0"/>
        <v>67179.705291231017</v>
      </c>
      <c r="R19" s="111">
        <f t="shared" si="0"/>
        <v>1530.4662657410647</v>
      </c>
      <c r="S19" s="111">
        <f t="shared" si="0"/>
        <v>2401760.8159533199</v>
      </c>
      <c r="T19" s="111">
        <f t="shared" si="0"/>
        <v>1173.366495833875</v>
      </c>
      <c r="U19" s="111">
        <f t="shared" si="0"/>
        <v>12599.014929477431</v>
      </c>
      <c r="V19" s="111">
        <f t="shared" si="0"/>
        <v>3987750</v>
      </c>
    </row>
    <row r="20" spans="1:22" x14ac:dyDescent="0.25">
      <c r="C20" s="130" t="s">
        <v>455</v>
      </c>
    </row>
    <row r="21" spans="1:22" x14ac:dyDescent="0.25">
      <c r="C21" s="130" t="s">
        <v>456</v>
      </c>
      <c r="D21" s="111">
        <f>SUM(E21:U21)</f>
        <v>4184918.5092511764</v>
      </c>
      <c r="E21" s="111">
        <f t="shared" ref="E21:K21" si="1">+E19</f>
        <v>483797.35950569448</v>
      </c>
      <c r="F21" s="111">
        <f t="shared" si="1"/>
        <v>452114.2470296041</v>
      </c>
      <c r="G21" s="111">
        <f t="shared" si="1"/>
        <v>261562.891393383</v>
      </c>
      <c r="H21" s="111">
        <f t="shared" si="1"/>
        <v>358.31112419307749</v>
      </c>
      <c r="I21" s="111">
        <f t="shared" si="1"/>
        <v>179157.07260351363</v>
      </c>
      <c r="J21" s="111">
        <f t="shared" si="1"/>
        <v>4.0419526549894496</v>
      </c>
      <c r="K21" s="111">
        <f t="shared" si="1"/>
        <v>80420.565981487191</v>
      </c>
      <c r="L21" s="111">
        <v>0</v>
      </c>
      <c r="M21" s="111">
        <f>+M19</f>
        <v>196205.51392476726</v>
      </c>
      <c r="N21" s="111">
        <f>+N19</f>
        <v>12414.482378834524</v>
      </c>
      <c r="O21" s="111">
        <f>+O19</f>
        <v>34640.654421440719</v>
      </c>
      <c r="P21" s="111">
        <v>0</v>
      </c>
      <c r="Q21" s="111">
        <f>+Q19</f>
        <v>67179.705291231017</v>
      </c>
      <c r="R21" s="111">
        <f>+R19</f>
        <v>1530.4662657410647</v>
      </c>
      <c r="S21" s="111">
        <f>+S19</f>
        <v>2401760.8159533199</v>
      </c>
      <c r="T21" s="111">
        <f>+T19</f>
        <v>1173.366495833875</v>
      </c>
      <c r="U21" s="111">
        <f>+U19</f>
        <v>12599.014929477431</v>
      </c>
    </row>
    <row r="23" spans="1:22" x14ac:dyDescent="0.25">
      <c r="C23" s="114" t="s">
        <v>457</v>
      </c>
      <c r="D23" s="111">
        <f>SUM(E23:U23)</f>
        <v>3941657.8585261335</v>
      </c>
      <c r="E23" s="111">
        <f t="shared" ref="E23:L23" si="2">+E21</f>
        <v>483797.35950569448</v>
      </c>
      <c r="F23" s="111">
        <f t="shared" si="2"/>
        <v>452114.2470296041</v>
      </c>
      <c r="G23" s="111">
        <f t="shared" si="2"/>
        <v>261562.891393383</v>
      </c>
      <c r="H23" s="111">
        <f t="shared" si="2"/>
        <v>358.31112419307749</v>
      </c>
      <c r="I23" s="111">
        <f t="shared" si="2"/>
        <v>179157.07260351363</v>
      </c>
      <c r="J23" s="111">
        <f t="shared" si="2"/>
        <v>4.0419526549894496</v>
      </c>
      <c r="K23" s="111">
        <f t="shared" si="2"/>
        <v>80420.565981487191</v>
      </c>
      <c r="L23" s="111">
        <f t="shared" si="2"/>
        <v>0</v>
      </c>
      <c r="M23" s="111">
        <v>0</v>
      </c>
      <c r="N23" s="111">
        <v>0</v>
      </c>
      <c r="O23" s="111">
        <v>0</v>
      </c>
      <c r="P23" s="111">
        <f t="shared" ref="P23:U23" si="3">+P21</f>
        <v>0</v>
      </c>
      <c r="Q23" s="111">
        <f t="shared" si="3"/>
        <v>67179.705291231017</v>
      </c>
      <c r="R23" s="111">
        <f t="shared" si="3"/>
        <v>1530.4662657410647</v>
      </c>
      <c r="S23" s="111">
        <f t="shared" si="3"/>
        <v>2401760.8159533199</v>
      </c>
      <c r="T23" s="111">
        <f t="shared" si="3"/>
        <v>1173.366495833875</v>
      </c>
      <c r="U23" s="111">
        <f t="shared" si="3"/>
        <v>12599.014929477431</v>
      </c>
    </row>
    <row r="26" spans="1:22" x14ac:dyDescent="0.25">
      <c r="C26" s="130" t="s">
        <v>454</v>
      </c>
      <c r="D26" s="111">
        <f>SUM(E26:U26)</f>
        <v>4231010.6507250415</v>
      </c>
      <c r="E26" s="111">
        <f>AVERAGE(E6:E9)</f>
        <v>483797.35950569448</v>
      </c>
      <c r="F26" s="111">
        <f t="shared" ref="F26:V26" si="4">AVERAGE(F6:F9)</f>
        <v>450721.92869627074</v>
      </c>
      <c r="G26" s="111">
        <f t="shared" si="4"/>
        <v>256180.171393383</v>
      </c>
      <c r="H26" s="111">
        <f t="shared" si="4"/>
        <v>358.31112419307749</v>
      </c>
      <c r="I26" s="111">
        <f t="shared" si="4"/>
        <v>175561.10593684699</v>
      </c>
      <c r="J26" s="111">
        <f t="shared" si="4"/>
        <v>4.0419526549894496</v>
      </c>
      <c r="K26" s="111">
        <f t="shared" si="4"/>
        <v>90791.570981487195</v>
      </c>
      <c r="L26" s="111">
        <f t="shared" si="4"/>
        <v>40576.134916547075</v>
      </c>
      <c r="M26" s="111">
        <f t="shared" si="4"/>
        <v>196205.51392476726</v>
      </c>
      <c r="N26" s="111">
        <f t="shared" si="4"/>
        <v>12414.482378834524</v>
      </c>
      <c r="O26" s="111">
        <f t="shared" si="4"/>
        <v>34640.654421440719</v>
      </c>
      <c r="P26" s="111">
        <f t="shared" si="4"/>
        <v>5516.0065573193751</v>
      </c>
      <c r="Q26" s="111">
        <f t="shared" si="4"/>
        <v>67179.705291231017</v>
      </c>
      <c r="R26" s="111">
        <f t="shared" si="4"/>
        <v>1530.4662657410647</v>
      </c>
      <c r="S26" s="111">
        <f t="shared" si="4"/>
        <v>2401760.8159533199</v>
      </c>
      <c r="T26" s="111">
        <f t="shared" si="4"/>
        <v>1173.366495833875</v>
      </c>
      <c r="U26" s="111">
        <f t="shared" si="4"/>
        <v>12599.014929477431</v>
      </c>
      <c r="V26" s="111">
        <f t="shared" si="4"/>
        <v>3987750</v>
      </c>
    </row>
    <row r="27" spans="1:22" x14ac:dyDescent="0.25">
      <c r="A27" s="130" t="str">
        <f>+A19</f>
        <v xml:space="preserve">Sch 40 Settlement </v>
      </c>
      <c r="C27" s="58" t="str">
        <f>+'UE-170033 LR Data -Energy'!P18</f>
        <v>Cust 8</v>
      </c>
      <c r="D27" s="111"/>
      <c r="E27" s="111"/>
      <c r="F27" s="111">
        <v>0</v>
      </c>
      <c r="G27" s="111">
        <v>0</v>
      </c>
      <c r="H27" s="111"/>
      <c r="I27" s="111">
        <v>-940.83333333333337</v>
      </c>
      <c r="J27" s="111"/>
      <c r="K27" s="111">
        <v>940.83333333333337</v>
      </c>
    </row>
    <row r="28" spans="1:22" x14ac:dyDescent="0.25">
      <c r="C28" s="71" t="str">
        <f>+'UE-170033 LR Data -Energy'!N18</f>
        <v>New Cust 1</v>
      </c>
      <c r="D28" s="111"/>
      <c r="E28" s="111"/>
      <c r="F28" s="111">
        <v>717.94500000000005</v>
      </c>
      <c r="G28" s="111">
        <v>5382.72</v>
      </c>
      <c r="H28" s="111"/>
      <c r="I28" s="111">
        <v>0</v>
      </c>
      <c r="J28" s="111"/>
      <c r="K28" s="111">
        <v>-6100.665</v>
      </c>
    </row>
    <row r="29" spans="1:22" x14ac:dyDescent="0.25">
      <c r="C29" s="71" t="str">
        <f>+'UE-170033 LR Data -Energy'!O18</f>
        <v>New Cust 2</v>
      </c>
      <c r="D29" s="111"/>
      <c r="E29" s="111"/>
      <c r="F29" s="111">
        <v>674.37333333333333</v>
      </c>
      <c r="G29" s="111">
        <v>0</v>
      </c>
      <c r="H29" s="111"/>
      <c r="I29" s="111">
        <v>4536.8</v>
      </c>
      <c r="J29" s="111"/>
      <c r="K29" s="111">
        <v>-5211.1733333333332</v>
      </c>
    </row>
  </sheetData>
  <mergeCells count="1">
    <mergeCell ref="B1:V1"/>
  </mergeCells>
  <printOptions horizontalCentered="1"/>
  <pageMargins left="0.25" right="0.25" top="0.75" bottom="0.75" header="0.3" footer="0.3"/>
  <pageSetup scale="69" orientation="landscape" r:id="rId1"/>
  <headerFooter>
    <oddHeader>&amp;RAdvice No. 2018-xx
Electric Schedule 120 Rate Design Workpapers
Page &amp;P of &amp;N</oddHeader>
    <oddFooter>&amp;L&amp;"Times New Roman,Regular"&amp;F
&amp;A&amp;R&amp;"Times New Roman,Regular"&amp;D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zoomScale="80" zoomScaleNormal="80" workbookViewId="0">
      <selection sqref="A1:XFD1048576"/>
    </sheetView>
  </sheetViews>
  <sheetFormatPr defaultColWidth="8.85546875" defaultRowHeight="15" x14ac:dyDescent="0.25"/>
  <cols>
    <col min="1" max="1" width="20.7109375" style="130" customWidth="1"/>
    <col min="2" max="2" width="13.7109375" style="130" bestFit="1" customWidth="1"/>
    <col min="3" max="3" width="13" style="130" bestFit="1" customWidth="1"/>
    <col min="4" max="4" width="18.7109375" style="130" bestFit="1" customWidth="1"/>
    <col min="5" max="6" width="13.5703125" style="130" bestFit="1" customWidth="1"/>
    <col min="7" max="7" width="13" style="130" bestFit="1" customWidth="1"/>
    <col min="8" max="8" width="22.7109375" style="130" bestFit="1" customWidth="1"/>
    <col min="9" max="9" width="16.140625" style="130" bestFit="1" customWidth="1"/>
    <col min="10" max="10" width="26.7109375" style="130" bestFit="1" customWidth="1"/>
    <col min="11" max="11" width="8.85546875" style="130"/>
    <col min="12" max="12" width="22.7109375" style="130" bestFit="1" customWidth="1"/>
    <col min="13" max="13" width="8.85546875" style="130"/>
    <col min="14" max="15" width="11.28515625" style="130" bestFit="1" customWidth="1"/>
    <col min="16" max="16" width="10.28515625" style="130" bestFit="1" customWidth="1"/>
    <col min="17" max="16384" width="8.85546875" style="130"/>
  </cols>
  <sheetData>
    <row r="1" spans="1:16" ht="15.75" x14ac:dyDescent="0.25">
      <c r="A1" s="217" t="s">
        <v>458</v>
      </c>
      <c r="B1" s="217"/>
      <c r="C1" s="217"/>
      <c r="D1" s="217"/>
      <c r="E1" s="217"/>
      <c r="F1" s="217"/>
      <c r="G1" s="217"/>
      <c r="H1" s="217"/>
      <c r="I1" s="217"/>
      <c r="J1" s="217"/>
      <c r="K1" s="218"/>
      <c r="L1" s="218"/>
    </row>
    <row r="2" spans="1:16" ht="15.75" x14ac:dyDescent="0.25">
      <c r="A2" s="217" t="s">
        <v>459</v>
      </c>
      <c r="B2" s="217"/>
      <c r="C2" s="217"/>
      <c r="D2" s="217"/>
      <c r="E2" s="217"/>
      <c r="F2" s="217"/>
      <c r="G2" s="217"/>
      <c r="H2" s="217"/>
      <c r="I2" s="217"/>
      <c r="J2" s="217"/>
      <c r="K2" s="218"/>
      <c r="L2" s="218"/>
    </row>
    <row r="3" spans="1:16" ht="15.75" x14ac:dyDescent="0.25">
      <c r="A3" s="219"/>
      <c r="B3" s="219"/>
      <c r="C3" s="219"/>
      <c r="D3" s="219"/>
      <c r="E3" s="219"/>
      <c r="F3" s="219"/>
      <c r="G3" s="219"/>
      <c r="H3" s="219"/>
      <c r="I3" s="217"/>
      <c r="J3" s="217"/>
      <c r="K3" s="218"/>
      <c r="L3" s="218"/>
    </row>
    <row r="4" spans="1:16" ht="15.75" x14ac:dyDescent="0.25">
      <c r="A4" s="219"/>
      <c r="B4" s="219"/>
      <c r="C4" s="219"/>
      <c r="D4" s="219"/>
      <c r="E4" s="219"/>
      <c r="F4" s="219"/>
      <c r="G4" s="219"/>
      <c r="H4" s="219"/>
      <c r="I4" s="217"/>
      <c r="J4" s="217"/>
      <c r="K4" s="218"/>
      <c r="L4" s="218"/>
    </row>
    <row r="5" spans="1:16" ht="16.5" thickBot="1" x14ac:dyDescent="0.3">
      <c r="A5" s="219"/>
      <c r="B5" s="219"/>
      <c r="C5" s="219"/>
      <c r="D5" s="219"/>
      <c r="E5" s="219"/>
      <c r="F5" s="219"/>
      <c r="G5" s="219"/>
      <c r="H5" s="219"/>
      <c r="I5" s="217"/>
      <c r="J5" s="217"/>
      <c r="K5" s="218"/>
      <c r="L5" s="218"/>
    </row>
    <row r="6" spans="1:16" ht="15.75" x14ac:dyDescent="0.25">
      <c r="A6" s="220" t="s">
        <v>460</v>
      </c>
      <c r="B6" s="221">
        <v>22007938139</v>
      </c>
      <c r="C6" s="219"/>
      <c r="D6" s="219"/>
      <c r="E6" s="219"/>
      <c r="F6" s="219"/>
      <c r="G6" s="219"/>
      <c r="H6" s="222" t="s">
        <v>461</v>
      </c>
      <c r="I6" s="223">
        <v>20365314276.710396</v>
      </c>
      <c r="J6" s="207"/>
      <c r="K6" s="218"/>
      <c r="L6" s="218"/>
    </row>
    <row r="7" spans="1:16" ht="15.75" x14ac:dyDescent="0.25">
      <c r="A7" s="224" t="s">
        <v>462</v>
      </c>
      <c r="B7" s="225">
        <v>303890901</v>
      </c>
      <c r="C7" s="219" t="s">
        <v>463</v>
      </c>
      <c r="D7" s="219"/>
      <c r="E7" s="219"/>
      <c r="F7" s="219"/>
      <c r="G7" s="219"/>
      <c r="H7" s="226" t="s">
        <v>464</v>
      </c>
      <c r="I7" s="227">
        <v>281706864.44926071</v>
      </c>
      <c r="J7" s="207"/>
      <c r="K7" s="218"/>
      <c r="L7" s="218"/>
    </row>
    <row r="8" spans="1:16" ht="16.5" thickBot="1" x14ac:dyDescent="0.3">
      <c r="A8" s="228" t="s">
        <v>465</v>
      </c>
      <c r="B8" s="229">
        <v>22311829040</v>
      </c>
      <c r="C8" s="219"/>
      <c r="D8" s="219"/>
      <c r="E8" s="219"/>
      <c r="F8" s="219"/>
      <c r="G8" s="219"/>
      <c r="H8" s="230" t="s">
        <v>466</v>
      </c>
      <c r="I8" s="231">
        <v>20647021141.159657</v>
      </c>
      <c r="J8" s="207"/>
      <c r="K8" s="218"/>
      <c r="L8" s="218"/>
    </row>
    <row r="9" spans="1:16" ht="15.75" x14ac:dyDescent="0.25">
      <c r="A9" s="217"/>
      <c r="B9" s="217"/>
      <c r="C9" s="217"/>
      <c r="D9" s="217"/>
      <c r="E9" s="217"/>
      <c r="F9" s="217"/>
      <c r="G9" s="217"/>
      <c r="H9" s="71"/>
      <c r="I9" s="71"/>
      <c r="J9" s="217"/>
      <c r="K9" s="218"/>
      <c r="L9" s="218"/>
    </row>
    <row r="10" spans="1:16" ht="15.75" x14ac:dyDescent="0.25">
      <c r="A10" s="217"/>
      <c r="B10" s="217"/>
      <c r="C10" s="217"/>
      <c r="D10" s="217"/>
      <c r="E10" s="217"/>
      <c r="F10" s="217"/>
      <c r="G10" s="217"/>
      <c r="H10" s="217"/>
      <c r="I10" s="217"/>
      <c r="J10" s="217"/>
      <c r="K10" s="218"/>
      <c r="L10" s="218"/>
    </row>
    <row r="11" spans="1:16" ht="15.75" thickBot="1" x14ac:dyDescent="0.3">
      <c r="A11" s="214"/>
      <c r="B11" s="131"/>
      <c r="C11" s="214"/>
      <c r="D11" s="131"/>
      <c r="E11" s="214"/>
      <c r="F11" s="214"/>
      <c r="G11" s="214"/>
      <c r="H11" s="214"/>
      <c r="I11" s="214"/>
      <c r="J11" s="209" t="s">
        <v>394</v>
      </c>
      <c r="K11" s="214"/>
      <c r="L11" s="214" t="s">
        <v>467</v>
      </c>
      <c r="N11" s="417" t="s">
        <v>468</v>
      </c>
      <c r="O11" s="417"/>
      <c r="P11" s="417"/>
    </row>
    <row r="12" spans="1:16" x14ac:dyDescent="0.25">
      <c r="A12" s="232" t="s">
        <v>469</v>
      </c>
      <c r="B12" s="212" t="s">
        <v>470</v>
      </c>
      <c r="C12" s="212" t="s">
        <v>471</v>
      </c>
      <c r="D12" s="212" t="s">
        <v>472</v>
      </c>
      <c r="E12" s="212" t="s">
        <v>473</v>
      </c>
      <c r="F12" s="212" t="s">
        <v>474</v>
      </c>
      <c r="G12" s="212" t="s">
        <v>475</v>
      </c>
      <c r="H12" s="212" t="s">
        <v>476</v>
      </c>
      <c r="I12" s="212" t="s">
        <v>477</v>
      </c>
      <c r="J12" s="213" t="s">
        <v>478</v>
      </c>
      <c r="K12" s="214"/>
      <c r="L12" s="213" t="s">
        <v>478</v>
      </c>
    </row>
    <row r="13" spans="1:16" x14ac:dyDescent="0.25">
      <c r="A13" s="233"/>
      <c r="B13" s="234"/>
      <c r="C13" s="234"/>
      <c r="D13" s="234"/>
      <c r="E13" s="234"/>
      <c r="F13" s="234" t="s">
        <v>479</v>
      </c>
      <c r="G13" s="234" t="s">
        <v>479</v>
      </c>
      <c r="H13" s="234" t="s">
        <v>479</v>
      </c>
      <c r="I13" s="234" t="s">
        <v>480</v>
      </c>
      <c r="J13" s="112" t="s">
        <v>481</v>
      </c>
      <c r="K13" s="214"/>
      <c r="L13" s="112" t="s">
        <v>481</v>
      </c>
    </row>
    <row r="14" spans="1:16" x14ac:dyDescent="0.25">
      <c r="A14" s="233"/>
      <c r="B14" s="234" t="s">
        <v>482</v>
      </c>
      <c r="C14" s="234" t="s">
        <v>483</v>
      </c>
      <c r="D14" s="234" t="s">
        <v>483</v>
      </c>
      <c r="E14" s="234" t="s">
        <v>484</v>
      </c>
      <c r="F14" s="234" t="s">
        <v>480</v>
      </c>
      <c r="G14" s="234" t="s">
        <v>485</v>
      </c>
      <c r="H14" s="234" t="s">
        <v>483</v>
      </c>
      <c r="I14" s="234" t="s">
        <v>486</v>
      </c>
      <c r="J14" s="112" t="s">
        <v>487</v>
      </c>
      <c r="K14" s="214"/>
      <c r="L14" s="112" t="s">
        <v>487</v>
      </c>
    </row>
    <row r="15" spans="1:16" x14ac:dyDescent="0.25">
      <c r="A15" s="233" t="s">
        <v>488</v>
      </c>
      <c r="B15" s="234" t="s">
        <v>489</v>
      </c>
      <c r="C15" s="234" t="s">
        <v>482</v>
      </c>
      <c r="D15" s="234" t="s">
        <v>280</v>
      </c>
      <c r="E15" s="234" t="s">
        <v>480</v>
      </c>
      <c r="F15" s="234" t="s">
        <v>490</v>
      </c>
      <c r="G15" s="234" t="s">
        <v>491</v>
      </c>
      <c r="H15" s="234" t="s">
        <v>492</v>
      </c>
      <c r="I15" s="234" t="s">
        <v>493</v>
      </c>
      <c r="J15" s="112" t="s">
        <v>480</v>
      </c>
      <c r="K15" s="214"/>
      <c r="L15" s="112" t="s">
        <v>480</v>
      </c>
    </row>
    <row r="16" spans="1:16" x14ac:dyDescent="0.25">
      <c r="A16" s="54"/>
      <c r="B16" s="6"/>
      <c r="C16" s="234" t="s">
        <v>280</v>
      </c>
      <c r="D16" s="234" t="s">
        <v>491</v>
      </c>
      <c r="E16" s="234" t="s">
        <v>490</v>
      </c>
      <c r="F16" s="234" t="s">
        <v>494</v>
      </c>
      <c r="G16" s="234" t="s">
        <v>495</v>
      </c>
      <c r="H16" s="234" t="s">
        <v>491</v>
      </c>
      <c r="I16" s="234" t="s">
        <v>496</v>
      </c>
      <c r="J16" s="112" t="s">
        <v>496</v>
      </c>
      <c r="K16" s="214"/>
      <c r="L16" s="112" t="s">
        <v>496</v>
      </c>
    </row>
    <row r="17" spans="1:16" x14ac:dyDescent="0.25">
      <c r="A17" s="54"/>
      <c r="B17" s="6"/>
      <c r="C17" s="181"/>
      <c r="D17" s="234" t="s">
        <v>497</v>
      </c>
      <c r="E17" s="234"/>
      <c r="F17" s="6"/>
      <c r="G17" s="234"/>
      <c r="H17" s="234"/>
      <c r="I17" s="234"/>
      <c r="J17" s="112"/>
      <c r="K17" s="214"/>
      <c r="L17" s="112"/>
    </row>
    <row r="18" spans="1:16" x14ac:dyDescent="0.25">
      <c r="A18" s="235"/>
      <c r="B18" s="236" t="s">
        <v>498</v>
      </c>
      <c r="C18" s="133"/>
      <c r="D18" s="133"/>
      <c r="E18" s="133" t="s">
        <v>499</v>
      </c>
      <c r="F18" s="237" t="s">
        <v>500</v>
      </c>
      <c r="G18" s="237" t="s">
        <v>501</v>
      </c>
      <c r="H18" s="237" t="s">
        <v>502</v>
      </c>
      <c r="I18" s="133" t="s">
        <v>503</v>
      </c>
      <c r="J18" s="113" t="s">
        <v>504</v>
      </c>
      <c r="K18" s="238"/>
      <c r="L18" s="113" t="s">
        <v>504</v>
      </c>
      <c r="N18" s="130" t="s">
        <v>505</v>
      </c>
      <c r="O18" s="114" t="s">
        <v>506</v>
      </c>
      <c r="P18" s="115" t="s">
        <v>507</v>
      </c>
    </row>
    <row r="19" spans="1:16" x14ac:dyDescent="0.25">
      <c r="A19" s="239" t="s">
        <v>508</v>
      </c>
      <c r="B19" s="120" t="s">
        <v>508</v>
      </c>
      <c r="C19" s="120" t="s">
        <v>508</v>
      </c>
      <c r="D19" s="120" t="s">
        <v>508</v>
      </c>
      <c r="E19" s="120" t="s">
        <v>508</v>
      </c>
      <c r="F19" s="120" t="s">
        <v>508</v>
      </c>
      <c r="G19" s="120" t="s">
        <v>508</v>
      </c>
      <c r="H19" s="120" t="s">
        <v>508</v>
      </c>
      <c r="I19" s="120" t="s">
        <v>509</v>
      </c>
      <c r="J19" s="116" t="s">
        <v>510</v>
      </c>
      <c r="K19" s="240"/>
      <c r="L19" s="116" t="s">
        <v>510</v>
      </c>
    </row>
    <row r="20" spans="1:16" x14ac:dyDescent="0.25">
      <c r="A20" s="241" t="s">
        <v>511</v>
      </c>
      <c r="B20" s="117">
        <v>10208761476.354383</v>
      </c>
      <c r="C20" s="117">
        <v>10451731125.354383</v>
      </c>
      <c r="D20" s="132">
        <v>242969649</v>
      </c>
      <c r="E20" s="242">
        <v>7.9467728973609736E-2</v>
      </c>
      <c r="F20" s="132">
        <v>20975088.895054668</v>
      </c>
      <c r="G20" s="132">
        <v>263944737.89505467</v>
      </c>
      <c r="H20" s="132">
        <v>262357551.50107402</v>
      </c>
      <c r="I20" s="117">
        <v>11100336483.093327</v>
      </c>
      <c r="J20" s="118">
        <f>SUM(L20,N20:P20)</f>
        <v>11362694034.5944</v>
      </c>
      <c r="K20" s="243"/>
      <c r="L20" s="118">
        <v>11362694034.5944</v>
      </c>
      <c r="N20" s="119"/>
      <c r="O20" s="119"/>
      <c r="P20" s="119"/>
    </row>
    <row r="21" spans="1:16" x14ac:dyDescent="0.25">
      <c r="A21" s="244">
        <v>24</v>
      </c>
      <c r="B21" s="117">
        <v>2724380971.0860081</v>
      </c>
      <c r="C21" s="117">
        <v>2746929439.2532654</v>
      </c>
      <c r="D21" s="132">
        <v>22548468.167257167</v>
      </c>
      <c r="E21" s="242">
        <v>7.8482732619560958E-2</v>
      </c>
      <c r="F21" s="132">
        <v>1920382.2443632372</v>
      </c>
      <c r="G21" s="132">
        <v>24468850.411620405</v>
      </c>
      <c r="H21" s="132">
        <v>24321711.178008884</v>
      </c>
      <c r="I21" s="117">
        <v>2959386905.1163797</v>
      </c>
      <c r="J21" s="118">
        <f>SUM(L21,N21:P21)</f>
        <v>2983833723.3713889</v>
      </c>
      <c r="K21" s="243"/>
      <c r="L21" s="118">
        <v>2983708616.2943888</v>
      </c>
      <c r="N21" s="119">
        <v>125107.077</v>
      </c>
      <c r="O21" s="119"/>
      <c r="P21" s="119"/>
    </row>
    <row r="22" spans="1:16" x14ac:dyDescent="0.25">
      <c r="A22" s="244">
        <v>25</v>
      </c>
      <c r="B22" s="117">
        <v>2796469413.5689993</v>
      </c>
      <c r="C22" s="117">
        <v>2807716477.6489849</v>
      </c>
      <c r="D22" s="132">
        <v>11247064.07998576</v>
      </c>
      <c r="E22" s="242">
        <v>7.7853391910488873E-2</v>
      </c>
      <c r="F22" s="132">
        <v>949547.588181898</v>
      </c>
      <c r="G22" s="132">
        <v>12196611.668167658</v>
      </c>
      <c r="H22" s="132">
        <v>12123269.436582506</v>
      </c>
      <c r="I22" s="117">
        <v>3044665452.6312709</v>
      </c>
      <c r="J22" s="118">
        <f t="shared" ref="J22:J32" si="0">SUM(L22,N22:P22)</f>
        <v>3065348902.0678535</v>
      </c>
      <c r="K22" s="243"/>
      <c r="L22" s="118">
        <v>3056788722.0678535</v>
      </c>
      <c r="N22" s="119">
        <v>3685260</v>
      </c>
      <c r="O22" s="119">
        <v>4874920</v>
      </c>
      <c r="P22" s="119"/>
    </row>
    <row r="23" spans="1:16" x14ac:dyDescent="0.25">
      <c r="A23" s="244">
        <v>26</v>
      </c>
      <c r="B23" s="117">
        <v>1844086005.7140005</v>
      </c>
      <c r="C23" s="117">
        <v>1843854018.0378911</v>
      </c>
      <c r="D23" s="132">
        <v>-231987.67610922537</v>
      </c>
      <c r="E23" s="242">
        <v>7.7315056676894464E-2</v>
      </c>
      <c r="F23" s="132">
        <v>-19439.073387420503</v>
      </c>
      <c r="G23" s="132">
        <v>-251426.74949664588</v>
      </c>
      <c r="H23" s="132">
        <v>-249914.83787807621</v>
      </c>
      <c r="I23" s="117">
        <v>2026899464.380985</v>
      </c>
      <c r="J23" s="118">
        <f t="shared" si="0"/>
        <v>2051022389.543107</v>
      </c>
      <c r="K23" s="243"/>
      <c r="L23" s="118">
        <v>2026649549.543107</v>
      </c>
      <c r="N23" s="119">
        <v>24372840</v>
      </c>
      <c r="O23" s="119"/>
      <c r="P23" s="119"/>
    </row>
    <row r="24" spans="1:16" x14ac:dyDescent="0.25">
      <c r="A24" s="244">
        <v>29</v>
      </c>
      <c r="B24" s="117">
        <v>14242753.409000002</v>
      </c>
      <c r="C24" s="117">
        <v>14084006.575165801</v>
      </c>
      <c r="D24" s="132">
        <v>-158746.83383420159</v>
      </c>
      <c r="E24" s="242">
        <v>7.468038083531188E-2</v>
      </c>
      <c r="F24" s="132">
        <v>-12812.085426050122</v>
      </c>
      <c r="G24" s="132">
        <v>-171558.91926025171</v>
      </c>
      <c r="H24" s="132">
        <v>-170527.2791351731</v>
      </c>
      <c r="I24" s="117">
        <v>15406510.69695087</v>
      </c>
      <c r="J24" s="118">
        <f t="shared" si="0"/>
        <v>15235983.417815696</v>
      </c>
      <c r="K24" s="243"/>
      <c r="L24" s="118">
        <v>15235983.417815696</v>
      </c>
      <c r="N24" s="119"/>
      <c r="O24" s="119"/>
      <c r="P24" s="119"/>
    </row>
    <row r="25" spans="1:16" x14ac:dyDescent="0.25">
      <c r="A25" s="241">
        <v>31</v>
      </c>
      <c r="B25" s="117">
        <v>1252024547.5769999</v>
      </c>
      <c r="C25" s="117">
        <v>1252981780.2807348</v>
      </c>
      <c r="D25" s="132">
        <v>957232.70373482059</v>
      </c>
      <c r="E25" s="242">
        <v>3.702332015656052E-2</v>
      </c>
      <c r="F25" s="132">
        <v>36802.482964038267</v>
      </c>
      <c r="G25" s="132">
        <v>994035.18669885886</v>
      </c>
      <c r="H25" s="132">
        <v>988057.72665912227</v>
      </c>
      <c r="I25" s="117">
        <v>1322015309.3917959</v>
      </c>
      <c r="J25" s="118">
        <f t="shared" si="0"/>
        <v>1342870567.1184549</v>
      </c>
      <c r="K25" s="243"/>
      <c r="L25" s="118">
        <v>1323003367.1184549</v>
      </c>
      <c r="N25" s="119"/>
      <c r="O25" s="119">
        <v>26500800</v>
      </c>
      <c r="P25" s="119">
        <f>-P27</f>
        <v>-6633600</v>
      </c>
    </row>
    <row r="26" spans="1:16" x14ac:dyDescent="0.25">
      <c r="A26" s="241">
        <v>35</v>
      </c>
      <c r="B26" s="117">
        <v>4429100.4000000004</v>
      </c>
      <c r="C26" s="117">
        <v>4429100.4000000004</v>
      </c>
      <c r="D26" s="132">
        <v>0</v>
      </c>
      <c r="E26" s="242">
        <v>3.5119821310677424E-2</v>
      </c>
      <c r="F26" s="132">
        <v>0</v>
      </c>
      <c r="G26" s="132">
        <v>0</v>
      </c>
      <c r="H26" s="132">
        <v>0</v>
      </c>
      <c r="I26" s="117">
        <v>4594563.3633324662</v>
      </c>
      <c r="J26" s="118">
        <f t="shared" si="0"/>
        <v>4594563.3633324662</v>
      </c>
      <c r="K26" s="243"/>
      <c r="L26" s="118">
        <v>4594563.3633324662</v>
      </c>
      <c r="N26" s="119"/>
      <c r="O26" s="119"/>
      <c r="P26" s="119"/>
    </row>
    <row r="27" spans="1:16" x14ac:dyDescent="0.25">
      <c r="A27" s="241">
        <v>40</v>
      </c>
      <c r="B27" s="117">
        <v>718932164.91099989</v>
      </c>
      <c r="C27" s="117">
        <v>719325536.69961417</v>
      </c>
      <c r="D27" s="132">
        <v>393371.78861424379</v>
      </c>
      <c r="E27" s="242">
        <v>3.6975302211610411E-2</v>
      </c>
      <c r="F27" s="132">
        <v>15103.497136611782</v>
      </c>
      <c r="G27" s="132">
        <v>408475.28575085558</v>
      </c>
      <c r="H27" s="132">
        <v>406018.98970573838</v>
      </c>
      <c r="I27" s="117">
        <v>692118747.18531692</v>
      </c>
      <c r="J27" s="118">
        <f t="shared" si="0"/>
        <v>639599439.09802258</v>
      </c>
      <c r="K27" s="243"/>
      <c r="L27" s="118">
        <v>692524766.1750226</v>
      </c>
      <c r="N27" s="119">
        <f>-SUM(N21:N26)</f>
        <v>-28183207.077</v>
      </c>
      <c r="O27" s="119">
        <f>-SUM(O21:O26)</f>
        <v>-31375720</v>
      </c>
      <c r="P27" s="119">
        <v>6633600</v>
      </c>
    </row>
    <row r="28" spans="1:16" x14ac:dyDescent="0.25">
      <c r="A28" s="244">
        <v>43</v>
      </c>
      <c r="B28" s="117">
        <v>116295695.25500003</v>
      </c>
      <c r="C28" s="117">
        <v>120131815.05243345</v>
      </c>
      <c r="D28" s="132">
        <v>3836119.7974334164</v>
      </c>
      <c r="E28" s="242">
        <v>3.8110780262926053E-2</v>
      </c>
      <c r="F28" s="132">
        <v>151989.97520962683</v>
      </c>
      <c r="G28" s="132">
        <v>3988109.7726430432</v>
      </c>
      <c r="H28" s="132">
        <v>3964127.9588007946</v>
      </c>
      <c r="I28" s="117">
        <v>121015412.90436846</v>
      </c>
      <c r="J28" s="118">
        <f t="shared" si="0"/>
        <v>124979540.86316925</v>
      </c>
      <c r="K28" s="243"/>
      <c r="L28" s="118">
        <v>124979540.86316925</v>
      </c>
      <c r="N28" s="119"/>
      <c r="O28" s="119"/>
      <c r="P28" s="119"/>
    </row>
    <row r="29" spans="1:16" x14ac:dyDescent="0.25">
      <c r="A29" s="244">
        <v>46</v>
      </c>
      <c r="B29" s="117">
        <v>40290452.949999996</v>
      </c>
      <c r="C29" s="117">
        <v>40290452.949999996</v>
      </c>
      <c r="D29" s="132">
        <v>0</v>
      </c>
      <c r="E29" s="242">
        <v>1.7642574624977668E-2</v>
      </c>
      <c r="F29" s="132">
        <v>0</v>
      </c>
      <c r="G29" s="132">
        <v>0</v>
      </c>
      <c r="H29" s="132">
        <v>0</v>
      </c>
      <c r="I29" s="117">
        <v>58540365.538649537</v>
      </c>
      <c r="J29" s="118">
        <f t="shared" si="0"/>
        <v>58540365.538649537</v>
      </c>
      <c r="K29" s="243"/>
      <c r="L29" s="118">
        <v>58540365.538649537</v>
      </c>
      <c r="N29" s="119"/>
      <c r="O29" s="119"/>
      <c r="P29" s="119"/>
    </row>
    <row r="30" spans="1:16" x14ac:dyDescent="0.25">
      <c r="A30" s="244">
        <v>49</v>
      </c>
      <c r="B30" s="117">
        <v>563748979.77299988</v>
      </c>
      <c r="C30" s="117">
        <v>563748979.77299988</v>
      </c>
      <c r="D30" s="132">
        <v>0</v>
      </c>
      <c r="E30" s="242">
        <v>1.754384432205652E-2</v>
      </c>
      <c r="F30" s="132">
        <v>0</v>
      </c>
      <c r="G30" s="132">
        <v>0</v>
      </c>
      <c r="H30" s="132">
        <v>0</v>
      </c>
      <c r="I30" s="117">
        <v>574347448.1834321</v>
      </c>
      <c r="J30" s="118">
        <f t="shared" si="0"/>
        <v>574347448.1834321</v>
      </c>
      <c r="K30" s="243"/>
      <c r="L30" s="118">
        <v>574347448.1834321</v>
      </c>
      <c r="N30" s="119"/>
      <c r="O30" s="119"/>
      <c r="P30" s="119"/>
    </row>
    <row r="31" spans="1:16" x14ac:dyDescent="0.25">
      <c r="A31" s="244" t="s">
        <v>512</v>
      </c>
      <c r="B31" s="117">
        <v>6798760.6290000007</v>
      </c>
      <c r="C31" s="117">
        <v>6944454.0511808293</v>
      </c>
      <c r="D31" s="132">
        <v>145693.42218082873</v>
      </c>
      <c r="E31" s="242">
        <v>3.8438002868003633E-2</v>
      </c>
      <c r="F31" s="132">
        <v>5824.0281919827103</v>
      </c>
      <c r="G31" s="132">
        <v>151517.45037281144</v>
      </c>
      <c r="H31" s="132">
        <v>150606.326182194</v>
      </c>
      <c r="I31" s="117">
        <v>7077087.4969593501</v>
      </c>
      <c r="J31" s="118">
        <f t="shared" si="0"/>
        <v>7227693.8231415441</v>
      </c>
      <c r="K31" s="243"/>
      <c r="L31" s="118">
        <v>7227693.8231415441</v>
      </c>
      <c r="N31" s="119"/>
      <c r="O31" s="119"/>
      <c r="P31" s="119"/>
    </row>
    <row r="32" spans="1:16" x14ac:dyDescent="0.25">
      <c r="A32" s="241" t="s">
        <v>513</v>
      </c>
      <c r="B32" s="117">
        <v>74853955.083000004</v>
      </c>
      <c r="C32" s="117">
        <v>74853955.083000004</v>
      </c>
      <c r="D32" s="132">
        <v>0</v>
      </c>
      <c r="E32" s="242">
        <v>8.1083528844027059E-2</v>
      </c>
      <c r="F32" s="132">
        <v>0</v>
      </c>
      <c r="G32" s="132">
        <v>0</v>
      </c>
      <c r="H32" s="132">
        <v>0</v>
      </c>
      <c r="I32" s="117">
        <v>81534389.017231286</v>
      </c>
      <c r="J32" s="118">
        <f t="shared" si="0"/>
        <v>81534389.017231286</v>
      </c>
      <c r="K32" s="243"/>
      <c r="L32" s="118">
        <v>81534389.017231286</v>
      </c>
      <c r="N32" s="119"/>
      <c r="O32" s="119"/>
      <c r="P32" s="119"/>
    </row>
    <row r="33" spans="1:16" x14ac:dyDescent="0.25">
      <c r="A33" s="239" t="s">
        <v>508</v>
      </c>
      <c r="B33" s="120" t="s">
        <v>508</v>
      </c>
      <c r="C33" s="120" t="s">
        <v>508</v>
      </c>
      <c r="D33" s="120" t="s">
        <v>508</v>
      </c>
      <c r="E33" s="120" t="s">
        <v>508</v>
      </c>
      <c r="F33" s="120" t="s">
        <v>508</v>
      </c>
      <c r="G33" s="120" t="s">
        <v>508</v>
      </c>
      <c r="H33" s="120" t="s">
        <v>508</v>
      </c>
      <c r="I33" s="120" t="s">
        <v>509</v>
      </c>
      <c r="J33" s="116" t="s">
        <v>510</v>
      </c>
      <c r="K33" s="243"/>
      <c r="L33" s="116" t="s">
        <v>510</v>
      </c>
      <c r="N33" s="119"/>
      <c r="O33" s="119"/>
      <c r="P33" s="119"/>
    </row>
    <row r="34" spans="1:16" x14ac:dyDescent="0.25">
      <c r="A34" s="235" t="s">
        <v>19</v>
      </c>
      <c r="B34" s="121">
        <v>20365314276.710396</v>
      </c>
      <c r="C34" s="121">
        <v>20647021141.159657</v>
      </c>
      <c r="D34" s="121">
        <v>281706864.44926071</v>
      </c>
      <c r="E34" s="121"/>
      <c r="F34" s="121">
        <v>24022487.552288592</v>
      </c>
      <c r="G34" s="121">
        <v>305729352.00155139</v>
      </c>
      <c r="H34" s="121">
        <v>303890901</v>
      </c>
      <c r="I34" s="245">
        <v>22007938139</v>
      </c>
      <c r="J34" s="122">
        <v>22311829040</v>
      </c>
      <c r="K34" s="243"/>
      <c r="L34" s="122">
        <v>22311829040</v>
      </c>
      <c r="N34" s="119">
        <f>SUM(N19:N33)</f>
        <v>0</v>
      </c>
      <c r="O34" s="119">
        <f t="shared" ref="O34:P34" si="1">SUM(O19:O33)</f>
        <v>0</v>
      </c>
      <c r="P34" s="119">
        <f t="shared" si="1"/>
        <v>0</v>
      </c>
    </row>
    <row r="35" spans="1:16" ht="15.75" thickBot="1" x14ac:dyDescent="0.3">
      <c r="A35" s="246"/>
      <c r="B35" s="123"/>
      <c r="C35" s="123"/>
      <c r="D35" s="123"/>
      <c r="E35" s="123"/>
      <c r="F35" s="123"/>
      <c r="G35" s="123"/>
      <c r="H35" s="247"/>
      <c r="I35" s="123"/>
      <c r="J35" s="124"/>
      <c r="K35" s="243"/>
      <c r="L35" s="124"/>
    </row>
    <row r="36" spans="1:16" x14ac:dyDescent="0.25">
      <c r="A36" s="214"/>
      <c r="B36" s="214"/>
      <c r="C36" s="214"/>
      <c r="D36" s="214"/>
      <c r="E36" s="214"/>
      <c r="F36" s="214"/>
      <c r="G36" s="214"/>
      <c r="H36" s="214"/>
      <c r="I36" s="214"/>
      <c r="J36" s="214"/>
      <c r="K36" s="243"/>
      <c r="L36" s="248"/>
    </row>
    <row r="37" spans="1:16" x14ac:dyDescent="0.25">
      <c r="A37" s="214"/>
      <c r="B37" s="214"/>
      <c r="C37" s="214"/>
      <c r="D37" s="214"/>
      <c r="E37" s="214"/>
      <c r="F37" s="214"/>
      <c r="G37" s="214"/>
      <c r="H37" s="214"/>
      <c r="I37" s="214"/>
      <c r="J37" s="214"/>
      <c r="K37" s="243"/>
      <c r="L37" s="248"/>
    </row>
    <row r="38" spans="1:16" ht="15.75" thickBot="1" x14ac:dyDescent="0.3">
      <c r="A38" s="249" t="s">
        <v>514</v>
      </c>
      <c r="B38" s="214"/>
      <c r="C38" s="214"/>
      <c r="D38" s="214"/>
      <c r="E38" s="214"/>
      <c r="F38" s="214"/>
      <c r="G38" s="214"/>
      <c r="H38" s="214"/>
      <c r="I38" s="214"/>
      <c r="J38" s="214"/>
      <c r="K38" s="243"/>
      <c r="L38" s="248"/>
    </row>
    <row r="39" spans="1:16" x14ac:dyDescent="0.25">
      <c r="A39" s="250">
        <v>459</v>
      </c>
      <c r="B39" s="125">
        <v>277864630.43800002</v>
      </c>
      <c r="C39" s="125">
        <v>277864630.43800002</v>
      </c>
      <c r="D39" s="134">
        <v>0</v>
      </c>
      <c r="E39" s="251">
        <v>1.6704654453749218E-2</v>
      </c>
      <c r="F39" s="134">
        <v>0</v>
      </c>
      <c r="G39" s="134">
        <v>0</v>
      </c>
      <c r="H39" s="134">
        <v>0</v>
      </c>
      <c r="I39" s="134">
        <v>282585117.17416674</v>
      </c>
      <c r="J39" s="126">
        <v>282585117.17416674</v>
      </c>
      <c r="K39" s="243"/>
      <c r="L39" s="243"/>
    </row>
    <row r="40" spans="1:16" x14ac:dyDescent="0.25">
      <c r="A40" s="244" t="s">
        <v>515</v>
      </c>
      <c r="B40" s="117">
        <v>1720611951.727</v>
      </c>
      <c r="C40" s="117">
        <v>1720611951.727</v>
      </c>
      <c r="D40" s="132">
        <v>0</v>
      </c>
      <c r="E40" s="242">
        <v>1.7054836716625443E-2</v>
      </c>
      <c r="F40" s="132">
        <v>0</v>
      </c>
      <c r="G40" s="132">
        <v>0</v>
      </c>
      <c r="H40" s="252">
        <v>0</v>
      </c>
      <c r="I40" s="132">
        <v>1750465861.1672344</v>
      </c>
      <c r="J40" s="127">
        <v>1750465861.1672344</v>
      </c>
      <c r="K40" s="243"/>
      <c r="L40" s="243"/>
    </row>
    <row r="41" spans="1:16" x14ac:dyDescent="0.25">
      <c r="A41" s="244" t="s">
        <v>516</v>
      </c>
      <c r="B41" s="117">
        <v>103596479.89899999</v>
      </c>
      <c r="C41" s="117">
        <v>103596479.89899999</v>
      </c>
      <c r="D41" s="132">
        <v>0</v>
      </c>
      <c r="E41" s="242">
        <v>3.5383903239015149E-2</v>
      </c>
      <c r="F41" s="132">
        <v>0</v>
      </c>
      <c r="G41" s="132">
        <v>0</v>
      </c>
      <c r="H41" s="132">
        <v>0</v>
      </c>
      <c r="I41" s="132">
        <v>107396590.46418484</v>
      </c>
      <c r="J41" s="127">
        <v>107396590.46418484</v>
      </c>
      <c r="K41" s="243"/>
      <c r="L41" s="121"/>
    </row>
    <row r="42" spans="1:16" x14ac:dyDescent="0.25">
      <c r="A42" s="253" t="s">
        <v>508</v>
      </c>
      <c r="B42" s="237" t="s">
        <v>508</v>
      </c>
      <c r="C42" s="237" t="s">
        <v>508</v>
      </c>
      <c r="D42" s="237" t="s">
        <v>508</v>
      </c>
      <c r="E42" s="237" t="s">
        <v>508</v>
      </c>
      <c r="F42" s="237" t="s">
        <v>508</v>
      </c>
      <c r="G42" s="237" t="s">
        <v>508</v>
      </c>
      <c r="H42" s="237" t="s">
        <v>508</v>
      </c>
      <c r="I42" s="237" t="s">
        <v>508</v>
      </c>
      <c r="J42" s="113" t="s">
        <v>508</v>
      </c>
      <c r="K42" s="243"/>
      <c r="L42" s="243"/>
    </row>
    <row r="43" spans="1:16" x14ac:dyDescent="0.25">
      <c r="A43" s="235" t="s">
        <v>517</v>
      </c>
      <c r="B43" s="121">
        <v>2102073062.0639999</v>
      </c>
      <c r="C43" s="121">
        <v>2102073062.0639999</v>
      </c>
      <c r="D43" s="121">
        <v>0</v>
      </c>
      <c r="E43" s="121"/>
      <c r="F43" s="121">
        <v>0</v>
      </c>
      <c r="G43" s="121">
        <v>0</v>
      </c>
      <c r="H43" s="121">
        <v>0</v>
      </c>
      <c r="I43" s="245">
        <v>2140447568.8055859</v>
      </c>
      <c r="J43" s="122">
        <v>2140447568.8055859</v>
      </c>
      <c r="K43" s="238"/>
      <c r="L43" s="238"/>
    </row>
    <row r="44" spans="1:16" ht="15.75" thickBot="1" x14ac:dyDescent="0.3">
      <c r="A44" s="246"/>
      <c r="B44" s="254"/>
      <c r="C44" s="254"/>
      <c r="D44" s="254"/>
      <c r="E44" s="254"/>
      <c r="F44" s="254"/>
      <c r="G44" s="254"/>
      <c r="H44" s="254"/>
      <c r="I44" s="255"/>
      <c r="J44" s="128"/>
      <c r="K44" s="238"/>
      <c r="L44" s="238"/>
    </row>
    <row r="45" spans="1:16" x14ac:dyDescent="0.25">
      <c r="A45" s="133"/>
      <c r="B45" s="121"/>
      <c r="C45" s="121"/>
      <c r="D45" s="121"/>
      <c r="E45" s="121"/>
      <c r="F45" s="121"/>
      <c r="G45" s="121"/>
      <c r="H45" s="121"/>
      <c r="I45" s="245"/>
      <c r="J45" s="121"/>
      <c r="K45" s="238"/>
      <c r="L45" s="238"/>
    </row>
    <row r="46" spans="1:16" x14ac:dyDescent="0.25">
      <c r="A46" s="256" t="s">
        <v>518</v>
      </c>
      <c r="B46" s="121"/>
      <c r="C46" s="121"/>
      <c r="D46" s="121"/>
      <c r="E46" s="121"/>
      <c r="F46" s="121"/>
      <c r="G46" s="121"/>
      <c r="H46" s="121"/>
      <c r="I46" s="245"/>
      <c r="J46" s="121"/>
      <c r="K46" s="238"/>
      <c r="L46" s="238"/>
    </row>
    <row r="47" spans="1:16" x14ac:dyDescent="0.25">
      <c r="A47" s="256" t="s">
        <v>519</v>
      </c>
      <c r="B47" s="121"/>
      <c r="C47" s="121"/>
      <c r="D47" s="121"/>
      <c r="E47" s="121"/>
      <c r="F47" s="121"/>
      <c r="G47" s="121"/>
      <c r="H47" s="121"/>
      <c r="I47" s="245"/>
      <c r="J47" s="121"/>
      <c r="K47" s="238"/>
      <c r="L47" s="238"/>
    </row>
    <row r="48" spans="1:16" x14ac:dyDescent="0.25">
      <c r="A48" s="214"/>
      <c r="B48" s="129"/>
      <c r="C48" s="129"/>
      <c r="E48" s="214"/>
      <c r="F48" s="214"/>
      <c r="G48" s="214"/>
      <c r="H48" s="214"/>
      <c r="I48" s="214"/>
      <c r="J48" s="257"/>
      <c r="K48" s="214"/>
      <c r="L48" s="214"/>
    </row>
    <row r="84" spans="1:11" ht="15.75" x14ac:dyDescent="0.25">
      <c r="A84" s="217" t="s">
        <v>520</v>
      </c>
      <c r="B84" s="180"/>
      <c r="C84" s="180"/>
      <c r="D84" s="180"/>
      <c r="E84" s="180"/>
      <c r="F84" s="180"/>
      <c r="G84" s="180"/>
      <c r="H84" s="180"/>
      <c r="I84" s="180"/>
      <c r="J84" s="180"/>
      <c r="K84" s="180"/>
    </row>
    <row r="85" spans="1:11" ht="15.75" x14ac:dyDescent="0.25">
      <c r="A85" s="217" t="s">
        <v>521</v>
      </c>
      <c r="B85" s="180"/>
      <c r="C85" s="180"/>
      <c r="D85" s="180"/>
      <c r="E85" s="180"/>
      <c r="F85" s="180"/>
      <c r="G85" s="180"/>
      <c r="H85" s="180"/>
      <c r="I85" s="180"/>
      <c r="J85" s="180"/>
      <c r="K85" s="180"/>
    </row>
    <row r="86" spans="1:11" ht="15.75" x14ac:dyDescent="0.25">
      <c r="A86" s="217"/>
      <c r="B86" s="180"/>
      <c r="C86" s="180"/>
      <c r="D86" s="180"/>
      <c r="E86" s="180"/>
      <c r="F86" s="180"/>
      <c r="G86" s="180"/>
      <c r="H86" s="180"/>
      <c r="I86" s="180"/>
      <c r="J86" s="180"/>
      <c r="K86" s="180"/>
    </row>
    <row r="87" spans="1:11" ht="15.75" thickBot="1" x14ac:dyDescent="0.3">
      <c r="A87" s="180"/>
      <c r="B87" s="180"/>
      <c r="C87" s="180"/>
      <c r="D87" s="180"/>
      <c r="E87" s="180"/>
      <c r="F87" s="180"/>
      <c r="G87" s="180"/>
      <c r="H87" s="180"/>
      <c r="I87" s="180"/>
      <c r="J87" s="180"/>
      <c r="K87" s="180"/>
    </row>
    <row r="88" spans="1:11" ht="15.75" thickBot="1" x14ac:dyDescent="0.3">
      <c r="A88" s="58"/>
      <c r="B88" s="207"/>
      <c r="C88" s="180"/>
      <c r="D88" s="180"/>
      <c r="E88" s="180"/>
      <c r="F88" s="180"/>
      <c r="G88" s="180"/>
      <c r="H88" s="258" t="s">
        <v>522</v>
      </c>
      <c r="I88" s="259"/>
      <c r="J88" s="260" t="s">
        <v>523</v>
      </c>
      <c r="K88" s="261" t="s">
        <v>524</v>
      </c>
    </row>
    <row r="89" spans="1:11" x14ac:dyDescent="0.25">
      <c r="A89" s="220" t="s">
        <v>460</v>
      </c>
      <c r="B89" s="262">
        <v>22007938139</v>
      </c>
      <c r="C89" s="263"/>
      <c r="D89" s="263"/>
      <c r="E89" s="263"/>
      <c r="F89" s="263"/>
      <c r="G89" s="180"/>
      <c r="H89" s="264" t="s">
        <v>525</v>
      </c>
      <c r="I89" s="265"/>
      <c r="J89" s="234" t="s">
        <v>485</v>
      </c>
      <c r="K89" s="112" t="s">
        <v>526</v>
      </c>
    </row>
    <row r="90" spans="1:11" x14ac:dyDescent="0.25">
      <c r="A90" s="224" t="s">
        <v>527</v>
      </c>
      <c r="B90" s="266">
        <v>1606579484.1469998</v>
      </c>
      <c r="C90" s="207"/>
      <c r="D90" s="207"/>
      <c r="E90" s="207"/>
      <c r="F90" s="207"/>
      <c r="G90" s="180"/>
      <c r="H90" s="224" t="s">
        <v>528</v>
      </c>
      <c r="I90" s="267"/>
      <c r="J90" s="268">
        <v>3.047732061653087E-2</v>
      </c>
      <c r="K90" s="269">
        <v>6.9147310138769251E-3</v>
      </c>
    </row>
    <row r="91" spans="1:11" x14ac:dyDescent="0.25">
      <c r="A91" s="224" t="s">
        <v>529</v>
      </c>
      <c r="B91" s="270">
        <v>18880488.840606689</v>
      </c>
      <c r="C91" s="263"/>
      <c r="D91" s="263"/>
      <c r="E91" s="180"/>
      <c r="F91" s="207"/>
      <c r="G91" s="180"/>
      <c r="H91" s="224" t="s">
        <v>530</v>
      </c>
      <c r="I91" s="267"/>
      <c r="J91" s="268">
        <v>0.101328498667984</v>
      </c>
      <c r="K91" s="269">
        <v>4.9535101029060086E-2</v>
      </c>
    </row>
    <row r="92" spans="1:11" ht="15.75" thickBot="1" x14ac:dyDescent="0.3">
      <c r="A92" s="271" t="s">
        <v>531</v>
      </c>
      <c r="B92" s="272">
        <v>20382478166.012394</v>
      </c>
      <c r="C92" s="273"/>
      <c r="D92" s="207"/>
      <c r="E92" s="263"/>
      <c r="F92" s="207"/>
      <c r="G92" s="180"/>
      <c r="H92" s="274" t="s">
        <v>532</v>
      </c>
      <c r="I92" s="275"/>
      <c r="J92" s="276">
        <v>0.86819418071548504</v>
      </c>
      <c r="K92" s="277">
        <v>0.94355016795706304</v>
      </c>
    </row>
    <row r="93" spans="1:11" ht="15.75" thickBot="1" x14ac:dyDescent="0.3">
      <c r="A93" s="207"/>
      <c r="B93" s="180"/>
      <c r="C93" s="180"/>
      <c r="D93" s="180"/>
      <c r="E93" s="263"/>
      <c r="F93" s="207"/>
      <c r="G93" s="180"/>
      <c r="H93" s="228" t="s">
        <v>533</v>
      </c>
      <c r="I93" s="33"/>
      <c r="J93" s="278">
        <v>0.99999999999999989</v>
      </c>
      <c r="K93" s="279">
        <v>1</v>
      </c>
    </row>
    <row r="94" spans="1:11" x14ac:dyDescent="0.25">
      <c r="A94" s="58"/>
      <c r="B94" s="58"/>
      <c r="C94" s="58"/>
      <c r="D94" s="58"/>
      <c r="E94" s="58"/>
      <c r="F94" s="58"/>
      <c r="G94" s="58"/>
      <c r="H94" s="418"/>
      <c r="I94" s="418"/>
      <c r="J94" s="58"/>
      <c r="K94" s="58"/>
    </row>
    <row r="95" spans="1:11" x14ac:dyDescent="0.25">
      <c r="A95" s="180"/>
      <c r="B95" s="180"/>
      <c r="C95" s="180"/>
      <c r="D95" s="180"/>
      <c r="E95" s="180"/>
      <c r="F95" s="207"/>
      <c r="G95" s="180"/>
      <c r="H95" s="58"/>
      <c r="I95" s="180"/>
      <c r="J95" s="180"/>
      <c r="K95" s="180"/>
    </row>
    <row r="96" spans="1:11" ht="15.75" thickBot="1" x14ac:dyDescent="0.3">
      <c r="A96" s="214"/>
      <c r="B96" s="214"/>
      <c r="C96" s="131"/>
      <c r="D96" s="131"/>
      <c r="E96" s="214"/>
      <c r="F96" s="214"/>
      <c r="G96" s="131"/>
      <c r="H96" s="214"/>
      <c r="I96" s="214"/>
      <c r="J96" s="214"/>
      <c r="K96" s="214"/>
    </row>
    <row r="97" spans="1:11" x14ac:dyDescent="0.25">
      <c r="A97" s="280" t="s">
        <v>534</v>
      </c>
      <c r="B97" s="281" t="s">
        <v>535</v>
      </c>
      <c r="C97" s="281" t="s">
        <v>536</v>
      </c>
      <c r="D97" s="281" t="s">
        <v>537</v>
      </c>
      <c r="E97" s="281" t="s">
        <v>538</v>
      </c>
      <c r="F97" s="281" t="s">
        <v>539</v>
      </c>
      <c r="G97" s="281" t="s">
        <v>540</v>
      </c>
      <c r="H97" s="281" t="s">
        <v>541</v>
      </c>
      <c r="I97" s="281" t="s">
        <v>542</v>
      </c>
      <c r="J97" s="281" t="s">
        <v>543</v>
      </c>
      <c r="K97" s="282" t="s">
        <v>544</v>
      </c>
    </row>
    <row r="98" spans="1:11" x14ac:dyDescent="0.25">
      <c r="A98" s="283"/>
      <c r="B98" s="284"/>
      <c r="C98" s="284"/>
      <c r="D98" s="284"/>
      <c r="E98" s="284"/>
      <c r="F98" s="284" t="s">
        <v>545</v>
      </c>
      <c r="G98" s="284" t="s">
        <v>545</v>
      </c>
      <c r="H98" s="284" t="s">
        <v>545</v>
      </c>
      <c r="I98" s="284"/>
      <c r="J98" s="284" t="s">
        <v>480</v>
      </c>
      <c r="K98" s="285" t="s">
        <v>484</v>
      </c>
    </row>
    <row r="99" spans="1:11" x14ac:dyDescent="0.25">
      <c r="A99" s="283"/>
      <c r="B99" s="284" t="s">
        <v>482</v>
      </c>
      <c r="C99" s="284" t="s">
        <v>546</v>
      </c>
      <c r="D99" s="284" t="s">
        <v>545</v>
      </c>
      <c r="E99" s="284" t="s">
        <v>342</v>
      </c>
      <c r="F99" s="284" t="s">
        <v>547</v>
      </c>
      <c r="G99" s="284" t="s">
        <v>547</v>
      </c>
      <c r="H99" s="284" t="s">
        <v>547</v>
      </c>
      <c r="I99" s="284" t="s">
        <v>548</v>
      </c>
      <c r="J99" s="284" t="s">
        <v>486</v>
      </c>
      <c r="K99" s="285" t="s">
        <v>480</v>
      </c>
    </row>
    <row r="100" spans="1:11" x14ac:dyDescent="0.25">
      <c r="A100" s="283" t="s">
        <v>488</v>
      </c>
      <c r="B100" s="284" t="s">
        <v>549</v>
      </c>
      <c r="C100" s="284" t="s">
        <v>496</v>
      </c>
      <c r="D100" s="284" t="s">
        <v>550</v>
      </c>
      <c r="E100" s="284" t="s">
        <v>551</v>
      </c>
      <c r="F100" s="284" t="s">
        <v>552</v>
      </c>
      <c r="G100" s="284" t="s">
        <v>553</v>
      </c>
      <c r="H100" s="284" t="s">
        <v>554</v>
      </c>
      <c r="I100" s="284" t="s">
        <v>496</v>
      </c>
      <c r="J100" s="284" t="s">
        <v>493</v>
      </c>
      <c r="K100" s="285" t="s">
        <v>490</v>
      </c>
    </row>
    <row r="101" spans="1:11" x14ac:dyDescent="0.25">
      <c r="A101" s="54"/>
      <c r="B101" s="6"/>
      <c r="C101" s="6"/>
      <c r="D101" s="6"/>
      <c r="E101" s="6"/>
      <c r="F101" s="6"/>
      <c r="G101" s="6"/>
      <c r="H101" s="6"/>
      <c r="I101" s="6"/>
      <c r="J101" s="284" t="s">
        <v>496</v>
      </c>
      <c r="K101" s="286"/>
    </row>
    <row r="102" spans="1:11" x14ac:dyDescent="0.25">
      <c r="A102" s="235"/>
      <c r="B102" s="133"/>
      <c r="C102" s="237" t="s">
        <v>555</v>
      </c>
      <c r="D102" s="133" t="s">
        <v>556</v>
      </c>
      <c r="E102" s="237" t="s">
        <v>557</v>
      </c>
      <c r="F102" s="237" t="s">
        <v>558</v>
      </c>
      <c r="G102" s="133" t="s">
        <v>556</v>
      </c>
      <c r="H102" s="237" t="s">
        <v>559</v>
      </c>
      <c r="I102" s="133" t="s">
        <v>560</v>
      </c>
      <c r="J102" s="237" t="s">
        <v>561</v>
      </c>
      <c r="K102" s="113" t="s">
        <v>562</v>
      </c>
    </row>
    <row r="103" spans="1:11" x14ac:dyDescent="0.25">
      <c r="A103" s="235"/>
      <c r="B103" s="133"/>
      <c r="C103" s="237" t="s">
        <v>563</v>
      </c>
      <c r="D103" s="133"/>
      <c r="E103" s="237"/>
      <c r="F103" s="237"/>
      <c r="G103" s="133"/>
      <c r="H103" s="237"/>
      <c r="I103" s="133" t="s">
        <v>564</v>
      </c>
      <c r="J103" s="237"/>
      <c r="K103" s="113"/>
    </row>
    <row r="104" spans="1:11" x14ac:dyDescent="0.25">
      <c r="A104" s="239" t="s">
        <v>508</v>
      </c>
      <c r="B104" s="120" t="s">
        <v>508</v>
      </c>
      <c r="C104" s="120" t="s">
        <v>508</v>
      </c>
      <c r="D104" s="120" t="s">
        <v>508</v>
      </c>
      <c r="E104" s="120" t="s">
        <v>508</v>
      </c>
      <c r="F104" s="120" t="s">
        <v>508</v>
      </c>
      <c r="G104" s="120" t="s">
        <v>508</v>
      </c>
      <c r="H104" s="120" t="s">
        <v>508</v>
      </c>
      <c r="I104" s="120" t="s">
        <v>565</v>
      </c>
      <c r="J104" s="120" t="s">
        <v>508</v>
      </c>
      <c r="K104" s="116" t="s">
        <v>508</v>
      </c>
    </row>
    <row r="105" spans="1:11" x14ac:dyDescent="0.25">
      <c r="A105" s="241" t="s">
        <v>511</v>
      </c>
      <c r="B105" s="132">
        <v>10208761476.354383</v>
      </c>
      <c r="C105" s="132">
        <v>9456475.5846091062</v>
      </c>
      <c r="D105" s="132">
        <v>1596531.0833333333</v>
      </c>
      <c r="E105" s="132">
        <v>1163276.17849943</v>
      </c>
      <c r="F105" s="136">
        <v>0.72862732873992797</v>
      </c>
      <c r="G105" s="132">
        <v>241622.16666666666</v>
      </c>
      <c r="H105" s="132">
        <v>1542220021.4371381</v>
      </c>
      <c r="I105" s="132">
        <v>882118531.15433276</v>
      </c>
      <c r="J105" s="132">
        <v>11100336483.093327</v>
      </c>
      <c r="K105" s="287">
        <v>7.9467728973609736E-2</v>
      </c>
    </row>
    <row r="106" spans="1:11" x14ac:dyDescent="0.25">
      <c r="A106" s="244">
        <v>24</v>
      </c>
      <c r="B106" s="132">
        <v>2724602308.1630082</v>
      </c>
      <c r="C106" s="132">
        <v>2523825.7612924469</v>
      </c>
      <c r="D106" s="132">
        <v>374204.91666666669</v>
      </c>
      <c r="E106" s="132">
        <v>310465.17918081745</v>
      </c>
      <c r="F106" s="136">
        <v>0.82966622124148315</v>
      </c>
      <c r="G106" s="132">
        <v>55871.166666666664</v>
      </c>
      <c r="H106" s="132">
        <v>406064716.78825325</v>
      </c>
      <c r="I106" s="132">
        <v>232260771.19207883</v>
      </c>
      <c r="J106" s="132">
        <v>2959386905.1163797</v>
      </c>
      <c r="K106" s="287">
        <v>7.8482732619560958E-2</v>
      </c>
    </row>
    <row r="107" spans="1:11" x14ac:dyDescent="0.25">
      <c r="A107" s="244">
        <v>25</v>
      </c>
      <c r="B107" s="132">
        <v>2805029593.5689993</v>
      </c>
      <c r="C107" s="132">
        <v>2598326.3422434032</v>
      </c>
      <c r="D107" s="132">
        <v>390998.58333333331</v>
      </c>
      <c r="E107" s="132">
        <v>319629.77230319247</v>
      </c>
      <c r="F107" s="136">
        <v>0.81747041019507316</v>
      </c>
      <c r="G107" s="132">
        <v>57870.916666666664</v>
      </c>
      <c r="H107" s="132">
        <v>414415994.99617642</v>
      </c>
      <c r="I107" s="132">
        <v>237037532.72002834</v>
      </c>
      <c r="J107" s="132">
        <v>3044665452.6312709</v>
      </c>
      <c r="K107" s="287">
        <v>7.7853391910488873E-2</v>
      </c>
    </row>
    <row r="108" spans="1:11" x14ac:dyDescent="0.25">
      <c r="A108" s="244">
        <v>26</v>
      </c>
      <c r="B108" s="132">
        <v>1868458845.7140005</v>
      </c>
      <c r="C108" s="132">
        <v>1730771.7000016626</v>
      </c>
      <c r="D108" s="132">
        <v>245143.25</v>
      </c>
      <c r="E108" s="132">
        <v>212908.65407718605</v>
      </c>
      <c r="F108" s="136">
        <v>0.86850710381454943</v>
      </c>
      <c r="G108" s="132">
        <v>36011.25</v>
      </c>
      <c r="H108" s="132">
        <v>273977991.63403726</v>
      </c>
      <c r="I108" s="132">
        <v>156709846.9669829</v>
      </c>
      <c r="J108" s="132">
        <v>2026899464.380985</v>
      </c>
      <c r="K108" s="287">
        <v>7.7315056676894464E-2</v>
      </c>
    </row>
    <row r="109" spans="1:11" x14ac:dyDescent="0.25">
      <c r="A109" s="244">
        <v>29</v>
      </c>
      <c r="B109" s="132">
        <v>14242753.409000002</v>
      </c>
      <c r="C109" s="132">
        <v>13193.201759270998</v>
      </c>
      <c r="D109" s="132">
        <v>1722.75</v>
      </c>
      <c r="E109" s="132">
        <v>1622.9447416620301</v>
      </c>
      <c r="F109" s="136">
        <v>0.94206631354638226</v>
      </c>
      <c r="G109" s="132">
        <v>243.75</v>
      </c>
      <c r="H109" s="132">
        <v>2011547.0959999126</v>
      </c>
      <c r="I109" s="132">
        <v>1150564.0861915972</v>
      </c>
      <c r="J109" s="132">
        <v>15406510.69695087</v>
      </c>
      <c r="K109" s="287">
        <v>7.468038083531188E-2</v>
      </c>
    </row>
    <row r="110" spans="1:11" x14ac:dyDescent="0.25">
      <c r="A110" s="241">
        <v>31</v>
      </c>
      <c r="B110" s="132">
        <v>1271891747.5769999</v>
      </c>
      <c r="C110" s="132">
        <v>1178165.7633089151</v>
      </c>
      <c r="D110" s="132">
        <v>163580.33333333334</v>
      </c>
      <c r="E110" s="132">
        <v>144930.54568992587</v>
      </c>
      <c r="F110" s="136">
        <v>0.88599003765688533</v>
      </c>
      <c r="G110" s="132">
        <v>11025.5</v>
      </c>
      <c r="H110" s="132">
        <v>85571912.483229265</v>
      </c>
      <c r="I110" s="132">
        <v>48945396.051486872</v>
      </c>
      <c r="J110" s="132">
        <v>1322015309.3917959</v>
      </c>
      <c r="K110" s="287">
        <v>3.702332015656052E-2</v>
      </c>
    </row>
    <row r="111" spans="1:11" x14ac:dyDescent="0.25">
      <c r="A111" s="241">
        <v>35</v>
      </c>
      <c r="B111" s="132">
        <v>4429100.4000000004</v>
      </c>
      <c r="C111" s="132">
        <v>4102.7190116444344</v>
      </c>
      <c r="D111" s="132">
        <v>528.91666666666663</v>
      </c>
      <c r="E111" s="132">
        <v>504.69070116252789</v>
      </c>
      <c r="F111" s="136">
        <v>0.95419700865768631</v>
      </c>
      <c r="G111" s="132">
        <v>33.75</v>
      </c>
      <c r="H111" s="132">
        <v>282108.34560964495</v>
      </c>
      <c r="I111" s="132">
        <v>161360.24432082128</v>
      </c>
      <c r="J111" s="132">
        <v>4594563.3633324662</v>
      </c>
      <c r="K111" s="287">
        <v>3.5119821310677424E-2</v>
      </c>
    </row>
    <row r="112" spans="1:11" x14ac:dyDescent="0.25">
      <c r="A112" s="241">
        <v>40</v>
      </c>
      <c r="B112" s="132">
        <v>665910607.83399987</v>
      </c>
      <c r="C112" s="132">
        <v>616839.50781884557</v>
      </c>
      <c r="D112" s="132">
        <v>87075.5</v>
      </c>
      <c r="E112" s="132">
        <v>75879.718504305405</v>
      </c>
      <c r="F112" s="136">
        <v>0.87142443631452482</v>
      </c>
      <c r="G112" s="132">
        <v>5861.083333333333</v>
      </c>
      <c r="H112" s="132">
        <v>44741623.26189591</v>
      </c>
      <c r="I112" s="132">
        <v>25591299.843498275</v>
      </c>
      <c r="J112" s="132">
        <v>692118747.18531692</v>
      </c>
      <c r="K112" s="287">
        <v>3.6975302211610411E-2</v>
      </c>
    </row>
    <row r="113" spans="1:11" x14ac:dyDescent="0.25">
      <c r="A113" s="244">
        <v>43</v>
      </c>
      <c r="B113" s="132">
        <v>116295695.25500003</v>
      </c>
      <c r="C113" s="132">
        <v>107725.83974278298</v>
      </c>
      <c r="D113" s="132">
        <v>23842.5</v>
      </c>
      <c r="E113" s="132">
        <v>13251.755589110064</v>
      </c>
      <c r="F113" s="136">
        <v>0.555803946277029</v>
      </c>
      <c r="G113" s="132">
        <v>1656.0833333333333</v>
      </c>
      <c r="H113" s="132">
        <v>8063209.0317852795</v>
      </c>
      <c r="I113" s="132">
        <v>4611991.8096256526</v>
      </c>
      <c r="J113" s="132">
        <v>121015412.90436846</v>
      </c>
      <c r="K113" s="287">
        <v>3.8110780262926053E-2</v>
      </c>
    </row>
    <row r="114" spans="1:11" x14ac:dyDescent="0.25">
      <c r="A114" s="244">
        <v>46</v>
      </c>
      <c r="B114" s="132">
        <v>57454342.252000004</v>
      </c>
      <c r="C114" s="132">
        <v>53220.519060440914</v>
      </c>
      <c r="D114" s="132">
        <v>6545.5</v>
      </c>
      <c r="E114" s="132">
        <v>6546.853685230014</v>
      </c>
      <c r="F114" s="136">
        <v>1.0002068115850606</v>
      </c>
      <c r="G114" s="132">
        <v>206.08333333333334</v>
      </c>
      <c r="H114" s="132">
        <v>1805663.3548863942</v>
      </c>
      <c r="I114" s="132">
        <v>1032802.7675890955</v>
      </c>
      <c r="J114" s="132">
        <v>58540365.538649537</v>
      </c>
      <c r="K114" s="287">
        <v>1.7642574624977668E-2</v>
      </c>
    </row>
    <row r="115" spans="1:11" x14ac:dyDescent="0.25">
      <c r="A115" s="244">
        <v>49</v>
      </c>
      <c r="B115" s="132">
        <v>563748979.77299988</v>
      </c>
      <c r="C115" s="132">
        <v>522206.19273156236</v>
      </c>
      <c r="D115" s="132">
        <v>68869.916666666672</v>
      </c>
      <c r="E115" s="132">
        <v>64238.522992455772</v>
      </c>
      <c r="F115" s="136">
        <v>0.93275157139180165</v>
      </c>
      <c r="G115" s="132">
        <v>2156</v>
      </c>
      <c r="H115" s="132">
        <v>17616468.518185545</v>
      </c>
      <c r="I115" s="132">
        <v>10076262.217700556</v>
      </c>
      <c r="J115" s="132">
        <v>574347448.1834321</v>
      </c>
      <c r="K115" s="287">
        <v>1.754384432205652E-2</v>
      </c>
    </row>
    <row r="116" spans="1:11" x14ac:dyDescent="0.25">
      <c r="A116" s="244" t="s">
        <v>512</v>
      </c>
      <c r="B116" s="132">
        <v>6798760.6290000007</v>
      </c>
      <c r="C116" s="132">
        <v>6297.7584541136102</v>
      </c>
      <c r="D116" s="132">
        <v>838.33333333333337</v>
      </c>
      <c r="E116" s="132">
        <v>774.71065430943918</v>
      </c>
      <c r="F116" s="136">
        <v>0.92410813635320777</v>
      </c>
      <c r="G116" s="132">
        <v>58.75</v>
      </c>
      <c r="H116" s="132">
        <v>475592.25237417832</v>
      </c>
      <c r="I116" s="132">
        <v>272029.10950523615</v>
      </c>
      <c r="J116" s="132">
        <v>7077087.4969593501</v>
      </c>
      <c r="K116" s="287">
        <v>3.8438002868003633E-2</v>
      </c>
    </row>
    <row r="117" spans="1:11" x14ac:dyDescent="0.25">
      <c r="A117" s="241" t="s">
        <v>566</v>
      </c>
      <c r="B117" s="132">
        <v>74853955.083000004</v>
      </c>
      <c r="C117" s="132">
        <v>69337.950572491565</v>
      </c>
      <c r="D117" s="132">
        <v>6785.5833333333339</v>
      </c>
      <c r="E117" s="132">
        <v>8529.5187879750101</v>
      </c>
      <c r="F117" s="136">
        <v>1.25700597413266</v>
      </c>
      <c r="G117" s="132">
        <v>1049.6666666666665</v>
      </c>
      <c r="H117" s="132">
        <v>11558270.492627738</v>
      </c>
      <c r="I117" s="132">
        <v>6611095.9836587962</v>
      </c>
      <c r="J117" s="132">
        <v>81534389.017231286</v>
      </c>
      <c r="K117" s="287">
        <v>8.1083528844027059E-2</v>
      </c>
    </row>
    <row r="118" spans="1:11" x14ac:dyDescent="0.25">
      <c r="A118" s="239" t="s">
        <v>508</v>
      </c>
      <c r="B118" s="120" t="s">
        <v>508</v>
      </c>
      <c r="C118" s="120" t="s">
        <v>508</v>
      </c>
      <c r="D118" s="120" t="s">
        <v>508</v>
      </c>
      <c r="E118" s="120" t="s">
        <v>508</v>
      </c>
      <c r="F118" s="120" t="s">
        <v>508</v>
      </c>
      <c r="G118" s="120" t="s">
        <v>508</v>
      </c>
      <c r="H118" s="120" t="s">
        <v>508</v>
      </c>
      <c r="I118" s="120" t="s">
        <v>565</v>
      </c>
      <c r="J118" s="120" t="s">
        <v>508</v>
      </c>
      <c r="K118" s="116" t="s">
        <v>508</v>
      </c>
    </row>
    <row r="119" spans="1:11" x14ac:dyDescent="0.25">
      <c r="A119" s="235" t="s">
        <v>19</v>
      </c>
      <c r="B119" s="121">
        <v>20382478166.012394</v>
      </c>
      <c r="C119" s="288">
        <v>18880488.840606689</v>
      </c>
      <c r="D119" s="121">
        <v>2966667.166666667</v>
      </c>
      <c r="E119" s="121">
        <v>2322559.045406762</v>
      </c>
      <c r="F119" s="289">
        <v>0.78288493953852545</v>
      </c>
      <c r="G119" s="121">
        <v>413666.16666666663</v>
      </c>
      <c r="H119" s="121">
        <v>2808805119.6921992</v>
      </c>
      <c r="I119" s="121">
        <v>1606579484.1469998</v>
      </c>
      <c r="J119" s="121">
        <v>22007938139</v>
      </c>
      <c r="K119" s="290">
        <v>7.2999999999999995E-2</v>
      </c>
    </row>
    <row r="120" spans="1:11" ht="15.75" thickBot="1" x14ac:dyDescent="0.3">
      <c r="A120" s="246"/>
      <c r="B120" s="123"/>
      <c r="C120" s="123"/>
      <c r="D120" s="123"/>
      <c r="E120" s="123"/>
      <c r="F120" s="123"/>
      <c r="G120" s="123"/>
      <c r="H120" s="247"/>
      <c r="I120" s="123"/>
      <c r="J120" s="123"/>
      <c r="K120" s="124"/>
    </row>
    <row r="121" spans="1:11" x14ac:dyDescent="0.25">
      <c r="A121" s="235"/>
      <c r="B121" s="133"/>
      <c r="C121" s="133"/>
      <c r="D121" s="133"/>
      <c r="E121" s="133"/>
      <c r="F121" s="133"/>
      <c r="G121" s="133"/>
      <c r="H121" s="291"/>
      <c r="I121" s="133"/>
      <c r="J121" s="133"/>
      <c r="K121" s="133"/>
    </row>
    <row r="122" spans="1:11" x14ac:dyDescent="0.25">
      <c r="A122" s="235"/>
      <c r="B122" s="133"/>
      <c r="C122" s="133"/>
      <c r="D122" s="133"/>
      <c r="E122" s="133"/>
      <c r="F122" s="133"/>
      <c r="G122" s="133"/>
      <c r="H122" s="291"/>
      <c r="I122" s="133"/>
      <c r="J122" s="133"/>
      <c r="K122" s="133"/>
    </row>
    <row r="123" spans="1:11" ht="15.75" thickBot="1" x14ac:dyDescent="0.3">
      <c r="A123" s="292" t="s">
        <v>514</v>
      </c>
      <c r="B123" s="133"/>
      <c r="C123" s="133"/>
      <c r="D123" s="131"/>
      <c r="E123" s="133"/>
      <c r="F123" s="133"/>
      <c r="G123" s="131"/>
      <c r="H123" s="291"/>
      <c r="I123" s="133"/>
      <c r="J123" s="133"/>
      <c r="K123" s="133"/>
    </row>
    <row r="124" spans="1:11" x14ac:dyDescent="0.25">
      <c r="A124" s="250">
        <v>459</v>
      </c>
      <c r="B124" s="134">
        <v>277864630.43800002</v>
      </c>
      <c r="C124" s="134">
        <v>0</v>
      </c>
      <c r="D124" s="134">
        <v>33349.677499999998</v>
      </c>
      <c r="E124" s="134">
        <v>31633.040805783246</v>
      </c>
      <c r="F124" s="135">
        <v>0.9485261380948361</v>
      </c>
      <c r="G124" s="134">
        <v>568.11122776207412</v>
      </c>
      <c r="H124" s="134">
        <v>4720486.7361666895</v>
      </c>
      <c r="I124" s="134">
        <v>4720486.7361666895</v>
      </c>
      <c r="J124" s="134">
        <v>282585117.17416674</v>
      </c>
      <c r="K124" s="293">
        <v>1.6704654453749218E-2</v>
      </c>
    </row>
    <row r="125" spans="1:11" x14ac:dyDescent="0.25">
      <c r="A125" s="244" t="s">
        <v>515</v>
      </c>
      <c r="B125" s="132">
        <v>1720611951.727</v>
      </c>
      <c r="C125" s="132">
        <v>0</v>
      </c>
      <c r="D125" s="132">
        <v>202197.85416666672</v>
      </c>
      <c r="E125" s="132">
        <v>195880.23129861112</v>
      </c>
      <c r="F125" s="136">
        <v>0.96875524275916336</v>
      </c>
      <c r="G125" s="132">
        <v>3517.8963470697345</v>
      </c>
      <c r="H125" s="132">
        <v>29853909.440234326</v>
      </c>
      <c r="I125" s="132">
        <v>29853909.440234326</v>
      </c>
      <c r="J125" s="132">
        <v>1750465861.1672344</v>
      </c>
      <c r="K125" s="287">
        <v>1.7054836716625443E-2</v>
      </c>
    </row>
    <row r="126" spans="1:11" x14ac:dyDescent="0.25">
      <c r="A126" s="244" t="s">
        <v>516</v>
      </c>
      <c r="B126" s="132">
        <v>103596479.89899999</v>
      </c>
      <c r="C126" s="132">
        <v>0</v>
      </c>
      <c r="D126" s="132">
        <v>12327.4375</v>
      </c>
      <c r="E126" s="132">
        <v>11793.770480305098</v>
      </c>
      <c r="F126" s="136">
        <v>0.95670900625576871</v>
      </c>
      <c r="G126" s="132">
        <v>453.43210223566166</v>
      </c>
      <c r="H126" s="132">
        <v>3800110.565184853</v>
      </c>
      <c r="I126" s="132">
        <v>3800110.565184853</v>
      </c>
      <c r="J126" s="132">
        <v>107396590.46418484</v>
      </c>
      <c r="K126" s="287">
        <v>3.5383903239015149E-2</v>
      </c>
    </row>
    <row r="127" spans="1:11" x14ac:dyDescent="0.25">
      <c r="A127" s="253" t="s">
        <v>508</v>
      </c>
      <c r="B127" s="294" t="s">
        <v>508</v>
      </c>
      <c r="C127" s="294" t="s">
        <v>508</v>
      </c>
      <c r="D127" s="294" t="s">
        <v>508</v>
      </c>
      <c r="E127" s="294" t="s">
        <v>508</v>
      </c>
      <c r="F127" s="294" t="s">
        <v>508</v>
      </c>
      <c r="G127" s="294" t="s">
        <v>508</v>
      </c>
      <c r="H127" s="294" t="s">
        <v>508</v>
      </c>
      <c r="I127" s="294" t="s">
        <v>565</v>
      </c>
      <c r="J127" s="294" t="s">
        <v>508</v>
      </c>
      <c r="K127" s="295" t="s">
        <v>508</v>
      </c>
    </row>
    <row r="128" spans="1:11" x14ac:dyDescent="0.25">
      <c r="A128" s="235" t="s">
        <v>517</v>
      </c>
      <c r="B128" s="121">
        <v>2102073062.0639999</v>
      </c>
      <c r="C128" s="288">
        <v>0</v>
      </c>
      <c r="D128" s="121">
        <v>247874.96916666671</v>
      </c>
      <c r="E128" s="121">
        <v>239307.04258469946</v>
      </c>
      <c r="F128" s="289">
        <v>0.96543448251038888</v>
      </c>
      <c r="G128" s="121">
        <v>4539.4396770674703</v>
      </c>
      <c r="H128" s="121">
        <v>38374506.741585873</v>
      </c>
      <c r="I128" s="121">
        <v>38374506.741585873</v>
      </c>
      <c r="J128" s="121">
        <v>2140447568.8055859</v>
      </c>
      <c r="K128" s="290">
        <v>1.8255553260316467E-2</v>
      </c>
    </row>
    <row r="129" spans="1:11" ht="15.75" thickBot="1" x14ac:dyDescent="0.3">
      <c r="A129" s="246"/>
      <c r="B129" s="123"/>
      <c r="C129" s="123"/>
      <c r="D129" s="123"/>
      <c r="E129" s="123"/>
      <c r="F129" s="123"/>
      <c r="G129" s="123"/>
      <c r="H129" s="247"/>
      <c r="I129" s="123"/>
      <c r="J129" s="123"/>
      <c r="K129" s="124"/>
    </row>
    <row r="130" spans="1:11" x14ac:dyDescent="0.25">
      <c r="A130" s="133"/>
      <c r="B130" s="133"/>
      <c r="C130" s="133"/>
      <c r="D130" s="133"/>
      <c r="E130" s="133"/>
      <c r="F130" s="133"/>
      <c r="G130" s="133"/>
      <c r="H130" s="291"/>
      <c r="I130" s="133"/>
      <c r="J130" s="133"/>
      <c r="K130" s="133"/>
    </row>
    <row r="131" spans="1:11" x14ac:dyDescent="0.25">
      <c r="A131" s="47" t="s">
        <v>567</v>
      </c>
      <c r="B131" s="133"/>
      <c r="C131" s="133"/>
      <c r="D131" s="133"/>
      <c r="E131" s="133"/>
      <c r="F131" s="133"/>
      <c r="G131" s="133"/>
      <c r="H131" s="291"/>
      <c r="I131" s="133"/>
      <c r="J131" s="133"/>
      <c r="K131" s="133"/>
    </row>
    <row r="132" spans="1:11" x14ac:dyDescent="0.25">
      <c r="A132" s="58" t="s">
        <v>568</v>
      </c>
      <c r="B132" s="214"/>
      <c r="C132" s="214"/>
      <c r="D132" s="214"/>
      <c r="E132" s="214"/>
      <c r="F132" s="214"/>
      <c r="G132" s="214"/>
      <c r="H132" s="214"/>
      <c r="I132" s="214"/>
      <c r="J132" s="214"/>
      <c r="K132" s="214"/>
    </row>
    <row r="133" spans="1:11" x14ac:dyDescent="0.25">
      <c r="A133" s="58" t="s">
        <v>569</v>
      </c>
      <c r="B133" s="214"/>
      <c r="C133" s="214"/>
      <c r="D133" s="214"/>
      <c r="E133" s="214"/>
      <c r="F133" s="214"/>
      <c r="G133" s="214"/>
      <c r="H133" s="214"/>
      <c r="I133" s="214"/>
      <c r="J133" s="214"/>
      <c r="K133" s="214"/>
    </row>
    <row r="134" spans="1:11" x14ac:dyDescent="0.25">
      <c r="A134" s="214"/>
      <c r="B134" s="214"/>
      <c r="C134" s="214"/>
      <c r="D134" s="214"/>
      <c r="E134" s="214"/>
      <c r="F134" s="214"/>
      <c r="G134" s="214"/>
      <c r="H134" s="214"/>
      <c r="I134" s="214"/>
      <c r="J134" s="214"/>
      <c r="K134" s="214"/>
    </row>
    <row r="135" spans="1:11" x14ac:dyDescent="0.25">
      <c r="A135" s="214"/>
      <c r="B135" s="214"/>
      <c r="C135" s="214"/>
      <c r="D135" s="214"/>
      <c r="E135" s="214"/>
      <c r="F135" s="214"/>
      <c r="G135" s="214"/>
      <c r="H135" s="214"/>
      <c r="I135" s="214"/>
      <c r="J135" s="214"/>
      <c r="K135" s="214"/>
    </row>
    <row r="136" spans="1:11" x14ac:dyDescent="0.25">
      <c r="A136" s="296" t="s">
        <v>570</v>
      </c>
      <c r="B136" s="137">
        <v>17695948932.292393</v>
      </c>
      <c r="C136" s="137">
        <v>16391930.54047838</v>
      </c>
      <c r="D136" s="137">
        <v>2615386.166666667</v>
      </c>
      <c r="E136" s="138">
        <v>2016432.2475902631</v>
      </c>
      <c r="F136" s="139">
        <v>0.77098834324730869</v>
      </c>
      <c r="G136" s="137">
        <v>392668.91666666669</v>
      </c>
      <c r="H136" s="137">
        <v>2650248542.4442325</v>
      </c>
      <c r="I136" s="137">
        <v>1515888342.1032734</v>
      </c>
      <c r="J136" s="138">
        <v>19228229204.936142</v>
      </c>
      <c r="K136" s="140">
        <v>7.8836606634277315E-2</v>
      </c>
    </row>
    <row r="137" spans="1:11" x14ac:dyDescent="0.25">
      <c r="A137" s="296" t="s">
        <v>571</v>
      </c>
      <c r="B137" s="137">
        <v>2065325911.6949999</v>
      </c>
      <c r="C137" s="137">
        <v>1913131.5883363015</v>
      </c>
      <c r="D137" s="137">
        <v>275865.58333333331</v>
      </c>
      <c r="E137" s="138">
        <v>235341.42113881331</v>
      </c>
      <c r="F137" s="139">
        <v>0.85310178346693599</v>
      </c>
      <c r="G137" s="137">
        <v>18635.166666666664</v>
      </c>
      <c r="H137" s="137">
        <v>139134445.37489426</v>
      </c>
      <c r="I137" s="137">
        <v>79582077.058436871</v>
      </c>
      <c r="J137" s="138">
        <v>2146821120.341773</v>
      </c>
      <c r="K137" s="140">
        <v>3.7069728960821585E-2</v>
      </c>
    </row>
    <row r="138" spans="1:11" x14ac:dyDescent="0.25">
      <c r="A138" s="297" t="s">
        <v>572</v>
      </c>
      <c r="B138" s="141">
        <v>621203322.02499986</v>
      </c>
      <c r="C138" s="141">
        <v>575426.71179200325</v>
      </c>
      <c r="D138" s="141">
        <v>75415.416666666672</v>
      </c>
      <c r="E138" s="142">
        <v>70785.376677685781</v>
      </c>
      <c r="F138" s="143">
        <v>0.93860618698898801</v>
      </c>
      <c r="G138" s="141">
        <v>2362.0833333333335</v>
      </c>
      <c r="H138" s="141">
        <v>19422131.873071939</v>
      </c>
      <c r="I138" s="141">
        <v>11109064.985289652</v>
      </c>
      <c r="J138" s="142">
        <v>632887813.72208154</v>
      </c>
      <c r="K138" s="144">
        <v>1.7552976600949292E-2</v>
      </c>
    </row>
    <row r="139" spans="1:11" x14ac:dyDescent="0.25">
      <c r="A139" s="296" t="s">
        <v>19</v>
      </c>
      <c r="B139" s="137">
        <v>20382478166.012394</v>
      </c>
      <c r="C139" s="137">
        <v>18880488.840606686</v>
      </c>
      <c r="D139" s="137">
        <v>2966667.166666667</v>
      </c>
      <c r="E139" s="137">
        <v>2322559.0454067625</v>
      </c>
      <c r="F139" s="137"/>
      <c r="G139" s="137">
        <v>413666.16666666669</v>
      </c>
      <c r="H139" s="137">
        <v>2808805119.6921988</v>
      </c>
      <c r="I139" s="137">
        <v>1606579484.1469998</v>
      </c>
      <c r="J139" s="137">
        <v>22007938138.999996</v>
      </c>
      <c r="K139" s="296"/>
    </row>
  </sheetData>
  <mergeCells count="2">
    <mergeCell ref="N11:P11"/>
    <mergeCell ref="H94:I94"/>
  </mergeCells>
  <printOptions horizontalCentered="1"/>
  <pageMargins left="0.25" right="0.25" top="0.75" bottom="0.75" header="0.3" footer="0.3"/>
  <pageSetup scale="60" fitToHeight="0" orientation="landscape" r:id="rId1"/>
  <headerFooter>
    <oddHeader>&amp;RAdvice No. 2018-xx
Electric Schedule 120 Rate Design Workpapers
Page &amp;P of &amp;N</oddHeader>
    <oddFooter>&amp;L&amp;"Times New Roman,Regular"&amp;F
&amp;A&amp;R&amp;"Times New Roman,Regular"&amp;D</oddFooter>
  </headerFooter>
  <rowBreaks count="2" manualBreakCount="2">
    <brk id="48" max="10" man="1"/>
    <brk id="83"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80" zoomScaleNormal="80" workbookViewId="0">
      <selection sqref="A1:XFD1048576"/>
    </sheetView>
  </sheetViews>
  <sheetFormatPr defaultColWidth="8.85546875" defaultRowHeight="12.75" x14ac:dyDescent="0.2"/>
  <cols>
    <col min="1" max="1" width="20.42578125" style="26" customWidth="1"/>
    <col min="2" max="2" width="11.85546875" style="26" bestFit="1" customWidth="1"/>
    <col min="3" max="3" width="16.5703125" style="26" customWidth="1"/>
    <col min="4" max="4" width="10.5703125" style="26" customWidth="1"/>
    <col min="5" max="5" width="16.5703125" style="26" customWidth="1"/>
    <col min="6" max="6" width="12.28515625" style="26" customWidth="1"/>
    <col min="7" max="7" width="11.140625" style="26" customWidth="1"/>
    <col min="8" max="8" width="16.42578125" style="26" bestFit="1" customWidth="1"/>
    <col min="9" max="10" width="12" style="26" bestFit="1" customWidth="1"/>
    <col min="11" max="16384" width="8.85546875" style="26"/>
  </cols>
  <sheetData>
    <row r="1" spans="1:7" x14ac:dyDescent="0.2">
      <c r="A1" s="419" t="s">
        <v>31</v>
      </c>
      <c r="B1" s="419"/>
      <c r="C1" s="419"/>
      <c r="D1" s="419"/>
      <c r="E1" s="419"/>
      <c r="F1" s="419"/>
      <c r="G1" s="419"/>
    </row>
    <row r="2" spans="1:7" x14ac:dyDescent="0.2">
      <c r="A2" s="419" t="s">
        <v>217</v>
      </c>
      <c r="B2" s="419"/>
      <c r="C2" s="419"/>
      <c r="D2" s="419"/>
      <c r="E2" s="419"/>
      <c r="F2" s="419"/>
      <c r="G2" s="419"/>
    </row>
    <row r="3" spans="1:7" x14ac:dyDescent="0.2">
      <c r="A3" s="420" t="s">
        <v>222</v>
      </c>
      <c r="B3" s="419"/>
      <c r="C3" s="419"/>
      <c r="D3" s="419"/>
      <c r="E3" s="419"/>
      <c r="F3" s="419"/>
      <c r="G3" s="419"/>
    </row>
    <row r="4" spans="1:7" x14ac:dyDescent="0.2">
      <c r="A4" s="298"/>
    </row>
    <row r="5" spans="1:7" ht="34.5" customHeight="1" thickBot="1" x14ac:dyDescent="0.25">
      <c r="A5" s="2" t="s">
        <v>20</v>
      </c>
      <c r="B5" s="2" t="s">
        <v>218</v>
      </c>
      <c r="C5" s="1" t="s">
        <v>219</v>
      </c>
      <c r="D5" s="1" t="s">
        <v>229</v>
      </c>
      <c r="E5" s="1" t="s">
        <v>231</v>
      </c>
      <c r="F5" s="1" t="s">
        <v>230</v>
      </c>
      <c r="G5" s="2" t="s">
        <v>21</v>
      </c>
    </row>
    <row r="6" spans="1:7" ht="25.5" x14ac:dyDescent="0.2">
      <c r="A6" s="299"/>
      <c r="B6" s="299"/>
      <c r="C6" s="300" t="s">
        <v>37</v>
      </c>
      <c r="D6" s="301" t="s">
        <v>225</v>
      </c>
      <c r="E6" s="300" t="s">
        <v>46</v>
      </c>
      <c r="F6" s="301" t="s">
        <v>226</v>
      </c>
      <c r="G6" s="299" t="s">
        <v>58</v>
      </c>
    </row>
    <row r="7" spans="1:7" x14ac:dyDescent="0.2">
      <c r="A7" s="5"/>
      <c r="B7" s="5"/>
      <c r="C7" s="4"/>
      <c r="D7" s="3"/>
      <c r="E7" s="4"/>
      <c r="F7" s="3"/>
      <c r="G7" s="5"/>
    </row>
    <row r="8" spans="1:7" x14ac:dyDescent="0.2">
      <c r="A8" s="6" t="s">
        <v>4</v>
      </c>
      <c r="B8" s="181">
        <v>7</v>
      </c>
      <c r="C8" s="106">
        <v>11786470304.505386</v>
      </c>
      <c r="D8" s="215">
        <v>0.3891</v>
      </c>
      <c r="E8" s="106">
        <v>2552474.8564782003</v>
      </c>
      <c r="F8" s="215">
        <v>0.15790000000000001</v>
      </c>
      <c r="G8" s="215">
        <f t="shared" ref="G8:G13" si="0">+F8+D8</f>
        <v>0.54700000000000004</v>
      </c>
    </row>
    <row r="9" spans="1:7" x14ac:dyDescent="0.2">
      <c r="A9" s="43" t="s">
        <v>5</v>
      </c>
      <c r="B9" s="181" t="s">
        <v>212</v>
      </c>
      <c r="C9" s="106">
        <v>2918217955.3328881</v>
      </c>
      <c r="D9" s="215">
        <v>9.6299999999999997E-2</v>
      </c>
      <c r="E9" s="106">
        <v>437500.53947799094</v>
      </c>
      <c r="F9" s="215">
        <v>2.7099999999999999E-2</v>
      </c>
      <c r="G9" s="215">
        <f t="shared" si="0"/>
        <v>0.1234</v>
      </c>
    </row>
    <row r="10" spans="1:7" x14ac:dyDescent="0.2">
      <c r="A10" s="6" t="s">
        <v>6</v>
      </c>
      <c r="B10" s="187" t="s">
        <v>213</v>
      </c>
      <c r="C10" s="106">
        <v>2999905247.897716</v>
      </c>
      <c r="D10" s="215">
        <v>9.9000000000000005E-2</v>
      </c>
      <c r="E10" s="106">
        <v>432535.97934953577</v>
      </c>
      <c r="F10" s="215">
        <v>2.6800000000000001E-2</v>
      </c>
      <c r="G10" s="215">
        <f t="shared" si="0"/>
        <v>0.1258</v>
      </c>
    </row>
    <row r="11" spans="1:7" x14ac:dyDescent="0.2">
      <c r="A11" s="6" t="s">
        <v>7</v>
      </c>
      <c r="B11" s="187" t="s">
        <v>214</v>
      </c>
      <c r="C11" s="106">
        <v>2049311018.9545679</v>
      </c>
      <c r="D11" s="215">
        <v>6.7599999999999993E-2</v>
      </c>
      <c r="E11" s="106">
        <v>267916.78757331776</v>
      </c>
      <c r="F11" s="215">
        <v>1.66E-2</v>
      </c>
      <c r="G11" s="215">
        <f t="shared" si="0"/>
        <v>8.4199999999999997E-2</v>
      </c>
    </row>
    <row r="12" spans="1:7" x14ac:dyDescent="0.2">
      <c r="A12" s="6" t="s">
        <v>8</v>
      </c>
      <c r="B12" s="181">
        <v>29</v>
      </c>
      <c r="C12" s="106">
        <v>17798308.365999948</v>
      </c>
      <c r="D12" s="215">
        <v>5.9999999999999995E-4</v>
      </c>
      <c r="E12" s="106">
        <v>614.89645437416527</v>
      </c>
      <c r="F12" s="215">
        <v>0</v>
      </c>
      <c r="G12" s="215">
        <f t="shared" si="0"/>
        <v>5.9999999999999995E-4</v>
      </c>
    </row>
    <row r="13" spans="1:7" x14ac:dyDescent="0.2">
      <c r="A13" s="6" t="s">
        <v>10</v>
      </c>
      <c r="B13" s="181" t="s">
        <v>215</v>
      </c>
      <c r="C13" s="106">
        <v>1322270702.6607897</v>
      </c>
      <c r="D13" s="215">
        <v>4.36E-2</v>
      </c>
      <c r="E13" s="106">
        <v>170195.01684374851</v>
      </c>
      <c r="F13" s="215">
        <v>1.0500000000000001E-2</v>
      </c>
      <c r="G13" s="215">
        <f t="shared" si="0"/>
        <v>5.4100000000000002E-2</v>
      </c>
    </row>
    <row r="14" spans="1:7" x14ac:dyDescent="0.2">
      <c r="A14" s="6" t="s">
        <v>11</v>
      </c>
      <c r="B14" s="181">
        <v>35</v>
      </c>
      <c r="C14" s="106">
        <v>4375940.3410168542</v>
      </c>
      <c r="D14" s="215">
        <v>1E-4</v>
      </c>
      <c r="E14" s="106">
        <v>3.7791345676280526</v>
      </c>
      <c r="F14" s="215">
        <v>0</v>
      </c>
      <c r="G14" s="215">
        <f>+F14+D14</f>
        <v>1E-4</v>
      </c>
    </row>
    <row r="15" spans="1:7" x14ac:dyDescent="0.2">
      <c r="A15" s="6" t="s">
        <v>12</v>
      </c>
      <c r="B15" s="181">
        <v>43</v>
      </c>
      <c r="C15" s="106">
        <v>137254791.32199681</v>
      </c>
      <c r="D15" s="215">
        <v>4.4999999999999997E-3</v>
      </c>
      <c r="E15" s="106">
        <v>0</v>
      </c>
      <c r="F15" s="215">
        <v>0</v>
      </c>
      <c r="G15" s="215">
        <f>+F15+D15</f>
        <v>4.4999999999999997E-3</v>
      </c>
    </row>
    <row r="16" spans="1:7" x14ac:dyDescent="0.2">
      <c r="A16" s="6"/>
      <c r="B16" s="181"/>
      <c r="C16" s="106"/>
      <c r="D16" s="215"/>
      <c r="E16" s="106"/>
      <c r="F16" s="215"/>
      <c r="G16" s="215"/>
    </row>
    <row r="17" spans="1:9" x14ac:dyDescent="0.2">
      <c r="A17" s="47" t="s">
        <v>60</v>
      </c>
      <c r="B17" s="181">
        <v>40</v>
      </c>
      <c r="C17" s="106">
        <v>741555022.86859286</v>
      </c>
      <c r="D17" s="215">
        <v>2.4500000000000001E-2</v>
      </c>
      <c r="E17" s="106">
        <v>90993.297809216907</v>
      </c>
      <c r="F17" s="215">
        <v>5.5999999999999999E-3</v>
      </c>
      <c r="G17" s="215">
        <f>+F17+D17</f>
        <v>3.0100000000000002E-2</v>
      </c>
      <c r="H17" s="302"/>
      <c r="I17" s="303"/>
    </row>
    <row r="18" spans="1:9" x14ac:dyDescent="0.2">
      <c r="A18" s="48"/>
      <c r="B18" s="187"/>
      <c r="C18" s="106"/>
      <c r="D18" s="215"/>
      <c r="E18" s="106"/>
      <c r="F18" s="215"/>
      <c r="G18" s="215"/>
    </row>
    <row r="19" spans="1:9" x14ac:dyDescent="0.2">
      <c r="A19" s="43" t="s">
        <v>22</v>
      </c>
      <c r="B19" s="187"/>
      <c r="C19" s="106"/>
      <c r="D19" s="215"/>
      <c r="E19" s="106"/>
      <c r="F19" s="215"/>
      <c r="G19" s="215"/>
    </row>
    <row r="20" spans="1:9" x14ac:dyDescent="0.2">
      <c r="A20" s="52" t="s">
        <v>67</v>
      </c>
      <c r="B20" s="181">
        <v>46</v>
      </c>
      <c r="C20" s="106">
        <v>46821433.391501412</v>
      </c>
      <c r="D20" s="215">
        <v>1.5E-3</v>
      </c>
      <c r="E20" s="106">
        <v>0</v>
      </c>
      <c r="F20" s="215">
        <v>0</v>
      </c>
      <c r="G20" s="215">
        <f t="shared" ref="G20:G21" si="1">+F20+D20</f>
        <v>1.5E-3</v>
      </c>
      <c r="H20" s="302"/>
      <c r="I20" s="303"/>
    </row>
    <row r="21" spans="1:9" x14ac:dyDescent="0.2">
      <c r="A21" s="52" t="s">
        <v>68</v>
      </c>
      <c r="B21" s="181">
        <v>49</v>
      </c>
      <c r="C21" s="106">
        <v>604282290.05697274</v>
      </c>
      <c r="D21" s="215">
        <v>1.9900000000000001E-2</v>
      </c>
      <c r="E21" s="106">
        <v>71206.398327346193</v>
      </c>
      <c r="F21" s="215">
        <v>4.4000000000000003E-3</v>
      </c>
      <c r="G21" s="215">
        <f t="shared" si="1"/>
        <v>2.4300000000000002E-2</v>
      </c>
      <c r="H21" s="302"/>
      <c r="I21" s="303"/>
    </row>
    <row r="22" spans="1:9" x14ac:dyDescent="0.2">
      <c r="A22" s="43"/>
      <c r="B22" s="187"/>
      <c r="C22" s="106"/>
      <c r="D22" s="215"/>
      <c r="E22" s="106"/>
      <c r="F22" s="215"/>
      <c r="G22" s="215"/>
    </row>
    <row r="23" spans="1:9" x14ac:dyDescent="0.2">
      <c r="A23" s="6" t="s">
        <v>17</v>
      </c>
      <c r="B23" s="181" t="s">
        <v>114</v>
      </c>
      <c r="C23" s="106">
        <v>91905021.488787219</v>
      </c>
      <c r="D23" s="215">
        <v>3.0000000000000001E-3</v>
      </c>
      <c r="E23" s="106">
        <v>15980.214685035569</v>
      </c>
      <c r="F23" s="215">
        <v>1E-3</v>
      </c>
      <c r="G23" s="215">
        <f>+F23+D23</f>
        <v>4.0000000000000001E-3</v>
      </c>
    </row>
    <row r="24" spans="1:9" x14ac:dyDescent="0.2">
      <c r="A24" s="6"/>
      <c r="B24" s="6"/>
      <c r="C24" s="106"/>
      <c r="D24" s="215"/>
      <c r="E24" s="106"/>
      <c r="F24" s="215"/>
      <c r="G24" s="215"/>
    </row>
    <row r="25" spans="1:9" x14ac:dyDescent="0.2">
      <c r="A25" s="6" t="s">
        <v>195</v>
      </c>
      <c r="B25" s="181">
        <v>5</v>
      </c>
      <c r="C25" s="106">
        <v>7843462.8137823585</v>
      </c>
      <c r="D25" s="215">
        <v>2.9999999999999997E-4</v>
      </c>
      <c r="E25" s="106">
        <v>1486.7843933150825</v>
      </c>
      <c r="F25" s="215">
        <v>1E-4</v>
      </c>
      <c r="G25" s="215">
        <f>+F25+D25</f>
        <v>3.9999999999999996E-4</v>
      </c>
    </row>
    <row r="26" spans="1:9" x14ac:dyDescent="0.2">
      <c r="A26" s="6"/>
      <c r="B26" s="6"/>
      <c r="C26" s="106"/>
      <c r="D26" s="215"/>
      <c r="E26" s="106"/>
      <c r="F26" s="215"/>
      <c r="G26" s="215"/>
    </row>
    <row r="27" spans="1:9" x14ac:dyDescent="0.2">
      <c r="A27" s="6" t="s">
        <v>18</v>
      </c>
      <c r="B27" s="6"/>
      <c r="C27" s="106">
        <f>SUM(C8:C25)</f>
        <v>22728011500</v>
      </c>
      <c r="D27" s="215">
        <f>SUM(D8:D25)</f>
        <v>0.74999999999999989</v>
      </c>
      <c r="E27" s="106">
        <f>SUM(E8:E25)</f>
        <v>4040908.5505266492</v>
      </c>
      <c r="F27" s="215">
        <f>SUM(F8:F25)</f>
        <v>0.24999999999999997</v>
      </c>
      <c r="G27" s="215">
        <f>SUM(G8:G25)</f>
        <v>1</v>
      </c>
      <c r="H27" s="303"/>
      <c r="I27" s="303"/>
    </row>
    <row r="29" spans="1:9" x14ac:dyDescent="0.2">
      <c r="A29" s="6"/>
      <c r="B29" s="181"/>
      <c r="C29" s="106"/>
      <c r="D29" s="215"/>
      <c r="E29" s="106"/>
    </row>
    <row r="30" spans="1:9" x14ac:dyDescent="0.2">
      <c r="A30" s="6" t="s">
        <v>223</v>
      </c>
      <c r="B30" s="181"/>
      <c r="C30" s="106">
        <f>+C27-C25</f>
        <v>22720168037.186218</v>
      </c>
      <c r="D30" s="215"/>
      <c r="E30" s="106">
        <f>+E27-E25</f>
        <v>4039421.766133334</v>
      </c>
    </row>
    <row r="32" spans="1:9" x14ac:dyDescent="0.2">
      <c r="A32" s="420" t="s">
        <v>228</v>
      </c>
      <c r="B32" s="419"/>
      <c r="C32" s="419"/>
      <c r="D32" s="419"/>
      <c r="E32" s="419"/>
      <c r="F32" s="419"/>
      <c r="G32" s="419"/>
    </row>
  </sheetData>
  <mergeCells count="4">
    <mergeCell ref="A1:G1"/>
    <mergeCell ref="A2:G2"/>
    <mergeCell ref="A3:G3"/>
    <mergeCell ref="A32:G32"/>
  </mergeCells>
  <printOptions horizontalCentered="1"/>
  <pageMargins left="0.7" right="0.7" top="0.75" bottom="0.75" header="0.3" footer="0.3"/>
  <pageSetup scale="70" orientation="landscape" r:id="rId1"/>
  <headerFooter alignWithMargins="0">
    <oddHeader>&amp;RAdvice No. 2018-xx
Electric Schedule 120 Rate Design Workpapers
Page &amp;P of &amp;N</oddHeader>
    <oddFooter>&amp;L&amp;F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workbookViewId="0">
      <pane xSplit="3" ySplit="4" topLeftCell="D5" activePane="bottomRight" state="frozen"/>
      <selection sqref="A1:XFD1048576"/>
      <selection pane="topRight" sqref="A1:XFD1048576"/>
      <selection pane="bottomLeft" sqref="A1:XFD1048576"/>
      <selection pane="bottomRight" activeCell="M18" sqref="M18"/>
    </sheetView>
  </sheetViews>
  <sheetFormatPr defaultColWidth="9.140625" defaultRowHeight="12.75" x14ac:dyDescent="0.2"/>
  <cols>
    <col min="1" max="1" width="4.42578125" style="6" bestFit="1" customWidth="1"/>
    <col min="2" max="2" width="34.5703125" style="6" bestFit="1" customWidth="1"/>
    <col min="3" max="3" width="11.28515625" style="181" customWidth="1"/>
    <col min="4" max="4" width="15" style="106" bestFit="1" customWidth="1"/>
    <col min="5" max="5" width="17.7109375" style="106" bestFit="1" customWidth="1"/>
    <col min="6" max="7" width="12.28515625" style="6" customWidth="1"/>
    <col min="8" max="9" width="15.5703125" style="106" bestFit="1" customWidth="1"/>
    <col min="10" max="10" width="16" style="6" bestFit="1" customWidth="1"/>
    <col min="11" max="11" width="12.42578125" style="6" customWidth="1"/>
    <col min="12" max="12" width="9.28515625" style="6" customWidth="1"/>
    <col min="13" max="16384" width="9.140625" style="6"/>
  </cols>
  <sheetData>
    <row r="1" spans="1:11" x14ac:dyDescent="0.2">
      <c r="A1" s="182"/>
      <c r="B1" s="25" t="s">
        <v>36</v>
      </c>
      <c r="C1" s="25"/>
      <c r="D1" s="361"/>
      <c r="E1" s="361"/>
      <c r="F1" s="25"/>
      <c r="G1" s="25"/>
      <c r="H1" s="361"/>
      <c r="I1" s="361"/>
      <c r="J1" s="25"/>
      <c r="K1" s="30"/>
    </row>
    <row r="2" spans="1:11" x14ac:dyDescent="0.2">
      <c r="A2" s="54"/>
      <c r="B2" s="7" t="s">
        <v>84</v>
      </c>
      <c r="C2" s="7"/>
      <c r="D2" s="8"/>
      <c r="E2" s="8"/>
      <c r="F2" s="7"/>
      <c r="G2" s="7"/>
      <c r="H2" s="8"/>
      <c r="I2" s="8"/>
      <c r="J2" s="7"/>
      <c r="K2" s="10"/>
    </row>
    <row r="3" spans="1:11" x14ac:dyDescent="0.2">
      <c r="A3" s="54"/>
      <c r="K3" s="45"/>
    </row>
    <row r="4" spans="1:11" s="5" customFormat="1" ht="51" x14ac:dyDescent="0.2">
      <c r="A4" s="308" t="s">
        <v>77</v>
      </c>
      <c r="B4" s="97" t="s">
        <v>0</v>
      </c>
      <c r="C4" s="97" t="s">
        <v>1</v>
      </c>
      <c r="D4" s="93" t="s">
        <v>352</v>
      </c>
      <c r="E4" s="93" t="s">
        <v>353</v>
      </c>
      <c r="F4" s="94" t="s">
        <v>354</v>
      </c>
      <c r="G4" s="94" t="s">
        <v>355</v>
      </c>
      <c r="H4" s="93" t="s">
        <v>243</v>
      </c>
      <c r="I4" s="93" t="s">
        <v>356</v>
      </c>
      <c r="J4" s="94" t="s">
        <v>2</v>
      </c>
      <c r="K4" s="309" t="s">
        <v>3</v>
      </c>
    </row>
    <row r="5" spans="1:11" s="5" customFormat="1" x14ac:dyDescent="0.2">
      <c r="A5" s="310"/>
      <c r="D5" s="4" t="s">
        <v>37</v>
      </c>
      <c r="E5" s="4" t="s">
        <v>38</v>
      </c>
      <c r="F5" s="5" t="s">
        <v>46</v>
      </c>
      <c r="G5" s="5" t="s">
        <v>47</v>
      </c>
      <c r="H5" s="13" t="s">
        <v>48</v>
      </c>
      <c r="I5" s="4" t="s">
        <v>49</v>
      </c>
      <c r="J5" s="5" t="s">
        <v>50</v>
      </c>
      <c r="K5" s="11" t="s">
        <v>51</v>
      </c>
    </row>
    <row r="6" spans="1:11" x14ac:dyDescent="0.2">
      <c r="A6" s="46">
        <v>1</v>
      </c>
      <c r="K6" s="45"/>
    </row>
    <row r="7" spans="1:11" x14ac:dyDescent="0.2">
      <c r="A7" s="46">
        <f>+A6+1</f>
        <v>2</v>
      </c>
      <c r="B7" s="47" t="s">
        <v>4</v>
      </c>
      <c r="C7" s="181">
        <v>7</v>
      </c>
      <c r="D7" s="106">
        <f>+'Proforma - Proposed vs. no 120 '!D7</f>
        <v>10637302000</v>
      </c>
      <c r="E7" s="44">
        <f>+'Proforma - Proposed vs. no 120 '!E7</f>
        <v>1111192000</v>
      </c>
      <c r="F7" s="24">
        <f>+'Effective Rate by Schedule'!BS7</f>
        <v>6.0750000000000005E-3</v>
      </c>
      <c r="G7" s="24">
        <f>ROUND(+'Effective Rate by Schedule'!$BW$7,6)</f>
        <v>4.8599999999999997E-3</v>
      </c>
      <c r="H7" s="44">
        <f>+F7*$D7+$E7</f>
        <v>1175813609.6500001</v>
      </c>
      <c r="I7" s="44">
        <f>+G7*$D7+$E7</f>
        <v>1162889287.72</v>
      </c>
      <c r="J7" s="44">
        <f>+I7-H7</f>
        <v>-12924321.930000067</v>
      </c>
      <c r="K7" s="383">
        <f>IF(H7=0,"n/a",+J7/H7)</f>
        <v>-1.0991811817731213E-2</v>
      </c>
    </row>
    <row r="8" spans="1:11" x14ac:dyDescent="0.2">
      <c r="A8" s="46">
        <f t="shared" ref="A8:A33" si="0">+A7+1</f>
        <v>3</v>
      </c>
      <c r="B8" s="47"/>
      <c r="E8" s="44"/>
      <c r="F8" s="24"/>
      <c r="G8" s="24"/>
      <c r="H8" s="44"/>
      <c r="I8" s="44"/>
      <c r="J8" s="44"/>
      <c r="K8" s="383"/>
    </row>
    <row r="9" spans="1:11" x14ac:dyDescent="0.2">
      <c r="A9" s="46">
        <f t="shared" si="0"/>
        <v>4</v>
      </c>
      <c r="B9" s="48" t="s">
        <v>5</v>
      </c>
      <c r="C9" s="187" t="s">
        <v>244</v>
      </c>
      <c r="D9" s="106">
        <f>+'Proforma - Proposed vs. no 120 '!D9</f>
        <v>3012037000</v>
      </c>
      <c r="E9" s="44">
        <f>+'Proforma - Proposed vs. no 120 '!E9</f>
        <v>307540000</v>
      </c>
      <c r="F9" s="24">
        <f>+'Effective Rate by Schedule'!BS9</f>
        <v>4.6410000000000002E-3</v>
      </c>
      <c r="G9" s="24">
        <f>ROUND(+'Effective Rate by Schedule'!$BW$9,6)</f>
        <v>4.2079999999999999E-3</v>
      </c>
      <c r="H9" s="44">
        <f t="shared" ref="H9:H11" si="1">+F9*$D9+$E9</f>
        <v>321518863.71700001</v>
      </c>
      <c r="I9" s="44">
        <f t="shared" ref="I9:I11" si="2">+G9*$D9+$E9</f>
        <v>320214651.69599998</v>
      </c>
      <c r="J9" s="44">
        <f>+I9-H9</f>
        <v>-1304212.0210000277</v>
      </c>
      <c r="K9" s="383">
        <f>IF(H9=0,"n/a",+J9/H9)</f>
        <v>-4.0564090265882233E-3</v>
      </c>
    </row>
    <row r="10" spans="1:11" x14ac:dyDescent="0.2">
      <c r="A10" s="46">
        <f t="shared" si="0"/>
        <v>5</v>
      </c>
      <c r="B10" s="52" t="s">
        <v>6</v>
      </c>
      <c r="C10" s="187" t="s">
        <v>245</v>
      </c>
      <c r="D10" s="106">
        <f>+'Proforma - Proposed vs. no 120 '!D10</f>
        <v>2993580000</v>
      </c>
      <c r="E10" s="44">
        <f>+'Proforma - Proposed vs. no 120 '!E10</f>
        <v>282440000</v>
      </c>
      <c r="F10" s="24">
        <f>+'Effective Rate by Schedule'!BS10</f>
        <v>4.4990000000000004E-3</v>
      </c>
      <c r="G10" s="24">
        <f>ROUND(+'Effective Rate by Schedule'!$BW$10,6)</f>
        <v>4.2570000000000004E-3</v>
      </c>
      <c r="H10" s="44">
        <f t="shared" si="1"/>
        <v>295908116.42000002</v>
      </c>
      <c r="I10" s="44">
        <f t="shared" si="2"/>
        <v>295183670.06</v>
      </c>
      <c r="J10" s="44">
        <f>+I10-H10</f>
        <v>-724446.36000001431</v>
      </c>
      <c r="K10" s="383">
        <f>IF(H10=0,"n/a",+J10/H10)</f>
        <v>-2.4482138873533447E-3</v>
      </c>
    </row>
    <row r="11" spans="1:11" x14ac:dyDescent="0.2">
      <c r="A11" s="46">
        <f t="shared" si="0"/>
        <v>6</v>
      </c>
      <c r="B11" s="52" t="s">
        <v>7</v>
      </c>
      <c r="C11" s="187" t="s">
        <v>246</v>
      </c>
      <c r="D11" s="106">
        <f>+'Proforma - Proposed vs. no 120 '!D11</f>
        <v>1913788000</v>
      </c>
      <c r="E11" s="44">
        <f>+'Proforma - Proposed vs. no 120 '!E11</f>
        <v>162635000</v>
      </c>
      <c r="F11" s="24">
        <f>+'Effective Rate by Schedule'!BS11</f>
        <v>4.8000000000000004E-3</v>
      </c>
      <c r="G11" s="24">
        <f>ROUND(+'Effective Rate by Schedule'!$BW$11,6)</f>
        <v>4.3249999999999999E-3</v>
      </c>
      <c r="H11" s="44">
        <f t="shared" si="1"/>
        <v>171821182.40000001</v>
      </c>
      <c r="I11" s="44">
        <f t="shared" si="2"/>
        <v>170912133.09999999</v>
      </c>
      <c r="J11" s="44">
        <f>+I11-H11</f>
        <v>-909049.30000001192</v>
      </c>
      <c r="K11" s="383">
        <f>IF(H11=0,"n/a",+J11/H11)</f>
        <v>-5.2906707269872212E-3</v>
      </c>
    </row>
    <row r="12" spans="1:11" x14ac:dyDescent="0.2">
      <c r="A12" s="46">
        <f t="shared" si="0"/>
        <v>7</v>
      </c>
      <c r="B12" s="52" t="s">
        <v>8</v>
      </c>
      <c r="C12" s="181">
        <v>29</v>
      </c>
      <c r="D12" s="106">
        <f>+'Proforma - Proposed vs. no 120 '!D12</f>
        <v>16193000</v>
      </c>
      <c r="E12" s="44">
        <f>+'Proforma - Proposed vs. no 120 '!E12</f>
        <v>1236000</v>
      </c>
      <c r="F12" s="24">
        <f>+'Effective Rate by Schedule'!BS12</f>
        <v>4.5799999999999999E-3</v>
      </c>
      <c r="G12" s="24">
        <f>ROUND(+'Effective Rate by Schedule'!$BW$12,6)</f>
        <v>3.1960000000000001E-3</v>
      </c>
      <c r="H12" s="44">
        <f>+F12*$D12+$E12</f>
        <v>1310163.94</v>
      </c>
      <c r="I12" s="44">
        <f>+G12*$D12+$E12</f>
        <v>1287752.828</v>
      </c>
      <c r="J12" s="44">
        <f>+I12-H12</f>
        <v>-22411.111999999965</v>
      </c>
      <c r="K12" s="383">
        <f>IF(H12=0,"n/a",+J12/H12)</f>
        <v>-1.7105578405706971E-2</v>
      </c>
    </row>
    <row r="13" spans="1:11" x14ac:dyDescent="0.2">
      <c r="A13" s="46">
        <f t="shared" si="0"/>
        <v>8</v>
      </c>
      <c r="B13" s="47"/>
      <c r="E13" s="44"/>
      <c r="F13" s="24"/>
      <c r="G13" s="24"/>
      <c r="H13" s="44"/>
      <c r="I13" s="44"/>
      <c r="J13" s="44"/>
      <c r="K13" s="383"/>
    </row>
    <row r="14" spans="1:11" x14ac:dyDescent="0.2">
      <c r="A14" s="46">
        <f t="shared" si="0"/>
        <v>9</v>
      </c>
      <c r="B14" s="47" t="s">
        <v>9</v>
      </c>
      <c r="D14" s="106">
        <f>SUM(D9:D13)</f>
        <v>7935598000</v>
      </c>
      <c r="E14" s="44">
        <f>SUM(E9:E13)</f>
        <v>753851000</v>
      </c>
      <c r="F14" s="24">
        <f>ROUND(SUMPRODUCT($D9:$D12,F9:F12)/$D14,6)</f>
        <v>4.6259999999999999E-3</v>
      </c>
      <c r="G14" s="24">
        <f>ROUND(SUMPRODUCT($D9:$D12,G9:G12)/$D14,6)</f>
        <v>4.2529999999999998E-3</v>
      </c>
      <c r="H14" s="44">
        <f>SUM(H9:H13)</f>
        <v>790558326.47700012</v>
      </c>
      <c r="I14" s="44">
        <f>SUM(I9:I13)</f>
        <v>787598207.68400002</v>
      </c>
      <c r="J14" s="44">
        <f>SUM(J9:J12)</f>
        <v>-2960118.7930000536</v>
      </c>
      <c r="K14" s="383">
        <f>IF(H14=0,"n/a",+J14/H14)</f>
        <v>-3.7443395305079654E-3</v>
      </c>
    </row>
    <row r="15" spans="1:11" x14ac:dyDescent="0.2">
      <c r="A15" s="46">
        <f t="shared" si="0"/>
        <v>10</v>
      </c>
      <c r="B15" s="47"/>
      <c r="E15" s="44"/>
      <c r="F15" s="24"/>
      <c r="G15" s="24"/>
      <c r="H15" s="44"/>
      <c r="I15" s="44"/>
      <c r="J15" s="44"/>
      <c r="K15" s="383"/>
    </row>
    <row r="16" spans="1:11" x14ac:dyDescent="0.2">
      <c r="A16" s="46">
        <f t="shared" si="0"/>
        <v>11</v>
      </c>
      <c r="B16" s="52" t="s">
        <v>10</v>
      </c>
      <c r="C16" s="187" t="s">
        <v>247</v>
      </c>
      <c r="D16" s="106">
        <f>+'Proforma - Proposed vs. no 120 '!D16</f>
        <v>1316672000</v>
      </c>
      <c r="E16" s="44">
        <f>+'Proforma - Proposed vs. no 120 '!E16</f>
        <v>110312000</v>
      </c>
      <c r="F16" s="24">
        <f>+'Effective Rate by Schedule'!BS14</f>
        <v>4.5519999999999996E-3</v>
      </c>
      <c r="G16" s="24">
        <f>ROUND(+'Effective Rate by Schedule'!$BW$14,6)</f>
        <v>4.1520000000000003E-3</v>
      </c>
      <c r="H16" s="44">
        <f t="shared" ref="H16:H18" si="3">+F16*$D16+$E16</f>
        <v>116305490.94400001</v>
      </c>
      <c r="I16" s="44">
        <f t="shared" ref="I16:I18" si="4">+G16*$D16+$E16</f>
        <v>115778822.14399999</v>
      </c>
      <c r="J16" s="44">
        <f>+I16-H16</f>
        <v>-526668.80000001192</v>
      </c>
      <c r="K16" s="383">
        <f>IF(H16=0,"n/a",+J16/H16)</f>
        <v>-4.5283227449132045E-3</v>
      </c>
    </row>
    <row r="17" spans="1:11" x14ac:dyDescent="0.2">
      <c r="A17" s="46">
        <f t="shared" si="0"/>
        <v>12</v>
      </c>
      <c r="B17" s="52" t="s">
        <v>11</v>
      </c>
      <c r="C17" s="181">
        <v>35</v>
      </c>
      <c r="D17" s="106">
        <f>+'Proforma - Proposed vs. no 120 '!D17</f>
        <v>5161000</v>
      </c>
      <c r="E17" s="44">
        <f>+'Proforma - Proposed vs. no 120 '!E17</f>
        <v>280000</v>
      </c>
      <c r="F17" s="24">
        <f>+'Effective Rate by Schedule'!BS15</f>
        <v>3.1360000000000003E-3</v>
      </c>
      <c r="G17" s="24">
        <f>ROUND(+'Effective Rate by Schedule'!$BW$15,6)</f>
        <v>2.9009999999999999E-3</v>
      </c>
      <c r="H17" s="44">
        <f t="shared" si="3"/>
        <v>296184.89600000001</v>
      </c>
      <c r="I17" s="44">
        <f t="shared" si="4"/>
        <v>294972.06099999999</v>
      </c>
      <c r="J17" s="44">
        <f>+I17-H17</f>
        <v>-1212.835000000021</v>
      </c>
      <c r="K17" s="383">
        <f>IF(H17=0,"n/a",+J17/H17)</f>
        <v>-4.094857693216135E-3</v>
      </c>
    </row>
    <row r="18" spans="1:11" x14ac:dyDescent="0.2">
      <c r="A18" s="46">
        <f t="shared" si="0"/>
        <v>13</v>
      </c>
      <c r="B18" s="52" t="s">
        <v>12</v>
      </c>
      <c r="C18" s="181">
        <v>43</v>
      </c>
      <c r="D18" s="106">
        <f>+'Proforma - Proposed vs. no 120 '!D18</f>
        <v>123190000</v>
      </c>
      <c r="E18" s="44">
        <f>+'Proforma - Proposed vs. no 120 '!E18</f>
        <v>11679000</v>
      </c>
      <c r="F18" s="24">
        <f>+'Effective Rate by Schedule'!BS16</f>
        <v>4.2499999999999994E-3</v>
      </c>
      <c r="G18" s="24">
        <f>ROUND(+'Effective Rate by Schedule'!$BW$16,6)</f>
        <v>3.2989999999999998E-3</v>
      </c>
      <c r="H18" s="44">
        <f t="shared" si="3"/>
        <v>12202557.5</v>
      </c>
      <c r="I18" s="44">
        <f t="shared" si="4"/>
        <v>12085403.810000001</v>
      </c>
      <c r="J18" s="44">
        <f>+I18-H18</f>
        <v>-117153.68999999948</v>
      </c>
      <c r="K18" s="383">
        <f>IF(H18=0,"n/a",+J18/H18)</f>
        <v>-9.600748859409142E-3</v>
      </c>
    </row>
    <row r="19" spans="1:11" x14ac:dyDescent="0.2">
      <c r="A19" s="46">
        <f t="shared" si="0"/>
        <v>14</v>
      </c>
      <c r="B19" s="43"/>
      <c r="E19" s="44"/>
      <c r="F19" s="24"/>
      <c r="G19" s="24"/>
      <c r="H19" s="44"/>
      <c r="I19" s="44"/>
      <c r="J19" s="44"/>
      <c r="K19" s="383"/>
    </row>
    <row r="20" spans="1:11" x14ac:dyDescent="0.2">
      <c r="A20" s="46">
        <f t="shared" si="0"/>
        <v>15</v>
      </c>
      <c r="B20" s="43" t="s">
        <v>13</v>
      </c>
      <c r="D20" s="106">
        <f>SUM(D16:D19)</f>
        <v>1445023000</v>
      </c>
      <c r="E20" s="44">
        <f>SUM(E16:E19)</f>
        <v>122271000</v>
      </c>
      <c r="F20" s="24">
        <f>ROUND(SUMPRODUCT($D16:$D18,F16:F18)/$D20,6)</f>
        <v>4.5209999999999998E-3</v>
      </c>
      <c r="G20" s="24">
        <f>ROUND(SUMPRODUCT($D16:$D18,G16:G18)/$D20,6)</f>
        <v>4.0749999999999996E-3</v>
      </c>
      <c r="H20" s="44">
        <f>SUM(H16:H19)</f>
        <v>128804233.34</v>
      </c>
      <c r="I20" s="44">
        <f>SUM(I16:I19)</f>
        <v>128159198.015</v>
      </c>
      <c r="J20" s="44">
        <f>SUM(J16:J18)</f>
        <v>-645035.32500001136</v>
      </c>
      <c r="K20" s="383">
        <f>IF(H20=0,"n/a",+J20/H20)</f>
        <v>-5.0078736410575442E-3</v>
      </c>
    </row>
    <row r="21" spans="1:11" x14ac:dyDescent="0.2">
      <c r="A21" s="46">
        <f t="shared" si="0"/>
        <v>16</v>
      </c>
      <c r="B21" s="43"/>
      <c r="E21" s="44"/>
      <c r="F21" s="24"/>
      <c r="G21" s="24"/>
      <c r="H21" s="44"/>
      <c r="I21" s="44"/>
      <c r="J21" s="44"/>
      <c r="K21" s="383"/>
    </row>
    <row r="22" spans="1:11" x14ac:dyDescent="0.2">
      <c r="A22" s="46">
        <f t="shared" si="0"/>
        <v>17</v>
      </c>
      <c r="B22" s="43" t="s">
        <v>62</v>
      </c>
      <c r="C22" s="181">
        <v>40</v>
      </c>
      <c r="D22" s="106">
        <f>+'Proforma - Proposed vs. no 120 '!D22</f>
        <v>679072000</v>
      </c>
      <c r="E22" s="44">
        <f>+'Proforma - Proposed vs. no 120 '!E22</f>
        <v>52535000</v>
      </c>
      <c r="F22" s="24">
        <f>+'Effective Rate by Schedule'!BS18</f>
        <v>5.1419999999999999E-3</v>
      </c>
      <c r="G22" s="24">
        <f>ROUND(+'Effective Rate by Schedule'!BW18,6)</f>
        <v>3.79E-3</v>
      </c>
      <c r="H22" s="44">
        <f>+F22*$D22+$E22</f>
        <v>56026788.223999999</v>
      </c>
      <c r="I22" s="44">
        <f>+G22*$D22+$E22</f>
        <v>55108682.880000003</v>
      </c>
      <c r="J22" s="44">
        <f>+I22-H22</f>
        <v>-918105.34399999678</v>
      </c>
      <c r="K22" s="383">
        <f>IF(H22=0,"n/a",+J22/H22)</f>
        <v>-1.6386899429775115E-2</v>
      </c>
    </row>
    <row r="23" spans="1:11" x14ac:dyDescent="0.2">
      <c r="A23" s="46">
        <f t="shared" si="0"/>
        <v>18</v>
      </c>
      <c r="B23" s="43"/>
      <c r="E23" s="44"/>
      <c r="F23" s="24"/>
      <c r="G23" s="24"/>
      <c r="H23" s="44"/>
      <c r="I23" s="44"/>
      <c r="J23" s="44"/>
      <c r="K23" s="383"/>
    </row>
    <row r="24" spans="1:11" x14ac:dyDescent="0.2">
      <c r="A24" s="46">
        <f t="shared" si="0"/>
        <v>19</v>
      </c>
      <c r="B24" s="52" t="s">
        <v>14</v>
      </c>
      <c r="C24" s="181">
        <v>46</v>
      </c>
      <c r="D24" s="106">
        <f>+'Proforma - Proposed vs. no 120 '!D24</f>
        <v>72776000</v>
      </c>
      <c r="E24" s="44">
        <f>+'Proforma - Proposed vs. no 120 '!E24</f>
        <v>5157000</v>
      </c>
      <c r="F24" s="24">
        <f>+'Effective Rate by Schedule'!BS23</f>
        <v>2.9170000000000003E-3</v>
      </c>
      <c r="G24" s="24">
        <f>ROUND(+'Effective Rate by Schedule'!$BW$23,6)</f>
        <v>2.6159999999999998E-3</v>
      </c>
      <c r="H24" s="44">
        <f t="shared" ref="H24:H25" si="5">+F24*$D24+$E24</f>
        <v>5369287.5920000002</v>
      </c>
      <c r="I24" s="44">
        <f t="shared" ref="I24:I25" si="6">+G24*$D24+$E24</f>
        <v>5347382.0159999998</v>
      </c>
      <c r="J24" s="44">
        <f>+I24-H24</f>
        <v>-21905.57600000035</v>
      </c>
      <c r="K24" s="383">
        <f>IF(H24=0,"n/a",+J24/H24)</f>
        <v>-4.0797918950437086E-3</v>
      </c>
    </row>
    <row r="25" spans="1:11" x14ac:dyDescent="0.2">
      <c r="A25" s="46">
        <f t="shared" si="0"/>
        <v>20</v>
      </c>
      <c r="B25" s="48" t="s">
        <v>15</v>
      </c>
      <c r="C25" s="181">
        <v>49</v>
      </c>
      <c r="D25" s="106">
        <f>+'Proforma - Proposed vs. no 120 '!D25</f>
        <v>584007000</v>
      </c>
      <c r="E25" s="44">
        <f>+'Proforma - Proposed vs. no 120 '!E25</f>
        <v>40025000</v>
      </c>
      <c r="F25" s="24">
        <f>+'Effective Rate by Schedule'!BS24</f>
        <v>4.4260000000000002E-3</v>
      </c>
      <c r="G25" s="24">
        <f>ROUND(+'Effective Rate by Schedule'!$BW$24,6)</f>
        <v>3.9039999999999999E-3</v>
      </c>
      <c r="H25" s="44">
        <f t="shared" si="5"/>
        <v>42609814.982000001</v>
      </c>
      <c r="I25" s="44">
        <f t="shared" si="6"/>
        <v>42304963.328000002</v>
      </c>
      <c r="J25" s="44">
        <f>+I25-H25</f>
        <v>-304851.65399999917</v>
      </c>
      <c r="K25" s="383">
        <f>IF(H25=0,"n/a",+J25/H25)</f>
        <v>-7.1544937270621818E-3</v>
      </c>
    </row>
    <row r="26" spans="1:11" x14ac:dyDescent="0.2">
      <c r="A26" s="46">
        <f t="shared" si="0"/>
        <v>21</v>
      </c>
      <c r="B26" s="47"/>
      <c r="E26" s="44"/>
      <c r="F26" s="24"/>
      <c r="G26" s="24"/>
      <c r="H26" s="44"/>
      <c r="I26" s="44"/>
      <c r="J26" s="44"/>
      <c r="K26" s="383"/>
    </row>
    <row r="27" spans="1:11" x14ac:dyDescent="0.2">
      <c r="A27" s="46">
        <f t="shared" si="0"/>
        <v>22</v>
      </c>
      <c r="B27" s="47" t="s">
        <v>16</v>
      </c>
      <c r="D27" s="106">
        <f>SUM(D24:D26)</f>
        <v>656783000</v>
      </c>
      <c r="E27" s="44">
        <f>SUM(E24:E26)</f>
        <v>45182000</v>
      </c>
      <c r="F27" s="24">
        <f>ROUND(SUMPRODUCT($D24:$D25,F24:F25)/$D27,6)</f>
        <v>4.2589999999999998E-3</v>
      </c>
      <c r="G27" s="24">
        <f>ROUND(SUMPRODUCT($D24:$D25,G24:G25)/$D27,6)</f>
        <v>3.761E-3</v>
      </c>
      <c r="H27" s="106">
        <f>SUM(H24:H26)</f>
        <v>47979102.574000001</v>
      </c>
      <c r="I27" s="106">
        <f>SUM(I24:I26)</f>
        <v>47652345.344000004</v>
      </c>
      <c r="J27" s="44">
        <f>SUM(J24:J26)</f>
        <v>-326757.22999999952</v>
      </c>
      <c r="K27" s="383">
        <f>IF(H27=0,"n/a",+J27/H27)</f>
        <v>-6.810407291299986E-3</v>
      </c>
    </row>
    <row r="28" spans="1:11" x14ac:dyDescent="0.2">
      <c r="A28" s="46">
        <f t="shared" si="0"/>
        <v>23</v>
      </c>
      <c r="B28" s="47"/>
      <c r="E28" s="44"/>
      <c r="F28" s="24"/>
      <c r="G28" s="24"/>
      <c r="J28" s="44"/>
      <c r="K28" s="383"/>
    </row>
    <row r="29" spans="1:11" x14ac:dyDescent="0.2">
      <c r="A29" s="46">
        <f t="shared" si="0"/>
        <v>24</v>
      </c>
      <c r="B29" s="47" t="s">
        <v>274</v>
      </c>
      <c r="C29" s="181" t="s">
        <v>23</v>
      </c>
      <c r="D29" s="106">
        <f>+'Proforma - Proposed vs. no 120 '!D29</f>
        <v>2088697000</v>
      </c>
      <c r="E29" s="44">
        <f>+'Proforma - Proposed vs. no 120 '!E29</f>
        <v>9141000</v>
      </c>
      <c r="F29" s="24">
        <f>+'Effective Rate by Schedule'!BS26</f>
        <v>1.0820000000000001E-3</v>
      </c>
      <c r="G29" s="24">
        <f>ROUND(+'Effective Rate by Schedule'!$BW$26,6)</f>
        <v>1.047E-3</v>
      </c>
      <c r="H29" s="44">
        <f>+F29*$D29+$E29</f>
        <v>11400970.153999999</v>
      </c>
      <c r="I29" s="44">
        <f>+G29*$D29+$E29</f>
        <v>11327865.759</v>
      </c>
      <c r="J29" s="44">
        <f>+I29-H29</f>
        <v>-73104.394999999553</v>
      </c>
      <c r="K29" s="383">
        <f>IF(H29=0,"n/a",+J29/H29)</f>
        <v>-6.4121205487369052E-3</v>
      </c>
    </row>
    <row r="30" spans="1:11" x14ac:dyDescent="0.2">
      <c r="A30" s="46">
        <f t="shared" si="0"/>
        <v>25</v>
      </c>
      <c r="E30" s="44"/>
      <c r="F30" s="24"/>
      <c r="G30" s="24"/>
      <c r="H30" s="44"/>
      <c r="I30" s="44"/>
      <c r="J30" s="44"/>
      <c r="K30" s="383"/>
    </row>
    <row r="31" spans="1:11" x14ac:dyDescent="0.2">
      <c r="A31" s="46">
        <f t="shared" si="0"/>
        <v>26</v>
      </c>
      <c r="B31" s="6" t="s">
        <v>17</v>
      </c>
      <c r="C31" s="187" t="s">
        <v>114</v>
      </c>
      <c r="D31" s="106">
        <f>+'Proforma - Proposed vs. no 120 '!D31</f>
        <v>76506000</v>
      </c>
      <c r="E31" s="44">
        <f>+'Proforma - Proposed vs. no 120 '!E31</f>
        <v>19539000</v>
      </c>
      <c r="F31" s="24">
        <f>+'Effective Rate by Schedule'!BS28</f>
        <v>6.2750000000000002E-3</v>
      </c>
      <c r="G31" s="24">
        <f>ROUND(+'Effective Rate by Schedule'!$BW$28,6)</f>
        <v>4.5710000000000004E-3</v>
      </c>
      <c r="H31" s="44">
        <f>+F31*$D31+$E31</f>
        <v>20019075.149999999</v>
      </c>
      <c r="I31" s="44">
        <f>+G31*$D31+$E31</f>
        <v>19888708.925999999</v>
      </c>
      <c r="J31" s="44">
        <f>+I31-H31</f>
        <v>-130366.22399999946</v>
      </c>
      <c r="K31" s="383">
        <f>IF(H31=0,"n/a",+J31/H31)</f>
        <v>-6.5121002355595569E-3</v>
      </c>
    </row>
    <row r="32" spans="1:11" x14ac:dyDescent="0.2">
      <c r="A32" s="46">
        <f t="shared" si="0"/>
        <v>27</v>
      </c>
      <c r="E32" s="44"/>
      <c r="F32" s="24"/>
      <c r="G32" s="24"/>
      <c r="H32" s="44"/>
      <c r="I32" s="44"/>
      <c r="J32" s="44"/>
      <c r="K32" s="383"/>
    </row>
    <row r="33" spans="1:11" x14ac:dyDescent="0.2">
      <c r="A33" s="46">
        <f t="shared" si="0"/>
        <v>28</v>
      </c>
      <c r="B33" s="47" t="s">
        <v>19</v>
      </c>
      <c r="D33" s="106">
        <f>SUM(D7,D14,D20,D22,D27,D29,D31)</f>
        <v>23518981000</v>
      </c>
      <c r="E33" s="44">
        <f>SUM(E7,E14,E20,E22,E27,E29,E31)</f>
        <v>2113711000</v>
      </c>
      <c r="F33" s="24">
        <f>ROUND(($D7*F7+$D14*F14+$D20*F20+$D22*F22+$D27*F27+$D29*F29+$D31*F31)/$D33,6)</f>
        <v>4.9699999999999996E-3</v>
      </c>
      <c r="G33" s="24">
        <f>ROUND(($D7*G7+$D14*G14+$D20*G20+$D22*G22+$D27*G27+$D29*G29+$D31*G31)/$D33,6)</f>
        <v>4.2059999999999997E-3</v>
      </c>
      <c r="H33" s="44">
        <f>SUM(H31,H27,H22,H20,H14,H7)</f>
        <v>2219201135.415</v>
      </c>
      <c r="I33" s="44">
        <f>SUM(I31,I27,I22,I20,I14,I7)</f>
        <v>2201296430.5690002</v>
      </c>
      <c r="J33" s="44">
        <f>SUM(J31,J27,J22,J20,J14,J7)</f>
        <v>-17904704.846000127</v>
      </c>
      <c r="K33" s="383">
        <f>IF(H33=0,"n/a",+J33/H33)</f>
        <v>-8.0680856549092701E-3</v>
      </c>
    </row>
    <row r="34" spans="1:11" ht="13.5" thickBot="1" x14ac:dyDescent="0.25">
      <c r="A34" s="108"/>
      <c r="B34" s="109"/>
      <c r="C34" s="195"/>
      <c r="D34" s="312"/>
      <c r="E34" s="312"/>
      <c r="F34" s="384"/>
      <c r="G34" s="109"/>
      <c r="H34" s="312"/>
      <c r="I34" s="312"/>
      <c r="J34" s="109"/>
      <c r="K34" s="110"/>
    </row>
    <row r="36" spans="1:11" x14ac:dyDescent="0.2">
      <c r="B36" s="394" t="s">
        <v>637</v>
      </c>
      <c r="C36" s="394"/>
      <c r="D36" s="394"/>
      <c r="E36" s="394"/>
      <c r="F36" s="394"/>
      <c r="G36" s="394"/>
      <c r="H36" s="394"/>
      <c r="I36" s="394"/>
      <c r="J36" s="394"/>
      <c r="K36" s="394"/>
    </row>
    <row r="37" spans="1:11" x14ac:dyDescent="0.2">
      <c r="B37" s="395"/>
      <c r="C37" s="395"/>
      <c r="D37" s="395"/>
      <c r="E37" s="395"/>
      <c r="F37" s="395"/>
      <c r="G37" s="395"/>
      <c r="H37" s="395"/>
      <c r="I37" s="395"/>
      <c r="J37" s="395"/>
      <c r="K37" s="395"/>
    </row>
  </sheetData>
  <mergeCells count="2">
    <mergeCell ref="B36:K36"/>
    <mergeCell ref="B37:K37"/>
  </mergeCells>
  <phoneticPr fontId="4" type="noConversion"/>
  <printOptions horizontalCentered="1"/>
  <pageMargins left="0.7" right="0.7" top="0.75" bottom="0.75" header="0.3" footer="0.3"/>
  <pageSetup scale="74" orientation="landscape" r:id="rId1"/>
  <headerFooter alignWithMargins="0">
    <oddHeader>&amp;RAdvice No. 2018-xx
Electric Schedule 120 Rate Design Workpapers
Page &amp;P of &amp;N</oddHeader>
    <oddFooter>&amp;L&amp;F
&amp;A&amp;R&amp;D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4"/>
  <sheetViews>
    <sheetView workbookViewId="0">
      <pane xSplit="3" ySplit="4" topLeftCell="D14"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4.42578125" style="6" bestFit="1" customWidth="1"/>
    <col min="2" max="2" width="32.7109375" style="6" customWidth="1"/>
    <col min="3" max="3" width="11" style="181" bestFit="1" customWidth="1"/>
    <col min="4" max="4" width="15" style="106" bestFit="1" customWidth="1"/>
    <col min="5" max="5" width="17.7109375" style="106" bestFit="1" customWidth="1"/>
    <col min="6" max="6" width="12.28515625" style="6" customWidth="1"/>
    <col min="7" max="7" width="15.42578125" style="106" bestFit="1" customWidth="1"/>
    <col min="8" max="8" width="13.5703125" style="6" bestFit="1" customWidth="1"/>
    <col min="9" max="9" width="11.28515625" style="6" bestFit="1" customWidth="1"/>
    <col min="10" max="10" width="3.28515625" style="6" customWidth="1"/>
    <col min="11" max="11" width="12.28515625" style="6" bestFit="1" customWidth="1"/>
    <col min="12" max="12" width="13.5703125" style="6" bestFit="1" customWidth="1"/>
    <col min="13" max="13" width="13.42578125" style="6" bestFit="1" customWidth="1"/>
    <col min="14" max="14" width="12.85546875" style="6" bestFit="1" customWidth="1"/>
    <col min="15" max="16384" width="9.140625" style="6"/>
  </cols>
  <sheetData>
    <row r="1" spans="1:14" x14ac:dyDescent="0.2">
      <c r="A1" s="182"/>
      <c r="B1" s="25" t="s">
        <v>357</v>
      </c>
      <c r="C1" s="25"/>
      <c r="D1" s="361"/>
      <c r="E1" s="361"/>
      <c r="F1" s="25"/>
      <c r="G1" s="361"/>
      <c r="H1" s="25"/>
      <c r="I1" s="30"/>
    </row>
    <row r="2" spans="1:14" x14ac:dyDescent="0.2">
      <c r="A2" s="54"/>
      <c r="B2" s="7" t="s">
        <v>93</v>
      </c>
      <c r="C2" s="7"/>
      <c r="D2" s="8"/>
      <c r="E2" s="8"/>
      <c r="F2" s="7"/>
      <c r="G2" s="8"/>
      <c r="H2" s="7"/>
      <c r="I2" s="10"/>
    </row>
    <row r="3" spans="1:14" x14ac:dyDescent="0.2">
      <c r="A3" s="54"/>
      <c r="I3" s="45"/>
      <c r="K3" s="396" t="s">
        <v>146</v>
      </c>
      <c r="L3" s="396"/>
      <c r="M3" s="396"/>
      <c r="N3" s="396"/>
    </row>
    <row r="4" spans="1:14" s="5" customFormat="1" ht="63.75" x14ac:dyDescent="0.2">
      <c r="A4" s="308" t="s">
        <v>77</v>
      </c>
      <c r="B4" s="97" t="s">
        <v>0</v>
      </c>
      <c r="C4" s="97" t="s">
        <v>1</v>
      </c>
      <c r="D4" s="93" t="str">
        <f>+'Proforma - Proposed  Revenue'!D4</f>
        <v>F2017
Delivered kWh
05/18 to 04/19</v>
      </c>
      <c r="E4" s="93" t="str">
        <f>+'Proforma - Proposed  Revenue'!E4</f>
        <v>Projected
Revenue
05/18 to 04/19
(Note 1)</v>
      </c>
      <c r="F4" s="94" t="s">
        <v>358</v>
      </c>
      <c r="G4" s="93" t="s">
        <v>356</v>
      </c>
      <c r="H4" s="94" t="s">
        <v>94</v>
      </c>
      <c r="I4" s="378" t="s">
        <v>95</v>
      </c>
      <c r="K4" s="5" t="s">
        <v>155</v>
      </c>
      <c r="L4" s="5" t="s">
        <v>156</v>
      </c>
      <c r="M4" s="3" t="s">
        <v>359</v>
      </c>
      <c r="N4" s="3" t="s">
        <v>360</v>
      </c>
    </row>
    <row r="5" spans="1:14" s="5" customFormat="1" x14ac:dyDescent="0.2">
      <c r="A5" s="310"/>
      <c r="D5" s="4" t="s">
        <v>37</v>
      </c>
      <c r="E5" s="4" t="s">
        <v>38</v>
      </c>
      <c r="F5" s="5" t="s">
        <v>46</v>
      </c>
      <c r="G5" s="4" t="s">
        <v>52</v>
      </c>
      <c r="H5" s="5" t="s">
        <v>53</v>
      </c>
      <c r="I5" s="11" t="s">
        <v>54</v>
      </c>
      <c r="K5" s="5" t="s">
        <v>154</v>
      </c>
      <c r="L5" s="3" t="s">
        <v>166</v>
      </c>
      <c r="M5" s="5" t="s">
        <v>57</v>
      </c>
      <c r="N5" s="5" t="s">
        <v>78</v>
      </c>
    </row>
    <row r="6" spans="1:14" x14ac:dyDescent="0.2">
      <c r="A6" s="46">
        <v>1</v>
      </c>
      <c r="I6" s="45"/>
    </row>
    <row r="7" spans="1:14" x14ac:dyDescent="0.2">
      <c r="A7" s="46">
        <f>+A6+1</f>
        <v>2</v>
      </c>
      <c r="B7" s="47" t="s">
        <v>4</v>
      </c>
      <c r="C7" s="181">
        <v>7</v>
      </c>
      <c r="D7" s="106">
        <f>+'Effective Rate by Schedule'!D7</f>
        <v>10637302000</v>
      </c>
      <c r="E7" s="44">
        <f>+'Effective Rate by Schedule'!E7</f>
        <v>1111192000</v>
      </c>
      <c r="F7" s="24">
        <f>+'Effective Rate by Schedule'!BW7</f>
        <v>4.8599999999999997E-3</v>
      </c>
      <c r="G7" s="44">
        <f>+F7*$D7+$E7</f>
        <v>1162889287.72</v>
      </c>
      <c r="H7" s="44">
        <f>+G7-E7</f>
        <v>51697287.720000029</v>
      </c>
      <c r="I7" s="379">
        <f>IF(E7=0,"n/a",+H7/E7)</f>
        <v>4.6524171988279281E-2</v>
      </c>
      <c r="K7" s="44">
        <f>+L7-H7</f>
        <v>-1124.4279757514596</v>
      </c>
      <c r="L7" s="44">
        <f>SUM(M7:N7)</f>
        <v>51696163.292024277</v>
      </c>
      <c r="M7" s="44">
        <f>+'Peak Credit Budget 2018'!$J$6</f>
        <v>51721354.118301123</v>
      </c>
      <c r="N7" s="44">
        <f>'Peak Credit Budget 2017'!J6</f>
        <v>-25190.82627684985</v>
      </c>
    </row>
    <row r="8" spans="1:14" x14ac:dyDescent="0.2">
      <c r="A8" s="46">
        <f t="shared" ref="A8:A33" si="0">+A7+1</f>
        <v>3</v>
      </c>
      <c r="B8" s="47"/>
      <c r="E8" s="44"/>
      <c r="F8" s="24"/>
      <c r="G8" s="44"/>
      <c r="H8" s="44"/>
      <c r="I8" s="379"/>
    </row>
    <row r="9" spans="1:14" x14ac:dyDescent="0.2">
      <c r="A9" s="46">
        <f t="shared" si="0"/>
        <v>4</v>
      </c>
      <c r="B9" s="48" t="s">
        <v>5</v>
      </c>
      <c r="C9" s="187" t="s">
        <v>244</v>
      </c>
      <c r="D9" s="106">
        <f>+'Effective Rate by Schedule'!D9</f>
        <v>3012037000</v>
      </c>
      <c r="E9" s="44">
        <f>+'Effective Rate by Schedule'!E9</f>
        <v>307540000</v>
      </c>
      <c r="F9" s="24">
        <f>+'Effective Rate by Schedule'!BW9</f>
        <v>4.2079999999999999E-3</v>
      </c>
      <c r="G9" s="44">
        <f t="shared" ref="G9:G12" si="1">+F9*$D9+$E9</f>
        <v>320214651.69599998</v>
      </c>
      <c r="H9" s="44">
        <f>+G9-E9</f>
        <v>12674651.69599998</v>
      </c>
      <c r="I9" s="380">
        <f>IF(E9=0,"n/a",+H9/E9)</f>
        <v>4.1213018456135724E-2</v>
      </c>
      <c r="K9" s="44">
        <f>+L9-H9</f>
        <v>-359.30680205859244</v>
      </c>
      <c r="L9" s="44">
        <f t="shared" ref="L9:L12" si="2">SUM(M9:N9)</f>
        <v>12674292.389197921</v>
      </c>
      <c r="M9" s="44">
        <f>+'Peak Credit Budget 2018'!J7</f>
        <v>12679975.173487972</v>
      </c>
      <c r="N9" s="44">
        <f>'Peak Credit Budget 2017'!J7</f>
        <v>-5682.7842900506394</v>
      </c>
    </row>
    <row r="10" spans="1:14" x14ac:dyDescent="0.2">
      <c r="A10" s="46">
        <f t="shared" si="0"/>
        <v>5</v>
      </c>
      <c r="B10" s="52" t="s">
        <v>6</v>
      </c>
      <c r="C10" s="187" t="s">
        <v>245</v>
      </c>
      <c r="D10" s="106">
        <f>+'Effective Rate by Schedule'!D10</f>
        <v>2993580000</v>
      </c>
      <c r="E10" s="44">
        <f>+'Effective Rate by Schedule'!E10</f>
        <v>282440000</v>
      </c>
      <c r="F10" s="24">
        <f>+'Effective Rate by Schedule'!BW10</f>
        <v>4.2569999999999995E-3</v>
      </c>
      <c r="G10" s="44">
        <f t="shared" si="1"/>
        <v>295183670.06</v>
      </c>
      <c r="H10" s="44">
        <f>+G10-E10</f>
        <v>12743670.060000002</v>
      </c>
      <c r="I10" s="380">
        <f>IF(E10=0,"n/a",+H10/E10)</f>
        <v>4.5119919487324751E-2</v>
      </c>
      <c r="K10" s="44">
        <f>+L10-H10</f>
        <v>1222.8534473460168</v>
      </c>
      <c r="L10" s="44">
        <f t="shared" si="2"/>
        <v>12744892.913447348</v>
      </c>
      <c r="M10" s="44">
        <f>+'Peak Credit Budget 2018'!J8</f>
        <v>12750685.72027806</v>
      </c>
      <c r="N10" s="44">
        <f>'Peak Credit Budget 2017'!J8</f>
        <v>-5792.8068307117428</v>
      </c>
    </row>
    <row r="11" spans="1:14" x14ac:dyDescent="0.2">
      <c r="A11" s="46">
        <f t="shared" si="0"/>
        <v>6</v>
      </c>
      <c r="B11" s="52" t="s">
        <v>7</v>
      </c>
      <c r="C11" s="187" t="s">
        <v>246</v>
      </c>
      <c r="D11" s="106">
        <f>+'Effective Rate by Schedule'!D11</f>
        <v>1913788000</v>
      </c>
      <c r="E11" s="44">
        <f>+'Effective Rate by Schedule'!E11</f>
        <v>162635000</v>
      </c>
      <c r="F11" s="24">
        <f>+'Effective Rate by Schedule'!BW11</f>
        <v>4.3249999999999999E-3</v>
      </c>
      <c r="G11" s="44">
        <f t="shared" si="1"/>
        <v>170912133.09999999</v>
      </c>
      <c r="H11" s="44">
        <f>+G11-E11</f>
        <v>8277133.099999994</v>
      </c>
      <c r="I11" s="380">
        <f>IF(E11=0,"n/a",+H11/E11)</f>
        <v>5.0893922587388903E-2</v>
      </c>
      <c r="K11" s="44">
        <f>+L11-H11</f>
        <v>-955.99238354153931</v>
      </c>
      <c r="L11" s="44">
        <f t="shared" si="2"/>
        <v>8276177.1076164525</v>
      </c>
      <c r="M11" s="44">
        <f>+'Peak Credit Budget 2018'!J9</f>
        <v>8280055.7770304345</v>
      </c>
      <c r="N11" s="44">
        <f>'Peak Credit Budget 2017'!J9</f>
        <v>-3878.6694139819042</v>
      </c>
    </row>
    <row r="12" spans="1:14" x14ac:dyDescent="0.2">
      <c r="A12" s="46">
        <f t="shared" si="0"/>
        <v>7</v>
      </c>
      <c r="B12" s="52" t="s">
        <v>8</v>
      </c>
      <c r="C12" s="181">
        <v>29</v>
      </c>
      <c r="D12" s="106">
        <f>+'Effective Rate by Schedule'!D12</f>
        <v>16193000</v>
      </c>
      <c r="E12" s="44">
        <f>+'Effective Rate by Schedule'!E12</f>
        <v>1236000</v>
      </c>
      <c r="F12" s="24">
        <f>+'Effective Rate by Schedule'!BW12</f>
        <v>3.1960000000000001E-3</v>
      </c>
      <c r="G12" s="44">
        <f t="shared" si="1"/>
        <v>1287752.828</v>
      </c>
      <c r="H12" s="44">
        <f>+G12-E12</f>
        <v>51752.82799999998</v>
      </c>
      <c r="I12" s="380">
        <f>IF(E12=0,"n/a",+H12/E12)</f>
        <v>4.18712200647249E-2</v>
      </c>
      <c r="K12" s="44">
        <f>+L12-H12</f>
        <v>-3.728999080543872</v>
      </c>
      <c r="L12" s="44">
        <f t="shared" si="2"/>
        <v>51749.099000919436</v>
      </c>
      <c r="M12" s="44">
        <f>+'Peak Credit Budget 2018'!$J$10</f>
        <v>51777.906299356924</v>
      </c>
      <c r="N12" s="44">
        <f>'Peak Credit Budget 2017'!J10</f>
        <v>-28.807298437485368</v>
      </c>
    </row>
    <row r="13" spans="1:14" x14ac:dyDescent="0.2">
      <c r="A13" s="46">
        <f t="shared" si="0"/>
        <v>8</v>
      </c>
      <c r="B13" s="47"/>
      <c r="E13" s="44"/>
      <c r="F13" s="24"/>
      <c r="G13" s="44"/>
      <c r="H13" s="44"/>
      <c r="I13" s="379"/>
    </row>
    <row r="14" spans="1:14" x14ac:dyDescent="0.2">
      <c r="A14" s="46">
        <f t="shared" si="0"/>
        <v>9</v>
      </c>
      <c r="B14" s="47" t="s">
        <v>9</v>
      </c>
      <c r="D14" s="106">
        <f>SUM(D9:D13)</f>
        <v>7935598000</v>
      </c>
      <c r="E14" s="44">
        <f>SUM(E9:E13)</f>
        <v>753851000</v>
      </c>
      <c r="F14" s="24">
        <f>ROUND(SUMPRODUCT($D9:$D12,F9:F12)/$D14,6)</f>
        <v>4.2529999999999998E-3</v>
      </c>
      <c r="G14" s="44">
        <f>SUM(G9:G13)</f>
        <v>787598207.68400002</v>
      </c>
      <c r="H14" s="44">
        <f>SUM(H9:H12)</f>
        <v>33747207.683999978</v>
      </c>
      <c r="I14" s="380">
        <f>IF(E14=0,"n/a",+H14/E14)</f>
        <v>4.4766416286507515E-2</v>
      </c>
    </row>
    <row r="15" spans="1:14" x14ac:dyDescent="0.2">
      <c r="A15" s="46">
        <f t="shared" si="0"/>
        <v>10</v>
      </c>
      <c r="B15" s="47"/>
      <c r="E15" s="44"/>
      <c r="F15" s="24"/>
      <c r="G15" s="44"/>
      <c r="H15" s="44"/>
      <c r="I15" s="379"/>
    </row>
    <row r="16" spans="1:14" x14ac:dyDescent="0.2">
      <c r="A16" s="46">
        <f t="shared" si="0"/>
        <v>11</v>
      </c>
      <c r="B16" s="52" t="s">
        <v>10</v>
      </c>
      <c r="C16" s="187" t="s">
        <v>247</v>
      </c>
      <c r="D16" s="106">
        <f>+'Effective Rate by Schedule'!D14</f>
        <v>1316672000</v>
      </c>
      <c r="E16" s="44">
        <f>+'Effective Rate by Schedule'!E14</f>
        <v>110312000</v>
      </c>
      <c r="F16" s="24">
        <f>+'Effective Rate by Schedule'!BW14</f>
        <v>4.1519999999999994E-3</v>
      </c>
      <c r="G16" s="44">
        <f t="shared" ref="G16:G18" si="3">+F16*$D16+$E16</f>
        <v>115778822.14399999</v>
      </c>
      <c r="H16" s="44">
        <f>+G16-E16</f>
        <v>5466822.1439999938</v>
      </c>
      <c r="I16" s="380">
        <f>IF(E16=0,"n/a",+H16/E16)</f>
        <v>4.955781913119147E-2</v>
      </c>
      <c r="K16" s="44">
        <f>+L16-H16</f>
        <v>430.83906485326588</v>
      </c>
      <c r="L16" s="44">
        <f>SUM(M16:N16)</f>
        <v>5467252.9830648471</v>
      </c>
      <c r="M16" s="44">
        <f>+'Peak Credit Budget 2018'!J11</f>
        <v>5469747.9897032222</v>
      </c>
      <c r="N16" s="44">
        <f>'Peak Credit Budget 2017'!J11</f>
        <v>-2495.0066383746575</v>
      </c>
    </row>
    <row r="17" spans="1:14" x14ac:dyDescent="0.2">
      <c r="A17" s="46">
        <f t="shared" si="0"/>
        <v>12</v>
      </c>
      <c r="B17" s="52" t="s">
        <v>11</v>
      </c>
      <c r="C17" s="181">
        <v>35</v>
      </c>
      <c r="D17" s="106">
        <f>+'Effective Rate by Schedule'!D15</f>
        <v>5161000</v>
      </c>
      <c r="E17" s="44">
        <f>+'Effective Rate by Schedule'!E15</f>
        <v>280000</v>
      </c>
      <c r="F17" s="24">
        <f>+'Effective Rate by Schedule'!BW15</f>
        <v>2.9009999999999999E-3</v>
      </c>
      <c r="G17" s="44">
        <f t="shared" si="3"/>
        <v>294972.06099999999</v>
      </c>
      <c r="H17" s="44">
        <f>+G17-E17</f>
        <v>14972.060999999987</v>
      </c>
      <c r="I17" s="380">
        <f>IF(E17=0,"n/a",+H17/E17)</f>
        <v>5.3471646428571384E-2</v>
      </c>
      <c r="K17" s="44">
        <f>+L17-H17</f>
        <v>-3.2179145908539795</v>
      </c>
      <c r="L17" s="44">
        <f>SUM(M17:N17)</f>
        <v>14968.843085409133</v>
      </c>
      <c r="M17" s="44">
        <f>+'Peak Credit Budget 2018'!J12</f>
        <v>14975.505639906567</v>
      </c>
      <c r="N17" s="44">
        <f>'Peak Credit Budget 2017'!J12</f>
        <v>-6.6625544974341917</v>
      </c>
    </row>
    <row r="18" spans="1:14" x14ac:dyDescent="0.2">
      <c r="A18" s="46">
        <f t="shared" si="0"/>
        <v>13</v>
      </c>
      <c r="B18" s="52" t="s">
        <v>12</v>
      </c>
      <c r="C18" s="181">
        <v>43</v>
      </c>
      <c r="D18" s="106">
        <f>+'Effective Rate by Schedule'!D16</f>
        <v>123190000</v>
      </c>
      <c r="E18" s="44">
        <f>+'Effective Rate by Schedule'!E16</f>
        <v>11679000</v>
      </c>
      <c r="F18" s="24">
        <f>+'Effective Rate by Schedule'!BW16</f>
        <v>3.2990000000000003E-3</v>
      </c>
      <c r="G18" s="44">
        <f t="shared" si="3"/>
        <v>12085403.810000001</v>
      </c>
      <c r="H18" s="44">
        <f>+G18-E18</f>
        <v>406403.81000000052</v>
      </c>
      <c r="I18" s="380">
        <f>IF(E18=0,"n/a",+H18/E18)</f>
        <v>3.4797826012501115E-2</v>
      </c>
      <c r="K18" s="44">
        <f>+L18-H18</f>
        <v>70.384823602042161</v>
      </c>
      <c r="L18" s="44">
        <f>SUM(M18:N18)</f>
        <v>406474.19482360256</v>
      </c>
      <c r="M18" s="44">
        <f>+'Peak Credit Budget 2018'!J13</f>
        <v>406682.8332356101</v>
      </c>
      <c r="N18" s="44">
        <f>'Peak Credit Budget 2017'!J13</f>
        <v>-208.63841200752233</v>
      </c>
    </row>
    <row r="19" spans="1:14" x14ac:dyDescent="0.2">
      <c r="A19" s="46">
        <f t="shared" si="0"/>
        <v>14</v>
      </c>
      <c r="B19" s="43"/>
      <c r="E19" s="44"/>
      <c r="F19" s="24"/>
      <c r="G19" s="44"/>
      <c r="H19" s="44"/>
      <c r="I19" s="379"/>
      <c r="L19" s="44"/>
    </row>
    <row r="20" spans="1:14" x14ac:dyDescent="0.2">
      <c r="A20" s="46">
        <f t="shared" si="0"/>
        <v>15</v>
      </c>
      <c r="B20" s="43" t="s">
        <v>13</v>
      </c>
      <c r="D20" s="106">
        <f>SUM(D16:D19)</f>
        <v>1445023000</v>
      </c>
      <c r="E20" s="44">
        <f>SUM(E16:E19)</f>
        <v>122271000</v>
      </c>
      <c r="F20" s="24">
        <f>ROUND(SUMPRODUCT($D16:$D18,F16:F18)/$D20,6)</f>
        <v>4.0749999999999996E-3</v>
      </c>
      <c r="G20" s="44">
        <f>SUM(G16:G19)</f>
        <v>128159198.015</v>
      </c>
      <c r="H20" s="44">
        <f>SUM(H16:H18)</f>
        <v>5888198.0149999941</v>
      </c>
      <c r="I20" s="380">
        <f>IF(E20=0,"n/a",+H20/E20)</f>
        <v>4.8156946577683948E-2</v>
      </c>
      <c r="L20" s="44"/>
    </row>
    <row r="21" spans="1:14" x14ac:dyDescent="0.2">
      <c r="A21" s="46">
        <f t="shared" si="0"/>
        <v>16</v>
      </c>
      <c r="B21" s="43"/>
      <c r="E21" s="44"/>
      <c r="F21" s="24"/>
      <c r="G21" s="44"/>
      <c r="H21" s="44"/>
      <c r="I21" s="379"/>
      <c r="L21" s="44"/>
    </row>
    <row r="22" spans="1:14" x14ac:dyDescent="0.2">
      <c r="A22" s="46">
        <f t="shared" si="0"/>
        <v>17</v>
      </c>
      <c r="B22" s="43" t="s">
        <v>62</v>
      </c>
      <c r="C22" s="181">
        <v>40</v>
      </c>
      <c r="D22" s="106">
        <f>+'Effective Rate by Schedule'!D21</f>
        <v>679072000</v>
      </c>
      <c r="E22" s="44">
        <f>+'Effective Rate by Schedule'!E21</f>
        <v>52535000</v>
      </c>
      <c r="F22" s="24">
        <f>+'Effective Rate by Schedule'!BW18</f>
        <v>3.79E-3</v>
      </c>
      <c r="G22" s="44">
        <f>+F22*$D22+$E22</f>
        <v>55108682.880000003</v>
      </c>
      <c r="H22" s="44">
        <f>+G22-E22</f>
        <v>2573682.8800000027</v>
      </c>
      <c r="I22" s="380">
        <f>IF(E22=0,"n/a",+H22/E22)</f>
        <v>4.898987113353008E-2</v>
      </c>
      <c r="K22" s="44">
        <f>+L22-H22</f>
        <v>-20.548150287009776</v>
      </c>
      <c r="L22" s="44">
        <f>SUM(M22:N22)</f>
        <v>2573662.3318497157</v>
      </c>
      <c r="M22" s="44">
        <f>+'Peak Credit Budget 2018'!J16</f>
        <v>2575048.8823184706</v>
      </c>
      <c r="N22" s="44">
        <f>'Peak Credit Budget 2017'!J16</f>
        <v>-1386.5504687547332</v>
      </c>
    </row>
    <row r="23" spans="1:14" x14ac:dyDescent="0.2">
      <c r="A23" s="46">
        <f t="shared" si="0"/>
        <v>18</v>
      </c>
      <c r="B23" s="43"/>
      <c r="E23" s="44"/>
      <c r="F23" s="24"/>
      <c r="G23" s="44"/>
      <c r="H23" s="44"/>
      <c r="I23" s="379"/>
      <c r="L23" s="44"/>
    </row>
    <row r="24" spans="1:14" x14ac:dyDescent="0.2">
      <c r="A24" s="46">
        <f t="shared" si="0"/>
        <v>19</v>
      </c>
      <c r="B24" s="52" t="s">
        <v>14</v>
      </c>
      <c r="C24" s="181">
        <v>46</v>
      </c>
      <c r="D24" s="106">
        <f>+'Effective Rate by Schedule'!D23</f>
        <v>72776000</v>
      </c>
      <c r="E24" s="44">
        <f>+'Effective Rate by Schedule'!E23</f>
        <v>5157000</v>
      </c>
      <c r="F24" s="24">
        <f>+'Effective Rate by Schedule'!BW23</f>
        <v>2.6159999999999998E-3</v>
      </c>
      <c r="G24" s="44">
        <f t="shared" ref="G24:G25" si="4">+F24*$D24+$E24</f>
        <v>5347382.0159999998</v>
      </c>
      <c r="H24" s="44">
        <f>+G24-E24</f>
        <v>190382.01599999983</v>
      </c>
      <c r="I24" s="380">
        <f>IF(E24=0,"n/a",+H24/E24)</f>
        <v>3.6917203025014507E-2</v>
      </c>
      <c r="K24" s="44">
        <f>+L24-H24</f>
        <v>36.883451570902253</v>
      </c>
      <c r="L24" s="44">
        <f>SUM(M24:N24)</f>
        <v>190418.89945157073</v>
      </c>
      <c r="M24" s="44">
        <f>+'Peak Credit Budget 2018'!J18</f>
        <v>190490.07182680536</v>
      </c>
      <c r="N24" s="44">
        <f>'Peak Credit Budget 2017'!J18</f>
        <v>-71.172375234621541</v>
      </c>
    </row>
    <row r="25" spans="1:14" x14ac:dyDescent="0.2">
      <c r="A25" s="46">
        <f t="shared" si="0"/>
        <v>20</v>
      </c>
      <c r="B25" s="48" t="s">
        <v>15</v>
      </c>
      <c r="C25" s="181">
        <v>49</v>
      </c>
      <c r="D25" s="106">
        <f>+'Effective Rate by Schedule'!D24</f>
        <v>584007000</v>
      </c>
      <c r="E25" s="44">
        <f>+'Effective Rate by Schedule'!E24</f>
        <v>40025000</v>
      </c>
      <c r="F25" s="24">
        <f>+'Effective Rate by Schedule'!BW24</f>
        <v>3.9040000000000004E-3</v>
      </c>
      <c r="G25" s="44">
        <f t="shared" si="4"/>
        <v>42304963.328000002</v>
      </c>
      <c r="H25" s="44">
        <f>+G25-E25</f>
        <v>2279963.3280000016</v>
      </c>
      <c r="I25" s="380">
        <f>IF(E25=0,"n/a",+H25/E25)</f>
        <v>5.6963481024359816E-2</v>
      </c>
      <c r="K25" s="44">
        <f>+L25-H25</f>
        <v>333.35646406700835</v>
      </c>
      <c r="L25" s="44">
        <f>SUM(M25:N25)</f>
        <v>2280296.6844640686</v>
      </c>
      <c r="M25" s="44">
        <f>+'Peak Credit Budget 2018'!J19</f>
        <v>2281418.1774965981</v>
      </c>
      <c r="N25" s="44">
        <f>'Peak Credit Budget 2017'!J19</f>
        <v>-1121.4930325294308</v>
      </c>
    </row>
    <row r="26" spans="1:14" x14ac:dyDescent="0.2">
      <c r="A26" s="46">
        <f t="shared" si="0"/>
        <v>21</v>
      </c>
      <c r="B26" s="47"/>
      <c r="E26" s="44"/>
      <c r="F26" s="24"/>
      <c r="G26" s="44"/>
      <c r="H26" s="44"/>
      <c r="I26" s="379"/>
      <c r="L26" s="44"/>
    </row>
    <row r="27" spans="1:14" x14ac:dyDescent="0.2">
      <c r="A27" s="46">
        <f t="shared" si="0"/>
        <v>22</v>
      </c>
      <c r="B27" s="47" t="s">
        <v>16</v>
      </c>
      <c r="D27" s="106">
        <f>SUM(D24:D26)</f>
        <v>656783000</v>
      </c>
      <c r="E27" s="44">
        <f>SUM(E24:E26)</f>
        <v>45182000</v>
      </c>
      <c r="F27" s="24">
        <f>ROUND(SUMPRODUCT($D24:$D25,F24:F25)/$D27,6)</f>
        <v>3.761E-3</v>
      </c>
      <c r="G27" s="106">
        <f>SUM(G24:G26)</f>
        <v>47652345.344000004</v>
      </c>
      <c r="H27" s="44">
        <f>SUM(H24:H26)</f>
        <v>2470345.3440000014</v>
      </c>
      <c r="I27" s="380">
        <f>IF(E27=0,"n/a",+H27/E27)</f>
        <v>5.4675431455004239E-2</v>
      </c>
      <c r="L27" s="44"/>
    </row>
    <row r="28" spans="1:14" x14ac:dyDescent="0.2">
      <c r="A28" s="46">
        <f t="shared" si="0"/>
        <v>23</v>
      </c>
      <c r="B28" s="47"/>
      <c r="E28" s="44"/>
      <c r="F28" s="24"/>
      <c r="H28" s="44"/>
      <c r="I28" s="380"/>
      <c r="L28" s="44"/>
    </row>
    <row r="29" spans="1:14" x14ac:dyDescent="0.2">
      <c r="A29" s="46">
        <f t="shared" si="0"/>
        <v>24</v>
      </c>
      <c r="B29" s="47" t="s">
        <v>274</v>
      </c>
      <c r="C29" s="181" t="s">
        <v>23</v>
      </c>
      <c r="D29" s="106">
        <f>+'Effective Rate by Schedule'!D26</f>
        <v>2088697000</v>
      </c>
      <c r="E29" s="44">
        <f>+'Effective Rate by Schedule'!E26</f>
        <v>9141000</v>
      </c>
      <c r="F29" s="24">
        <f>+'Effective Rate by Schedule'!BW26</f>
        <v>1.047E-3</v>
      </c>
      <c r="G29" s="44">
        <f>+F29*$D29+$E29</f>
        <v>11327865.759</v>
      </c>
      <c r="H29" s="44">
        <f>+G29-E29</f>
        <v>2186865.7589999996</v>
      </c>
      <c r="I29" s="380">
        <f>IF(E29=0,"n/a",+H29/E29)</f>
        <v>0.23923703741384963</v>
      </c>
      <c r="K29" s="44">
        <f>+L29-H29</f>
        <v>0</v>
      </c>
      <c r="L29" s="44">
        <f>SUM(M29:N29)</f>
        <v>2186865.7590000001</v>
      </c>
      <c r="M29" s="44">
        <f>+'Peak Credit Budget 2018'!I21</f>
        <v>2186865.7590000001</v>
      </c>
      <c r="N29" s="44">
        <f>'Peak Credit Budget 2017'!J21</f>
        <v>0</v>
      </c>
    </row>
    <row r="30" spans="1:14" x14ac:dyDescent="0.2">
      <c r="A30" s="46">
        <f t="shared" si="0"/>
        <v>25</v>
      </c>
      <c r="E30" s="44"/>
      <c r="F30" s="24"/>
      <c r="G30" s="44"/>
      <c r="H30" s="44"/>
      <c r="I30" s="379"/>
      <c r="L30" s="44"/>
    </row>
    <row r="31" spans="1:14" x14ac:dyDescent="0.2">
      <c r="A31" s="46">
        <f t="shared" si="0"/>
        <v>26</v>
      </c>
      <c r="B31" s="6" t="s">
        <v>17</v>
      </c>
      <c r="C31" s="187" t="s">
        <v>114</v>
      </c>
      <c r="D31" s="106">
        <f>+'Effective Rate by Schedule'!D28</f>
        <v>76506000</v>
      </c>
      <c r="E31" s="44">
        <f>+'Effective Rate by Schedule'!E28</f>
        <v>19539000</v>
      </c>
      <c r="F31" s="24">
        <f>+'Effective Rate by Schedule'!BW28</f>
        <v>4.5709999999999995E-3</v>
      </c>
      <c r="G31" s="44">
        <f>+F31*$D31+$E31</f>
        <v>19888708.925999999</v>
      </c>
      <c r="H31" s="44">
        <f>+G31-E31</f>
        <v>349708.92599999905</v>
      </c>
      <c r="I31" s="380">
        <f>IF(E31=0,"n/a",+H31/E31)</f>
        <v>1.7897995086749528E-2</v>
      </c>
      <c r="K31" s="44">
        <f>+L31-H31</f>
        <v>-16.997265588084701</v>
      </c>
      <c r="L31" s="44">
        <f>SUM(M31:N31)</f>
        <v>349691.92873441096</v>
      </c>
      <c r="M31" s="44">
        <f>+'Peak Credit Budget 2018'!J23</f>
        <v>349877.17469456949</v>
      </c>
      <c r="N31" s="44">
        <f>'Peak Credit Budget 2017'!J23</f>
        <v>-185.24596015854411</v>
      </c>
    </row>
    <row r="32" spans="1:14" x14ac:dyDescent="0.2">
      <c r="A32" s="46">
        <f t="shared" si="0"/>
        <v>27</v>
      </c>
      <c r="E32" s="44"/>
      <c r="F32" s="24"/>
      <c r="G32" s="44"/>
      <c r="H32" s="44"/>
      <c r="I32" s="45"/>
      <c r="L32" s="44"/>
    </row>
    <row r="33" spans="1:14" x14ac:dyDescent="0.2">
      <c r="A33" s="46">
        <f t="shared" si="0"/>
        <v>28</v>
      </c>
      <c r="B33" s="47" t="s">
        <v>19</v>
      </c>
      <c r="D33" s="106">
        <f>SUM(D7,D14,D20,D22,D27,D29,D31)</f>
        <v>23518981000</v>
      </c>
      <c r="E33" s="44">
        <f>SUM(E7,E14,E20,E22,E27,E29,E31)</f>
        <v>2113711000</v>
      </c>
      <c r="F33" s="24">
        <f>ROUND(($D7*F7+$D14*F14+$D20*F20+$D22*F22+$D27*F27+$D29*F29+$D31*F31)/$D33,6)</f>
        <v>4.2059999999999997E-3</v>
      </c>
      <c r="G33" s="44">
        <f>SUM(G7,G14,G20,G22,G27,G29,G31)</f>
        <v>2212624296.3280001</v>
      </c>
      <c r="H33" s="44">
        <f>SUM(H7,H14,H20,H22,H27,H29,H31)</f>
        <v>98913296.328000024</v>
      </c>
      <c r="I33" s="380">
        <f>IF(E33=0,"n/a",+H33/E33)</f>
        <v>4.6796036131713382E-2</v>
      </c>
      <c r="K33" s="44">
        <f>SUM(K7:K31)</f>
        <v>-389.90223945884827</v>
      </c>
      <c r="L33" s="44">
        <f t="shared" ref="L33:N33" si="5">SUM(L7:L31)</f>
        <v>98912906.425760537</v>
      </c>
      <c r="M33" s="44">
        <f t="shared" si="5"/>
        <v>98958955.089312121</v>
      </c>
      <c r="N33" s="44">
        <f t="shared" si="5"/>
        <v>-46048.663551588579</v>
      </c>
    </row>
    <row r="34" spans="1:14" ht="13.5" thickBot="1" x14ac:dyDescent="0.25">
      <c r="A34" s="108"/>
      <c r="B34" s="109"/>
      <c r="C34" s="195"/>
      <c r="D34" s="312"/>
      <c r="E34" s="312"/>
      <c r="F34" s="109"/>
      <c r="G34" s="312"/>
      <c r="H34" s="109"/>
      <c r="I34" s="110"/>
    </row>
    <row r="35" spans="1:14" x14ac:dyDescent="0.2">
      <c r="K35" s="44"/>
    </row>
    <row r="36" spans="1:14" ht="13.15" customHeight="1" x14ac:dyDescent="0.2">
      <c r="B36" s="394" t="str">
        <f>+'Proforma - Proposed  Revenue'!B36</f>
        <v>Note 1 - Projected Revenue Includes Base Revenue plus Rider Schedules 95, 95A, 129, 132, 137, 140, 141, 142 &amp; 194</v>
      </c>
      <c r="C36" s="394"/>
      <c r="D36" s="394"/>
      <c r="E36" s="394"/>
      <c r="F36" s="394"/>
      <c r="G36" s="394"/>
      <c r="H36" s="394"/>
      <c r="I36" s="394"/>
      <c r="J36" s="356"/>
      <c r="K36" s="356"/>
    </row>
    <row r="37" spans="1:14" x14ac:dyDescent="0.2">
      <c r="K37" s="44"/>
    </row>
    <row r="38" spans="1:14" x14ac:dyDescent="0.2">
      <c r="B38" s="43" t="s">
        <v>145</v>
      </c>
      <c r="D38" s="381"/>
      <c r="E38" s="382"/>
      <c r="H38" s="44">
        <f>+'Table 1'!F28</f>
        <v>96726040.666760549</v>
      </c>
      <c r="K38" s="44"/>
    </row>
    <row r="39" spans="1:14" x14ac:dyDescent="0.2">
      <c r="B39" s="43" t="s">
        <v>121</v>
      </c>
      <c r="D39" s="381"/>
      <c r="E39" s="381"/>
      <c r="H39" s="44">
        <f>+'Sch 258 Rates 2017'!C17</f>
        <v>2186865.7590000001</v>
      </c>
      <c r="I39" s="44"/>
    </row>
    <row r="40" spans="1:14" x14ac:dyDescent="0.2">
      <c r="B40" s="43"/>
      <c r="D40" s="381"/>
      <c r="E40" s="381"/>
      <c r="H40" s="44">
        <f>SUM(H38:H39)</f>
        <v>98912906.425760552</v>
      </c>
      <c r="I40" s="44"/>
    </row>
    <row r="41" spans="1:14" x14ac:dyDescent="0.2">
      <c r="B41" s="43" t="s">
        <v>144</v>
      </c>
      <c r="D41" s="381"/>
      <c r="E41" s="382"/>
      <c r="H41" s="44">
        <f>+H40-H33</f>
        <v>-389.90223947167397</v>
      </c>
    </row>
    <row r="42" spans="1:14" x14ac:dyDescent="0.2">
      <c r="D42" s="381"/>
      <c r="E42" s="381"/>
    </row>
    <row r="43" spans="1:14" x14ac:dyDescent="0.2">
      <c r="D43" s="381"/>
      <c r="E43" s="381"/>
    </row>
    <row r="44" spans="1:14" x14ac:dyDescent="0.2">
      <c r="D44" s="381"/>
      <c r="E44" s="381"/>
    </row>
  </sheetData>
  <mergeCells count="2">
    <mergeCell ref="B36:I36"/>
    <mergeCell ref="K3:N3"/>
  </mergeCells>
  <phoneticPr fontId="4" type="noConversion"/>
  <printOptions horizontalCentered="1"/>
  <pageMargins left="0.7" right="0.7" top="0.75" bottom="0.75" header="0.3" footer="0.3"/>
  <pageSetup scale="66" orientation="landscape" r:id="rId1"/>
  <headerFooter alignWithMargins="0">
    <oddHeader>&amp;RAdvice No. 2018-xx
Electric Schedule 120 Rate Design Workpapers
Page &amp;P of &amp;N</oddHeader>
    <oddFooter>&amp;L&amp;F
&amp;A&amp;R&amp;D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workbookViewId="0">
      <pane xSplit="2" ySplit="6" topLeftCell="C7" activePane="bottomRight" state="frozen"/>
      <selection sqref="A1:XFD1048576"/>
      <selection pane="topRight" sqref="A1:XFD1048576"/>
      <selection pane="bottomLeft" sqref="A1:XFD1048576"/>
      <selection pane="bottomRight" sqref="A1:XFD1048576"/>
    </sheetView>
  </sheetViews>
  <sheetFormatPr defaultColWidth="8.85546875" defaultRowHeight="12.75" x14ac:dyDescent="0.2"/>
  <cols>
    <col min="1" max="1" width="4.42578125" style="23" bestFit="1" customWidth="1"/>
    <col min="2" max="2" width="24.85546875" style="23" bestFit="1" customWidth="1"/>
    <col min="3" max="3" width="15.140625" style="23" bestFit="1" customWidth="1"/>
    <col min="4" max="4" width="11.42578125" style="23" bestFit="1" customWidth="1"/>
    <col min="5" max="5" width="8.7109375" style="23" bestFit="1" customWidth="1"/>
    <col min="6" max="6" width="8.5703125" style="23" bestFit="1" customWidth="1"/>
    <col min="7" max="8" width="11.5703125" style="23" bestFit="1" customWidth="1"/>
    <col min="9" max="9" width="9.140625" style="23" bestFit="1" customWidth="1"/>
    <col min="10" max="10" width="7.7109375" style="23" bestFit="1" customWidth="1"/>
    <col min="11" max="13" width="7.85546875" style="23" bestFit="1" customWidth="1"/>
    <col min="14" max="14" width="8.5703125" style="23" bestFit="1" customWidth="1"/>
    <col min="15" max="15" width="10.42578125" style="23" bestFit="1" customWidth="1"/>
    <col min="16" max="17" width="8.5703125" style="23" bestFit="1" customWidth="1"/>
    <col min="18" max="18" width="9.5703125" style="23" bestFit="1" customWidth="1"/>
    <col min="19" max="19" width="10.42578125" style="23" bestFit="1" customWidth="1"/>
    <col min="20" max="20" width="9.5703125" style="23" bestFit="1" customWidth="1"/>
    <col min="21" max="16384" width="8.85546875" style="23"/>
  </cols>
  <sheetData>
    <row r="1" spans="1:20" x14ac:dyDescent="0.2">
      <c r="B1" s="368" t="s">
        <v>31</v>
      </c>
      <c r="C1" s="368"/>
      <c r="D1" s="368"/>
      <c r="E1" s="368"/>
      <c r="F1" s="368"/>
      <c r="G1" s="368"/>
      <c r="H1" s="368"/>
      <c r="I1" s="368"/>
      <c r="J1" s="368"/>
      <c r="K1" s="368"/>
      <c r="L1" s="368"/>
      <c r="M1" s="368"/>
      <c r="N1" s="368"/>
      <c r="O1" s="368"/>
      <c r="P1" s="368"/>
      <c r="Q1" s="368"/>
      <c r="R1" s="368"/>
      <c r="S1" s="368"/>
      <c r="T1" s="368"/>
    </row>
    <row r="2" spans="1:20" x14ac:dyDescent="0.2">
      <c r="B2" s="368" t="s">
        <v>277</v>
      </c>
      <c r="C2" s="368"/>
      <c r="D2" s="368"/>
      <c r="E2" s="368"/>
      <c r="F2" s="368"/>
      <c r="G2" s="368"/>
      <c r="H2" s="368"/>
      <c r="I2" s="368"/>
      <c r="J2" s="368"/>
      <c r="K2" s="368"/>
      <c r="L2" s="368"/>
      <c r="M2" s="368"/>
      <c r="N2" s="368"/>
      <c r="O2" s="368"/>
      <c r="P2" s="368"/>
      <c r="Q2" s="368"/>
      <c r="R2" s="368"/>
      <c r="S2" s="368"/>
      <c r="T2" s="368"/>
    </row>
    <row r="3" spans="1:20" x14ac:dyDescent="0.2">
      <c r="B3" s="368"/>
      <c r="C3" s="368"/>
      <c r="D3" s="368"/>
      <c r="E3" s="368"/>
      <c r="F3" s="368"/>
      <c r="G3" s="368"/>
      <c r="H3" s="368"/>
      <c r="I3" s="368"/>
      <c r="J3" s="368"/>
      <c r="K3" s="368"/>
      <c r="L3" s="368"/>
      <c r="M3" s="368"/>
      <c r="N3" s="368"/>
      <c r="O3" s="368"/>
      <c r="P3" s="368"/>
      <c r="Q3" s="368"/>
      <c r="R3" s="368"/>
      <c r="S3" s="368"/>
      <c r="T3" s="368"/>
    </row>
    <row r="5" spans="1:20" x14ac:dyDescent="0.2">
      <c r="D5" s="401" t="s">
        <v>278</v>
      </c>
      <c r="E5" s="401"/>
      <c r="F5" s="401"/>
      <c r="G5" s="401"/>
      <c r="H5" s="401"/>
      <c r="I5" s="401"/>
      <c r="J5" s="401"/>
      <c r="K5" s="401"/>
      <c r="L5" s="401"/>
      <c r="M5" s="401"/>
      <c r="N5" s="401"/>
      <c r="O5" s="401"/>
    </row>
    <row r="6" spans="1:20" ht="38.25" x14ac:dyDescent="0.2">
      <c r="A6" s="369" t="s">
        <v>77</v>
      </c>
      <c r="B6" s="369" t="s">
        <v>279</v>
      </c>
      <c r="C6" s="369" t="s">
        <v>280</v>
      </c>
      <c r="D6" s="67" t="s">
        <v>281</v>
      </c>
      <c r="E6" s="67" t="s">
        <v>282</v>
      </c>
      <c r="F6" s="67" t="s">
        <v>283</v>
      </c>
      <c r="G6" s="67" t="s">
        <v>284</v>
      </c>
      <c r="H6" s="67" t="s">
        <v>285</v>
      </c>
      <c r="I6" s="67" t="s">
        <v>286</v>
      </c>
      <c r="J6" s="67" t="s">
        <v>287</v>
      </c>
      <c r="K6" s="67" t="s">
        <v>288</v>
      </c>
      <c r="L6" s="67" t="s">
        <v>289</v>
      </c>
      <c r="M6" s="67" t="s">
        <v>290</v>
      </c>
      <c r="N6" s="67" t="s">
        <v>291</v>
      </c>
      <c r="O6" s="67" t="s">
        <v>292</v>
      </c>
      <c r="P6" s="67" t="s">
        <v>343</v>
      </c>
      <c r="Q6" s="67" t="s">
        <v>344</v>
      </c>
      <c r="R6" s="67" t="s">
        <v>293</v>
      </c>
      <c r="S6" s="67" t="s">
        <v>294</v>
      </c>
      <c r="T6" s="369" t="s">
        <v>295</v>
      </c>
    </row>
    <row r="7" spans="1:20" x14ac:dyDescent="0.2">
      <c r="A7" s="23">
        <v>1</v>
      </c>
      <c r="B7" s="23" t="s">
        <v>296</v>
      </c>
      <c r="C7" s="370">
        <f>ROUND(+E68,0)</f>
        <v>1215</v>
      </c>
      <c r="D7" s="68">
        <f t="shared" ref="D7:D18" si="0">ROUND($G$32+IF($C7&gt;600,(600*$G$36+(($C7-600)*$G$43)),$C7*$G$36),2)</f>
        <v>130.69</v>
      </c>
      <c r="E7" s="68">
        <f t="shared" ref="E7:E18" si="1">ROUND($C7*$G$54,2)</f>
        <v>0</v>
      </c>
      <c r="F7" s="68">
        <f t="shared" ref="F7:F18" si="2">ROUND($C7*$G$55,2)</f>
        <v>-3.03</v>
      </c>
      <c r="G7" s="68">
        <f t="shared" ref="G7:G18" si="3">ROUND($C7*$G$56,2)</f>
        <v>7.38</v>
      </c>
      <c r="H7" s="68">
        <f t="shared" ref="H7:H18" si="4">ROUND($C7*$G$37,2)</f>
        <v>1.1399999999999999</v>
      </c>
      <c r="I7" s="68">
        <f t="shared" ref="I7:I18" si="5">ROUND($C7*$G$57,2)</f>
        <v>-0.42</v>
      </c>
      <c r="J7" s="68">
        <f t="shared" ref="J7:J18" si="6">ROUND($C7*$G$58,2)</f>
        <v>-0.04</v>
      </c>
      <c r="K7" s="68">
        <f t="shared" ref="K7:K18" si="7">ROUND($C7*$G$38,2)</f>
        <v>4.38</v>
      </c>
      <c r="L7" s="68">
        <f t="shared" ref="L7:L18" si="8">ROUND($G$33+IF($C7&gt;600,(600*$G$39+(($C7-600)*$G$46)),$C7*$G$39),2)</f>
        <v>0</v>
      </c>
      <c r="M7" s="68">
        <f t="shared" ref="M7:M18" si="9">ROUND($C7*$G$40,2)</f>
        <v>1.46</v>
      </c>
      <c r="N7" s="68">
        <f t="shared" ref="N7:N18" si="10">ROUND($C7*$G$50,2)</f>
        <v>-9</v>
      </c>
      <c r="O7" s="68">
        <f>SUM(D7:N7)</f>
        <v>132.56</v>
      </c>
      <c r="P7" s="68">
        <f>-SUM(G7)</f>
        <v>-7.38</v>
      </c>
      <c r="Q7" s="68">
        <f t="shared" ref="Q7:Q18" si="11">+ROUND($C7*$H$56,2)</f>
        <v>5.9</v>
      </c>
      <c r="R7" s="68">
        <f>SUM(P7:Q7)</f>
        <v>-1.4799999999999995</v>
      </c>
      <c r="S7" s="68">
        <f>+O7+R7</f>
        <v>131.08000000000001</v>
      </c>
      <c r="T7" s="371">
        <f>+R7/O7</f>
        <v>-1.1164755582377787E-2</v>
      </c>
    </row>
    <row r="8" spans="1:20" x14ac:dyDescent="0.2">
      <c r="A8" s="23">
        <f>1+A7</f>
        <v>2</v>
      </c>
      <c r="B8" s="23" t="s">
        <v>297</v>
      </c>
      <c r="C8" s="370">
        <f t="shared" ref="C8:C18" si="12">ROUND(+E69,0)</f>
        <v>1012</v>
      </c>
      <c r="D8" s="68">
        <f t="shared" si="0"/>
        <v>108.12</v>
      </c>
      <c r="E8" s="68">
        <f t="shared" si="1"/>
        <v>0</v>
      </c>
      <c r="F8" s="68">
        <f t="shared" si="2"/>
        <v>-2.52</v>
      </c>
      <c r="G8" s="68">
        <f t="shared" si="3"/>
        <v>6.15</v>
      </c>
      <c r="H8" s="68">
        <f t="shared" si="4"/>
        <v>0.95</v>
      </c>
      <c r="I8" s="68">
        <f t="shared" si="5"/>
        <v>-0.35</v>
      </c>
      <c r="J8" s="68">
        <f t="shared" si="6"/>
        <v>-0.04</v>
      </c>
      <c r="K8" s="68">
        <f t="shared" si="7"/>
        <v>3.65</v>
      </c>
      <c r="L8" s="68">
        <f t="shared" si="8"/>
        <v>0</v>
      </c>
      <c r="M8" s="68">
        <f t="shared" si="9"/>
        <v>1.22</v>
      </c>
      <c r="N8" s="68">
        <f t="shared" si="10"/>
        <v>-7.49</v>
      </c>
      <c r="O8" s="68">
        <f t="shared" ref="O8:O18" si="13">SUM(D8:N8)</f>
        <v>109.69000000000003</v>
      </c>
      <c r="P8" s="68">
        <f t="shared" ref="P8:P18" si="14">-SUM(G8)</f>
        <v>-6.15</v>
      </c>
      <c r="Q8" s="68">
        <f t="shared" si="11"/>
        <v>4.92</v>
      </c>
      <c r="R8" s="68">
        <f t="shared" ref="R8:R18" si="15">SUM(P8:Q8)</f>
        <v>-1.2300000000000004</v>
      </c>
      <c r="S8" s="68">
        <f t="shared" ref="S8:S18" si="16">+O8+R8</f>
        <v>108.46000000000002</v>
      </c>
      <c r="T8" s="371">
        <f t="shared" ref="T8:T22" si="17">+R8/O8</f>
        <v>-1.1213419637159269E-2</v>
      </c>
    </row>
    <row r="9" spans="1:20" x14ac:dyDescent="0.2">
      <c r="A9" s="23">
        <f t="shared" ref="A9:A62" si="18">1+A8</f>
        <v>3</v>
      </c>
      <c r="B9" s="23" t="s">
        <v>298</v>
      </c>
      <c r="C9" s="370">
        <f t="shared" si="12"/>
        <v>1006</v>
      </c>
      <c r="D9" s="68">
        <f t="shared" si="0"/>
        <v>107.45</v>
      </c>
      <c r="E9" s="68">
        <f t="shared" si="1"/>
        <v>0</v>
      </c>
      <c r="F9" s="68">
        <f t="shared" si="2"/>
        <v>-2.5099999999999998</v>
      </c>
      <c r="G9" s="68">
        <f t="shared" si="3"/>
        <v>6.11</v>
      </c>
      <c r="H9" s="68">
        <f t="shared" si="4"/>
        <v>0.94</v>
      </c>
      <c r="I9" s="68">
        <f t="shared" si="5"/>
        <v>-0.35</v>
      </c>
      <c r="J9" s="68">
        <f t="shared" si="6"/>
        <v>-0.04</v>
      </c>
      <c r="K9" s="68">
        <f t="shared" si="7"/>
        <v>3.63</v>
      </c>
      <c r="L9" s="68">
        <f t="shared" si="8"/>
        <v>0</v>
      </c>
      <c r="M9" s="68">
        <f t="shared" si="9"/>
        <v>1.21</v>
      </c>
      <c r="N9" s="68">
        <f t="shared" si="10"/>
        <v>-7.45</v>
      </c>
      <c r="O9" s="68">
        <f t="shared" si="13"/>
        <v>108.98999999999998</v>
      </c>
      <c r="P9" s="68">
        <f t="shared" si="14"/>
        <v>-6.11</v>
      </c>
      <c r="Q9" s="68">
        <f t="shared" si="11"/>
        <v>4.8899999999999997</v>
      </c>
      <c r="R9" s="68">
        <f t="shared" si="15"/>
        <v>-1.2200000000000006</v>
      </c>
      <c r="S9" s="68">
        <f t="shared" si="16"/>
        <v>107.76999999999998</v>
      </c>
      <c r="T9" s="371">
        <f t="shared" si="17"/>
        <v>-1.1193687494265537E-2</v>
      </c>
    </row>
    <row r="10" spans="1:20" x14ac:dyDescent="0.2">
      <c r="A10" s="23">
        <f t="shared" si="18"/>
        <v>4</v>
      </c>
      <c r="B10" s="23" t="s">
        <v>299</v>
      </c>
      <c r="C10" s="370">
        <f t="shared" si="12"/>
        <v>828</v>
      </c>
      <c r="D10" s="68">
        <f t="shared" si="0"/>
        <v>87.66</v>
      </c>
      <c r="E10" s="68">
        <f t="shared" si="1"/>
        <v>0</v>
      </c>
      <c r="F10" s="68">
        <f t="shared" si="2"/>
        <v>-2.06</v>
      </c>
      <c r="G10" s="68">
        <f t="shared" si="3"/>
        <v>5.03</v>
      </c>
      <c r="H10" s="68">
        <f t="shared" si="4"/>
        <v>0.78</v>
      </c>
      <c r="I10" s="68">
        <f t="shared" si="5"/>
        <v>-0.28999999999999998</v>
      </c>
      <c r="J10" s="68">
        <f t="shared" si="6"/>
        <v>-0.03</v>
      </c>
      <c r="K10" s="68">
        <f t="shared" si="7"/>
        <v>2.98</v>
      </c>
      <c r="L10" s="68">
        <f t="shared" si="8"/>
        <v>0</v>
      </c>
      <c r="M10" s="68">
        <f t="shared" si="9"/>
        <v>0.99</v>
      </c>
      <c r="N10" s="68">
        <f t="shared" si="10"/>
        <v>-6.13</v>
      </c>
      <c r="O10" s="68">
        <f t="shared" si="13"/>
        <v>88.929999999999993</v>
      </c>
      <c r="P10" s="68">
        <f t="shared" si="14"/>
        <v>-5.03</v>
      </c>
      <c r="Q10" s="68">
        <f t="shared" si="11"/>
        <v>4.0199999999999996</v>
      </c>
      <c r="R10" s="68">
        <f t="shared" si="15"/>
        <v>-1.0100000000000007</v>
      </c>
      <c r="S10" s="68">
        <f t="shared" si="16"/>
        <v>87.919999999999987</v>
      </c>
      <c r="T10" s="371">
        <f t="shared" si="17"/>
        <v>-1.1357247273136183E-2</v>
      </c>
    </row>
    <row r="11" spans="1:20" x14ac:dyDescent="0.2">
      <c r="A11" s="23">
        <f t="shared" si="18"/>
        <v>5</v>
      </c>
      <c r="B11" s="23" t="s">
        <v>300</v>
      </c>
      <c r="C11" s="370">
        <f t="shared" si="12"/>
        <v>716</v>
      </c>
      <c r="D11" s="68">
        <f t="shared" si="0"/>
        <v>75.209999999999994</v>
      </c>
      <c r="E11" s="68">
        <f t="shared" si="1"/>
        <v>0</v>
      </c>
      <c r="F11" s="68">
        <f t="shared" si="2"/>
        <v>-1.78</v>
      </c>
      <c r="G11" s="68">
        <f t="shared" si="3"/>
        <v>4.3499999999999996</v>
      </c>
      <c r="H11" s="68">
        <f t="shared" si="4"/>
        <v>0.67</v>
      </c>
      <c r="I11" s="68">
        <f t="shared" si="5"/>
        <v>-0.25</v>
      </c>
      <c r="J11" s="68">
        <f t="shared" si="6"/>
        <v>-0.03</v>
      </c>
      <c r="K11" s="68">
        <f t="shared" si="7"/>
        <v>2.58</v>
      </c>
      <c r="L11" s="68">
        <f t="shared" si="8"/>
        <v>0</v>
      </c>
      <c r="M11" s="68">
        <f t="shared" si="9"/>
        <v>0.86</v>
      </c>
      <c r="N11" s="68">
        <f t="shared" si="10"/>
        <v>-5.3</v>
      </c>
      <c r="O11" s="68">
        <f t="shared" si="13"/>
        <v>76.309999999999988</v>
      </c>
      <c r="P11" s="68">
        <f t="shared" si="14"/>
        <v>-4.3499999999999996</v>
      </c>
      <c r="Q11" s="68">
        <f t="shared" si="11"/>
        <v>3.48</v>
      </c>
      <c r="R11" s="68">
        <f t="shared" si="15"/>
        <v>-0.86999999999999966</v>
      </c>
      <c r="S11" s="68">
        <f t="shared" si="16"/>
        <v>75.439999999999984</v>
      </c>
      <c r="T11" s="371">
        <f t="shared" si="17"/>
        <v>-1.1400864893198791E-2</v>
      </c>
    </row>
    <row r="12" spans="1:20" x14ac:dyDescent="0.2">
      <c r="A12" s="23">
        <f t="shared" si="18"/>
        <v>6</v>
      </c>
      <c r="B12" s="23" t="s">
        <v>301</v>
      </c>
      <c r="C12" s="370">
        <f t="shared" si="12"/>
        <v>661</v>
      </c>
      <c r="D12" s="68">
        <f t="shared" si="0"/>
        <v>69.09</v>
      </c>
      <c r="E12" s="68">
        <f t="shared" si="1"/>
        <v>0</v>
      </c>
      <c r="F12" s="68">
        <f t="shared" si="2"/>
        <v>-1.65</v>
      </c>
      <c r="G12" s="68">
        <f t="shared" si="3"/>
        <v>4.0199999999999996</v>
      </c>
      <c r="H12" s="68">
        <f t="shared" si="4"/>
        <v>0.62</v>
      </c>
      <c r="I12" s="68">
        <f t="shared" si="5"/>
        <v>-0.23</v>
      </c>
      <c r="J12" s="68">
        <f t="shared" si="6"/>
        <v>-0.02</v>
      </c>
      <c r="K12" s="68">
        <f t="shared" si="7"/>
        <v>2.38</v>
      </c>
      <c r="L12" s="68">
        <f t="shared" si="8"/>
        <v>0</v>
      </c>
      <c r="M12" s="68">
        <f t="shared" si="9"/>
        <v>0.79</v>
      </c>
      <c r="N12" s="68">
        <f t="shared" si="10"/>
        <v>-4.9000000000000004</v>
      </c>
      <c r="O12" s="68">
        <f t="shared" si="13"/>
        <v>70.099999999999994</v>
      </c>
      <c r="P12" s="68">
        <f t="shared" si="14"/>
        <v>-4.0199999999999996</v>
      </c>
      <c r="Q12" s="68">
        <f t="shared" si="11"/>
        <v>3.21</v>
      </c>
      <c r="R12" s="68">
        <f t="shared" si="15"/>
        <v>-0.80999999999999961</v>
      </c>
      <c r="S12" s="68">
        <f t="shared" si="16"/>
        <v>69.289999999999992</v>
      </c>
      <c r="T12" s="371">
        <f t="shared" si="17"/>
        <v>-1.1554921540656201E-2</v>
      </c>
    </row>
    <row r="13" spans="1:20" x14ac:dyDescent="0.2">
      <c r="A13" s="23">
        <f t="shared" si="18"/>
        <v>7</v>
      </c>
      <c r="B13" s="23" t="s">
        <v>302</v>
      </c>
      <c r="C13" s="370">
        <f t="shared" si="12"/>
        <v>674</v>
      </c>
      <c r="D13" s="68">
        <f t="shared" si="0"/>
        <v>70.540000000000006</v>
      </c>
      <c r="E13" s="68">
        <f t="shared" si="1"/>
        <v>0</v>
      </c>
      <c r="F13" s="68">
        <f t="shared" si="2"/>
        <v>-1.68</v>
      </c>
      <c r="G13" s="68">
        <f t="shared" si="3"/>
        <v>4.09</v>
      </c>
      <c r="H13" s="68">
        <f t="shared" si="4"/>
        <v>0.63</v>
      </c>
      <c r="I13" s="68">
        <f t="shared" si="5"/>
        <v>-0.23</v>
      </c>
      <c r="J13" s="68">
        <f t="shared" si="6"/>
        <v>-0.02</v>
      </c>
      <c r="K13" s="68">
        <f t="shared" si="7"/>
        <v>2.4300000000000002</v>
      </c>
      <c r="L13" s="68">
        <f t="shared" si="8"/>
        <v>0</v>
      </c>
      <c r="M13" s="68">
        <f t="shared" si="9"/>
        <v>0.81</v>
      </c>
      <c r="N13" s="68">
        <f t="shared" si="10"/>
        <v>-4.99</v>
      </c>
      <c r="O13" s="68">
        <f t="shared" si="13"/>
        <v>71.580000000000013</v>
      </c>
      <c r="P13" s="68">
        <f t="shared" si="14"/>
        <v>-4.09</v>
      </c>
      <c r="Q13" s="68">
        <f t="shared" si="11"/>
        <v>3.28</v>
      </c>
      <c r="R13" s="68">
        <f t="shared" si="15"/>
        <v>-0.81</v>
      </c>
      <c r="S13" s="68">
        <f t="shared" si="16"/>
        <v>70.77000000000001</v>
      </c>
      <c r="T13" s="371">
        <f t="shared" si="17"/>
        <v>-1.1316010058675606E-2</v>
      </c>
    </row>
    <row r="14" spans="1:20" x14ac:dyDescent="0.2">
      <c r="A14" s="23">
        <f t="shared" si="18"/>
        <v>8</v>
      </c>
      <c r="B14" s="23" t="s">
        <v>303</v>
      </c>
      <c r="C14" s="370">
        <f t="shared" si="12"/>
        <v>667</v>
      </c>
      <c r="D14" s="68">
        <f t="shared" si="0"/>
        <v>69.760000000000005</v>
      </c>
      <c r="E14" s="68">
        <f t="shared" si="1"/>
        <v>0</v>
      </c>
      <c r="F14" s="68">
        <f t="shared" si="2"/>
        <v>-1.66</v>
      </c>
      <c r="G14" s="68">
        <f t="shared" si="3"/>
        <v>4.05</v>
      </c>
      <c r="H14" s="68">
        <f t="shared" si="4"/>
        <v>0.62</v>
      </c>
      <c r="I14" s="68">
        <f t="shared" si="5"/>
        <v>-0.23</v>
      </c>
      <c r="J14" s="68">
        <f t="shared" si="6"/>
        <v>-0.02</v>
      </c>
      <c r="K14" s="68">
        <f t="shared" si="7"/>
        <v>2.4</v>
      </c>
      <c r="L14" s="68">
        <f t="shared" si="8"/>
        <v>0</v>
      </c>
      <c r="M14" s="68">
        <f t="shared" si="9"/>
        <v>0.8</v>
      </c>
      <c r="N14" s="68">
        <f t="shared" si="10"/>
        <v>-4.9400000000000004</v>
      </c>
      <c r="O14" s="68">
        <f t="shared" si="13"/>
        <v>70.780000000000015</v>
      </c>
      <c r="P14" s="68">
        <f t="shared" si="14"/>
        <v>-4.05</v>
      </c>
      <c r="Q14" s="68">
        <f t="shared" si="11"/>
        <v>3.24</v>
      </c>
      <c r="R14" s="68">
        <f t="shared" si="15"/>
        <v>-0.80999999999999961</v>
      </c>
      <c r="S14" s="68">
        <f t="shared" si="16"/>
        <v>69.970000000000013</v>
      </c>
      <c r="T14" s="371">
        <f t="shared" si="17"/>
        <v>-1.1443910709239891E-2</v>
      </c>
    </row>
    <row r="15" spans="1:20" x14ac:dyDescent="0.2">
      <c r="A15" s="23">
        <f t="shared" si="18"/>
        <v>9</v>
      </c>
      <c r="B15" s="23" t="s">
        <v>304</v>
      </c>
      <c r="C15" s="370">
        <f t="shared" si="12"/>
        <v>660</v>
      </c>
      <c r="D15" s="68">
        <f t="shared" si="0"/>
        <v>68.98</v>
      </c>
      <c r="E15" s="68">
        <f t="shared" si="1"/>
        <v>0</v>
      </c>
      <c r="F15" s="68">
        <f t="shared" si="2"/>
        <v>-1.64</v>
      </c>
      <c r="G15" s="68">
        <f t="shared" si="3"/>
        <v>4.01</v>
      </c>
      <c r="H15" s="68">
        <f t="shared" si="4"/>
        <v>0.62</v>
      </c>
      <c r="I15" s="68">
        <f t="shared" si="5"/>
        <v>-0.23</v>
      </c>
      <c r="J15" s="68">
        <f t="shared" si="6"/>
        <v>-0.02</v>
      </c>
      <c r="K15" s="68">
        <f t="shared" si="7"/>
        <v>2.38</v>
      </c>
      <c r="L15" s="68">
        <f t="shared" si="8"/>
        <v>0</v>
      </c>
      <c r="M15" s="68">
        <f t="shared" si="9"/>
        <v>0.79</v>
      </c>
      <c r="N15" s="68">
        <f t="shared" si="10"/>
        <v>-4.8899999999999997</v>
      </c>
      <c r="O15" s="68">
        <f t="shared" si="13"/>
        <v>70.000000000000014</v>
      </c>
      <c r="P15" s="68">
        <f t="shared" si="14"/>
        <v>-4.01</v>
      </c>
      <c r="Q15" s="68">
        <f t="shared" si="11"/>
        <v>3.21</v>
      </c>
      <c r="R15" s="68">
        <f t="shared" si="15"/>
        <v>-0.79999999999999982</v>
      </c>
      <c r="S15" s="68">
        <f t="shared" si="16"/>
        <v>69.200000000000017</v>
      </c>
      <c r="T15" s="371">
        <f t="shared" si="17"/>
        <v>-1.1428571428571423E-2</v>
      </c>
    </row>
    <row r="16" spans="1:20" x14ac:dyDescent="0.2">
      <c r="A16" s="23">
        <f t="shared" si="18"/>
        <v>10</v>
      </c>
      <c r="B16" s="23" t="s">
        <v>305</v>
      </c>
      <c r="C16" s="370">
        <f t="shared" si="12"/>
        <v>803</v>
      </c>
      <c r="D16" s="68">
        <f t="shared" si="0"/>
        <v>84.88</v>
      </c>
      <c r="E16" s="68">
        <f t="shared" si="1"/>
        <v>0</v>
      </c>
      <c r="F16" s="68">
        <f t="shared" si="2"/>
        <v>-2</v>
      </c>
      <c r="G16" s="68">
        <f t="shared" si="3"/>
        <v>4.88</v>
      </c>
      <c r="H16" s="68">
        <f t="shared" si="4"/>
        <v>0.75</v>
      </c>
      <c r="I16" s="68">
        <f t="shared" si="5"/>
        <v>-0.28000000000000003</v>
      </c>
      <c r="J16" s="68">
        <f t="shared" si="6"/>
        <v>-0.03</v>
      </c>
      <c r="K16" s="68">
        <f t="shared" si="7"/>
        <v>2.89</v>
      </c>
      <c r="L16" s="68">
        <f t="shared" si="8"/>
        <v>0</v>
      </c>
      <c r="M16" s="68">
        <f t="shared" si="9"/>
        <v>0.96</v>
      </c>
      <c r="N16" s="68">
        <f t="shared" si="10"/>
        <v>-5.95</v>
      </c>
      <c r="O16" s="68">
        <f t="shared" si="13"/>
        <v>86.09999999999998</v>
      </c>
      <c r="P16" s="68">
        <f t="shared" si="14"/>
        <v>-4.88</v>
      </c>
      <c r="Q16" s="68">
        <f t="shared" si="11"/>
        <v>3.9</v>
      </c>
      <c r="R16" s="68">
        <f t="shared" si="15"/>
        <v>-0.98</v>
      </c>
      <c r="S16" s="68">
        <f t="shared" si="16"/>
        <v>85.119999999999976</v>
      </c>
      <c r="T16" s="371">
        <f t="shared" si="17"/>
        <v>-1.1382113821138214E-2</v>
      </c>
    </row>
    <row r="17" spans="1:20" x14ac:dyDescent="0.2">
      <c r="A17" s="23">
        <f t="shared" si="18"/>
        <v>11</v>
      </c>
      <c r="B17" s="23" t="s">
        <v>306</v>
      </c>
      <c r="C17" s="370">
        <f t="shared" si="12"/>
        <v>991</v>
      </c>
      <c r="D17" s="68">
        <f t="shared" si="0"/>
        <v>105.79</v>
      </c>
      <c r="E17" s="68">
        <f t="shared" si="1"/>
        <v>0</v>
      </c>
      <c r="F17" s="68">
        <f t="shared" si="2"/>
        <v>-2.4700000000000002</v>
      </c>
      <c r="G17" s="68">
        <f t="shared" si="3"/>
        <v>6.02</v>
      </c>
      <c r="H17" s="68">
        <f t="shared" si="4"/>
        <v>0.93</v>
      </c>
      <c r="I17" s="68">
        <f t="shared" si="5"/>
        <v>-0.34</v>
      </c>
      <c r="J17" s="68">
        <f t="shared" si="6"/>
        <v>-0.03</v>
      </c>
      <c r="K17" s="68">
        <f t="shared" si="7"/>
        <v>3.57</v>
      </c>
      <c r="L17" s="68">
        <f t="shared" si="8"/>
        <v>0</v>
      </c>
      <c r="M17" s="68">
        <f t="shared" si="9"/>
        <v>1.19</v>
      </c>
      <c r="N17" s="68">
        <f t="shared" si="10"/>
        <v>-7.34</v>
      </c>
      <c r="O17" s="68">
        <f t="shared" si="13"/>
        <v>107.32</v>
      </c>
      <c r="P17" s="68">
        <f t="shared" si="14"/>
        <v>-6.02</v>
      </c>
      <c r="Q17" s="68">
        <f t="shared" si="11"/>
        <v>4.82</v>
      </c>
      <c r="R17" s="68">
        <f t="shared" si="15"/>
        <v>-1.1999999999999993</v>
      </c>
      <c r="S17" s="68">
        <f t="shared" si="16"/>
        <v>106.11999999999999</v>
      </c>
      <c r="T17" s="371">
        <f t="shared" si="17"/>
        <v>-1.1181513231457317E-2</v>
      </c>
    </row>
    <row r="18" spans="1:20" x14ac:dyDescent="0.2">
      <c r="A18" s="23">
        <f t="shared" si="18"/>
        <v>12</v>
      </c>
      <c r="B18" s="23" t="s">
        <v>307</v>
      </c>
      <c r="C18" s="370">
        <f t="shared" si="12"/>
        <v>1257</v>
      </c>
      <c r="D18" s="68">
        <f t="shared" si="0"/>
        <v>135.36000000000001</v>
      </c>
      <c r="E18" s="68">
        <f t="shared" si="1"/>
        <v>0</v>
      </c>
      <c r="F18" s="68">
        <f t="shared" si="2"/>
        <v>-3.13</v>
      </c>
      <c r="G18" s="68">
        <f t="shared" si="3"/>
        <v>7.64</v>
      </c>
      <c r="H18" s="68">
        <f t="shared" si="4"/>
        <v>1.18</v>
      </c>
      <c r="I18" s="68">
        <f t="shared" si="5"/>
        <v>-0.43</v>
      </c>
      <c r="J18" s="68">
        <f t="shared" si="6"/>
        <v>-0.04</v>
      </c>
      <c r="K18" s="68">
        <f t="shared" si="7"/>
        <v>4.53</v>
      </c>
      <c r="L18" s="68">
        <f t="shared" si="8"/>
        <v>0</v>
      </c>
      <c r="M18" s="68">
        <f t="shared" si="9"/>
        <v>1.51</v>
      </c>
      <c r="N18" s="68">
        <f t="shared" si="10"/>
        <v>-9.31</v>
      </c>
      <c r="O18" s="68">
        <f t="shared" si="13"/>
        <v>137.31</v>
      </c>
      <c r="P18" s="68">
        <f t="shared" si="14"/>
        <v>-7.64</v>
      </c>
      <c r="Q18" s="68">
        <f t="shared" si="11"/>
        <v>6.11</v>
      </c>
      <c r="R18" s="68">
        <f t="shared" si="15"/>
        <v>-1.5299999999999994</v>
      </c>
      <c r="S18" s="68">
        <f t="shared" si="16"/>
        <v>135.78</v>
      </c>
      <c r="T18" s="371">
        <f t="shared" si="17"/>
        <v>-1.1142669871094598E-2</v>
      </c>
    </row>
    <row r="19" spans="1:20" x14ac:dyDescent="0.2">
      <c r="A19" s="23">
        <f t="shared" si="18"/>
        <v>13</v>
      </c>
      <c r="D19" s="68"/>
      <c r="E19" s="68"/>
      <c r="F19" s="68"/>
      <c r="G19" s="68"/>
      <c r="H19" s="68"/>
      <c r="I19" s="68"/>
      <c r="J19" s="68"/>
      <c r="K19" s="68"/>
      <c r="L19" s="68"/>
      <c r="M19" s="68"/>
      <c r="N19" s="68"/>
      <c r="O19" s="68"/>
      <c r="P19" s="68"/>
      <c r="Q19" s="68"/>
      <c r="R19" s="68"/>
      <c r="S19" s="68"/>
      <c r="T19" s="371"/>
    </row>
    <row r="20" spans="1:20" ht="13.5" thickBot="1" x14ac:dyDescent="0.25">
      <c r="A20" s="23">
        <f t="shared" si="18"/>
        <v>14</v>
      </c>
      <c r="B20" s="210" t="s">
        <v>308</v>
      </c>
      <c r="C20" s="372">
        <f>SUM(C7:C19)</f>
        <v>10490</v>
      </c>
      <c r="D20" s="69">
        <f>SUM(D7:D19)</f>
        <v>1113.5299999999997</v>
      </c>
      <c r="E20" s="69">
        <f>SUM(E7:E19)</f>
        <v>0</v>
      </c>
      <c r="F20" s="69">
        <f>SUM(F7:F19)</f>
        <v>-26.129999999999995</v>
      </c>
      <c r="G20" s="69">
        <f t="shared" ref="G20:S20" si="19">SUM(G7:G19)</f>
        <v>63.730000000000004</v>
      </c>
      <c r="H20" s="69">
        <f t="shared" si="19"/>
        <v>9.83</v>
      </c>
      <c r="I20" s="69">
        <f t="shared" si="19"/>
        <v>-3.6300000000000003</v>
      </c>
      <c r="J20" s="69">
        <f t="shared" si="19"/>
        <v>-0.35999999999999993</v>
      </c>
      <c r="K20" s="69">
        <f t="shared" si="19"/>
        <v>37.799999999999997</v>
      </c>
      <c r="L20" s="69">
        <f t="shared" si="19"/>
        <v>0</v>
      </c>
      <c r="M20" s="69">
        <f t="shared" si="19"/>
        <v>12.59</v>
      </c>
      <c r="N20" s="69">
        <f t="shared" si="19"/>
        <v>-77.69</v>
      </c>
      <c r="O20" s="69">
        <f t="shared" si="19"/>
        <v>1129.67</v>
      </c>
      <c r="P20" s="69">
        <f t="shared" si="19"/>
        <v>-63.730000000000004</v>
      </c>
      <c r="Q20" s="69">
        <f t="shared" si="19"/>
        <v>50.980000000000004</v>
      </c>
      <c r="R20" s="69">
        <f t="shared" si="19"/>
        <v>-12.749999999999998</v>
      </c>
      <c r="S20" s="69">
        <f t="shared" si="19"/>
        <v>1116.92</v>
      </c>
      <c r="T20" s="373">
        <f t="shared" si="17"/>
        <v>-1.1286481892942185E-2</v>
      </c>
    </row>
    <row r="21" spans="1:20" ht="13.5" thickTop="1" x14ac:dyDescent="0.2">
      <c r="A21" s="23">
        <f t="shared" si="18"/>
        <v>15</v>
      </c>
      <c r="B21" s="210"/>
      <c r="D21" s="70"/>
      <c r="E21" s="70"/>
      <c r="F21" s="70"/>
      <c r="G21" s="70"/>
      <c r="H21" s="70"/>
      <c r="I21" s="70"/>
      <c r="J21" s="70"/>
      <c r="K21" s="70"/>
      <c r="L21" s="70"/>
      <c r="M21" s="70"/>
      <c r="N21" s="70"/>
      <c r="O21" s="70"/>
      <c r="P21" s="70"/>
      <c r="Q21" s="70"/>
      <c r="R21" s="70"/>
      <c r="S21" s="70"/>
      <c r="T21" s="374"/>
    </row>
    <row r="22" spans="1:20" ht="13.5" thickBot="1" x14ac:dyDescent="0.25">
      <c r="A22" s="23">
        <f t="shared" si="18"/>
        <v>16</v>
      </c>
      <c r="B22" s="375" t="s">
        <v>309</v>
      </c>
      <c r="C22" s="372">
        <f>ROUND(+C20/12,0)</f>
        <v>874</v>
      </c>
      <c r="D22" s="69">
        <f>+D20/12</f>
        <v>92.794166666666641</v>
      </c>
      <c r="E22" s="69">
        <f>+E20/12</f>
        <v>0</v>
      </c>
      <c r="F22" s="69">
        <f>+F20/12</f>
        <v>-2.1774999999999998</v>
      </c>
      <c r="G22" s="69">
        <f t="shared" ref="G22:S22" si="20">+G20/12</f>
        <v>5.310833333333334</v>
      </c>
      <c r="H22" s="69">
        <f t="shared" si="20"/>
        <v>0.81916666666666671</v>
      </c>
      <c r="I22" s="69">
        <f t="shared" si="20"/>
        <v>-0.30250000000000005</v>
      </c>
      <c r="J22" s="69">
        <f t="shared" si="20"/>
        <v>-2.9999999999999995E-2</v>
      </c>
      <c r="K22" s="69">
        <f t="shared" si="20"/>
        <v>3.15</v>
      </c>
      <c r="L22" s="69">
        <f t="shared" si="20"/>
        <v>0</v>
      </c>
      <c r="M22" s="69">
        <f t="shared" si="20"/>
        <v>1.0491666666666666</v>
      </c>
      <c r="N22" s="69">
        <f t="shared" si="20"/>
        <v>-6.4741666666666662</v>
      </c>
      <c r="O22" s="69">
        <f t="shared" si="20"/>
        <v>94.139166666666668</v>
      </c>
      <c r="P22" s="69">
        <f t="shared" si="20"/>
        <v>-5.310833333333334</v>
      </c>
      <c r="Q22" s="69">
        <f t="shared" si="20"/>
        <v>4.248333333333334</v>
      </c>
      <c r="R22" s="69">
        <f t="shared" si="20"/>
        <v>-1.0624999999999998</v>
      </c>
      <c r="S22" s="69">
        <f t="shared" si="20"/>
        <v>93.076666666666668</v>
      </c>
      <c r="T22" s="373">
        <f t="shared" si="17"/>
        <v>-1.1286481892942185E-2</v>
      </c>
    </row>
    <row r="23" spans="1:20" ht="13.5" thickTop="1" x14ac:dyDescent="0.2">
      <c r="A23" s="23">
        <f t="shared" si="18"/>
        <v>17</v>
      </c>
      <c r="D23" s="70"/>
      <c r="E23" s="70"/>
      <c r="F23" s="70"/>
      <c r="G23" s="70"/>
      <c r="H23" s="70"/>
      <c r="I23" s="70"/>
      <c r="J23" s="70"/>
      <c r="K23" s="70"/>
      <c r="L23" s="70"/>
      <c r="M23" s="70"/>
      <c r="N23" s="70"/>
      <c r="O23" s="70"/>
      <c r="P23" s="70"/>
      <c r="Q23" s="70"/>
      <c r="R23" s="70"/>
      <c r="S23" s="70"/>
    </row>
    <row r="24" spans="1:20" x14ac:dyDescent="0.2">
      <c r="A24" s="23">
        <f t="shared" si="18"/>
        <v>18</v>
      </c>
      <c r="B24" s="23" t="s">
        <v>310</v>
      </c>
      <c r="D24" s="70">
        <f>+D20/$C$20*100</f>
        <v>10.615157292659672</v>
      </c>
      <c r="E24" s="70">
        <f t="shared" ref="E24:S24" si="21">+E20/$C$20*100</f>
        <v>0</v>
      </c>
      <c r="F24" s="70">
        <f t="shared" si="21"/>
        <v>-0.2490943755958055</v>
      </c>
      <c r="G24" s="70">
        <f t="shared" si="21"/>
        <v>0.60753098188751198</v>
      </c>
      <c r="H24" s="70">
        <f t="shared" si="21"/>
        <v>9.3708293612964733E-2</v>
      </c>
      <c r="I24" s="70">
        <f t="shared" si="21"/>
        <v>-3.4604385128693994E-2</v>
      </c>
      <c r="J24" s="70">
        <f t="shared" si="21"/>
        <v>-3.4318398474737838E-3</v>
      </c>
      <c r="K24" s="70">
        <f t="shared" si="21"/>
        <v>0.36034318398474735</v>
      </c>
      <c r="L24" s="70">
        <f t="shared" si="21"/>
        <v>0</v>
      </c>
      <c r="M24" s="70">
        <f t="shared" si="21"/>
        <v>0.12001906577693042</v>
      </c>
      <c r="N24" s="70">
        <f t="shared" si="21"/>
        <v>-0.74061010486177314</v>
      </c>
      <c r="O24" s="70">
        <f t="shared" si="21"/>
        <v>10.769018112488085</v>
      </c>
      <c r="P24" s="70">
        <f t="shared" si="21"/>
        <v>-0.60753098188751198</v>
      </c>
      <c r="Q24" s="70">
        <f t="shared" si="21"/>
        <v>0.48598665395614876</v>
      </c>
      <c r="R24" s="70">
        <f t="shared" si="21"/>
        <v>-0.12154432793136317</v>
      </c>
      <c r="S24" s="70">
        <f t="shared" si="21"/>
        <v>10.647473784556722</v>
      </c>
    </row>
    <row r="25" spans="1:20" x14ac:dyDescent="0.2">
      <c r="A25" s="23">
        <f t="shared" si="18"/>
        <v>19</v>
      </c>
      <c r="D25" s="70"/>
      <c r="E25" s="70"/>
      <c r="F25" s="70"/>
      <c r="G25" s="70"/>
      <c r="H25" s="70"/>
      <c r="I25" s="70"/>
      <c r="J25" s="70"/>
      <c r="K25" s="70"/>
      <c r="L25" s="70"/>
      <c r="M25" s="70"/>
      <c r="N25" s="70"/>
      <c r="O25" s="70"/>
      <c r="P25" s="70"/>
      <c r="Q25" s="70"/>
      <c r="R25" s="70"/>
      <c r="S25" s="70"/>
    </row>
    <row r="26" spans="1:20" ht="13.5" thickBot="1" x14ac:dyDescent="0.25">
      <c r="A26" s="23">
        <f t="shared" si="18"/>
        <v>20</v>
      </c>
      <c r="B26" s="375" t="s">
        <v>311</v>
      </c>
      <c r="C26" s="372">
        <v>1000</v>
      </c>
      <c r="D26" s="69">
        <f>ROUND($G$32+IF($C26&gt;600,(600*$G$36+(($C26-600)*$G$43)),$C26*$G$36),2)</f>
        <v>106.79</v>
      </c>
      <c r="E26" s="69">
        <f>ROUND($C26*$G$54,2)</f>
        <v>0</v>
      </c>
      <c r="F26" s="69">
        <f>ROUND($C26*$G$55,2)</f>
        <v>-2.4900000000000002</v>
      </c>
      <c r="G26" s="69">
        <f>ROUND($C26*$G$56,2)</f>
        <v>6.08</v>
      </c>
      <c r="H26" s="69">
        <f>ROUND($C26*$G$37,2)</f>
        <v>0.94</v>
      </c>
      <c r="I26" s="69">
        <f>ROUND($C26*$G$57,2)</f>
        <v>-0.35</v>
      </c>
      <c r="J26" s="69">
        <f>ROUND($C26*$G$58,2)</f>
        <v>-0.04</v>
      </c>
      <c r="K26" s="69">
        <f>ROUND($C26*$G$38,2)</f>
        <v>3.6</v>
      </c>
      <c r="L26" s="69">
        <f>ROUND($G$33+IF($C26&gt;600,(600*$G$39+(($C26-600)*$G$46)),$C26*$G$36),2)</f>
        <v>0</v>
      </c>
      <c r="M26" s="69">
        <f>ROUND($C26*$G$40,2)</f>
        <v>1.2</v>
      </c>
      <c r="N26" s="69">
        <f>ROUND($C26*$G$50,2)</f>
        <v>-7.41</v>
      </c>
      <c r="O26" s="69">
        <f>SUM(D26:N26)</f>
        <v>108.32000000000001</v>
      </c>
      <c r="P26" s="69">
        <f>-SUM(G26)</f>
        <v>-6.08</v>
      </c>
      <c r="Q26" s="69">
        <f>+ROUND($C26*$H$56,2)</f>
        <v>4.8600000000000003</v>
      </c>
      <c r="R26" s="69">
        <f>SUM(P26:Q26)</f>
        <v>-1.2199999999999998</v>
      </c>
      <c r="S26" s="69">
        <f>+O26+R26</f>
        <v>107.10000000000001</v>
      </c>
      <c r="T26" s="373">
        <f>+R26/O26</f>
        <v>-1.12629246676514E-2</v>
      </c>
    </row>
    <row r="27" spans="1:20" ht="13.5" thickTop="1" x14ac:dyDescent="0.2">
      <c r="A27" s="23">
        <f t="shared" si="18"/>
        <v>21</v>
      </c>
    </row>
    <row r="28" spans="1:20" ht="13.5" thickBot="1" x14ac:dyDescent="0.25">
      <c r="A28" s="23">
        <f t="shared" si="18"/>
        <v>22</v>
      </c>
      <c r="B28" s="375" t="s">
        <v>380</v>
      </c>
      <c r="C28" s="372">
        <f>ROUND(C22,-2)</f>
        <v>900</v>
      </c>
      <c r="D28" s="69">
        <f>ROUND($G$32+IF($C28&gt;600,(600*$G$36+(($C28-600)*$G$43)),$C28*$G$36),2)</f>
        <v>95.67</v>
      </c>
      <c r="E28" s="69">
        <f>ROUND($C28*$G$54,2)</f>
        <v>0</v>
      </c>
      <c r="F28" s="69">
        <f>ROUND($C28*$G$55,2)</f>
        <v>-2.2400000000000002</v>
      </c>
      <c r="G28" s="69">
        <f>ROUND($C28*$G$56,2)</f>
        <v>5.47</v>
      </c>
      <c r="H28" s="69">
        <f>ROUND($C28*$G$37,2)</f>
        <v>0.84</v>
      </c>
      <c r="I28" s="69">
        <f>ROUND($C28*$G$57,2)</f>
        <v>-0.31</v>
      </c>
      <c r="J28" s="69">
        <f>ROUND($C28*$G$58,2)</f>
        <v>-0.03</v>
      </c>
      <c r="K28" s="69">
        <f>ROUND($C28*$G$38,2)</f>
        <v>3.24</v>
      </c>
      <c r="L28" s="69">
        <f>ROUND($G$33+IF($C28&gt;600,(600*$G$39+(($C28-600)*$G$46)),$C28*$G$36),2)</f>
        <v>0</v>
      </c>
      <c r="M28" s="69">
        <f>ROUND($C28*$G$40,2)</f>
        <v>1.08</v>
      </c>
      <c r="N28" s="69">
        <f>ROUND($C28*$G$50,2)</f>
        <v>-6.67</v>
      </c>
      <c r="O28" s="69">
        <f>SUM(D28:N28)</f>
        <v>97.05</v>
      </c>
      <c r="P28" s="69">
        <f>-SUM(G28)</f>
        <v>-5.47</v>
      </c>
      <c r="Q28" s="69">
        <f>+ROUND($C28*$H$56,2)</f>
        <v>4.37</v>
      </c>
      <c r="R28" s="69">
        <f>SUM(P28:Q28)</f>
        <v>-1.0999999999999996</v>
      </c>
      <c r="S28" s="69">
        <f>+O28+R28</f>
        <v>95.95</v>
      </c>
      <c r="T28" s="373">
        <f>+R28/O28</f>
        <v>-1.1334363730036061E-2</v>
      </c>
    </row>
    <row r="29" spans="1:20" ht="13.5" thickTop="1" x14ac:dyDescent="0.2"/>
    <row r="30" spans="1:20" ht="51" x14ac:dyDescent="0.2">
      <c r="A30" s="23">
        <f>1+A28</f>
        <v>23</v>
      </c>
      <c r="B30" s="376" t="s">
        <v>312</v>
      </c>
      <c r="C30" s="377"/>
      <c r="D30" s="377"/>
      <c r="E30" s="377"/>
      <c r="G30" s="72" t="s">
        <v>361</v>
      </c>
      <c r="H30" s="73" t="s">
        <v>362</v>
      </c>
      <c r="I30" s="71"/>
      <c r="J30" s="71"/>
      <c r="K30" s="71"/>
      <c r="L30" s="71"/>
      <c r="M30" s="71"/>
      <c r="N30" s="71"/>
    </row>
    <row r="31" spans="1:20" x14ac:dyDescent="0.2">
      <c r="A31" s="23">
        <f t="shared" si="18"/>
        <v>24</v>
      </c>
      <c r="B31" s="397" t="s">
        <v>313</v>
      </c>
      <c r="C31" s="397"/>
      <c r="D31" s="397"/>
      <c r="E31" s="397"/>
      <c r="G31" s="74"/>
      <c r="H31" s="75"/>
      <c r="I31" s="71"/>
      <c r="J31" s="71"/>
      <c r="K31" s="71"/>
      <c r="L31" s="71"/>
      <c r="M31" s="71"/>
      <c r="N31" s="71"/>
    </row>
    <row r="32" spans="1:20" x14ac:dyDescent="0.2">
      <c r="A32" s="23">
        <f t="shared" si="18"/>
        <v>25</v>
      </c>
      <c r="B32" s="400" t="s">
        <v>314</v>
      </c>
      <c r="C32" s="400"/>
      <c r="D32" s="400"/>
      <c r="E32" s="400"/>
      <c r="G32" s="76">
        <v>7.49</v>
      </c>
      <c r="H32" s="77">
        <f>+G32</f>
        <v>7.49</v>
      </c>
      <c r="I32" s="71" t="s">
        <v>315</v>
      </c>
      <c r="J32" s="71"/>
      <c r="K32" s="71"/>
      <c r="L32" s="71"/>
      <c r="M32" s="71"/>
      <c r="N32" s="71"/>
    </row>
    <row r="33" spans="1:14" x14ac:dyDescent="0.2">
      <c r="A33" s="23">
        <f t="shared" si="18"/>
        <v>26</v>
      </c>
      <c r="B33" s="400" t="s">
        <v>316</v>
      </c>
      <c r="C33" s="400"/>
      <c r="D33" s="400"/>
      <c r="E33" s="400"/>
      <c r="G33" s="78">
        <v>0</v>
      </c>
      <c r="H33" s="79">
        <f>+G33</f>
        <v>0</v>
      </c>
      <c r="I33" s="71" t="s">
        <v>315</v>
      </c>
      <c r="J33" s="71"/>
      <c r="K33" s="71"/>
      <c r="L33" s="71"/>
      <c r="M33" s="71"/>
      <c r="N33" s="71"/>
    </row>
    <row r="34" spans="1:14" ht="13.5" thickBot="1" x14ac:dyDescent="0.25">
      <c r="A34" s="23">
        <f t="shared" si="18"/>
        <v>27</v>
      </c>
      <c r="B34" s="398" t="s">
        <v>317</v>
      </c>
      <c r="C34" s="398"/>
      <c r="D34" s="398"/>
      <c r="E34" s="398"/>
      <c r="G34" s="80">
        <f>SUM(G32:G33)</f>
        <v>7.49</v>
      </c>
      <c r="H34" s="81">
        <f>SUM(H32:H33)</f>
        <v>7.49</v>
      </c>
      <c r="I34" s="71"/>
      <c r="J34" s="71"/>
      <c r="K34" s="71"/>
      <c r="L34" s="71"/>
      <c r="M34" s="71"/>
      <c r="N34" s="71"/>
    </row>
    <row r="35" spans="1:14" ht="13.5" thickTop="1" x14ac:dyDescent="0.2">
      <c r="A35" s="23">
        <f t="shared" si="18"/>
        <v>28</v>
      </c>
      <c r="B35" s="397" t="s">
        <v>318</v>
      </c>
      <c r="C35" s="397"/>
      <c r="D35" s="397"/>
      <c r="E35" s="397"/>
      <c r="G35" s="82"/>
      <c r="H35" s="83"/>
      <c r="I35" s="71"/>
      <c r="J35" s="71"/>
      <c r="K35" s="71"/>
      <c r="L35" s="71"/>
      <c r="M35" s="71"/>
      <c r="N35" s="71"/>
    </row>
    <row r="36" spans="1:14" x14ac:dyDescent="0.2">
      <c r="A36" s="23">
        <f t="shared" si="18"/>
        <v>29</v>
      </c>
      <c r="B36" s="400" t="s">
        <v>319</v>
      </c>
      <c r="C36" s="400"/>
      <c r="D36" s="400"/>
      <c r="E36" s="400"/>
      <c r="G36" s="84">
        <v>9.1361999999999999E-2</v>
      </c>
      <c r="H36" s="85">
        <f>+G36</f>
        <v>9.1361999999999999E-2</v>
      </c>
      <c r="I36" s="71" t="s">
        <v>167</v>
      </c>
      <c r="J36" s="71"/>
      <c r="K36" s="71"/>
      <c r="L36" s="71"/>
      <c r="M36" s="71"/>
      <c r="N36" s="71"/>
    </row>
    <row r="37" spans="1:14" x14ac:dyDescent="0.2">
      <c r="A37" s="23">
        <f t="shared" si="18"/>
        <v>30</v>
      </c>
      <c r="B37" s="400" t="s">
        <v>320</v>
      </c>
      <c r="C37" s="400"/>
      <c r="D37" s="400"/>
      <c r="E37" s="400"/>
      <c r="G37" s="84">
        <v>9.3700000000000001E-4</v>
      </c>
      <c r="H37" s="85">
        <f>+G37</f>
        <v>9.3700000000000001E-4</v>
      </c>
      <c r="I37" s="71" t="s">
        <v>167</v>
      </c>
      <c r="J37" s="71"/>
      <c r="K37" s="71"/>
      <c r="L37" s="71"/>
      <c r="M37" s="71"/>
      <c r="N37" s="71"/>
    </row>
    <row r="38" spans="1:14" x14ac:dyDescent="0.2">
      <c r="A38" s="23">
        <f t="shared" si="18"/>
        <v>31</v>
      </c>
      <c r="B38" s="400" t="s">
        <v>321</v>
      </c>
      <c r="C38" s="400"/>
      <c r="D38" s="400"/>
      <c r="E38" s="400"/>
      <c r="G38" s="84">
        <v>3.604E-3</v>
      </c>
      <c r="H38" s="85">
        <f>+G38</f>
        <v>3.604E-3</v>
      </c>
      <c r="I38" s="71" t="s">
        <v>167</v>
      </c>
      <c r="J38" s="71"/>
      <c r="K38" s="71"/>
      <c r="L38" s="71"/>
      <c r="M38" s="71"/>
      <c r="N38" s="71"/>
    </row>
    <row r="39" spans="1:14" x14ac:dyDescent="0.2">
      <c r="A39" s="23">
        <f t="shared" si="18"/>
        <v>32</v>
      </c>
      <c r="B39" s="400" t="s">
        <v>322</v>
      </c>
      <c r="C39" s="400"/>
      <c r="D39" s="400"/>
      <c r="E39" s="400"/>
      <c r="G39" s="84">
        <v>0</v>
      </c>
      <c r="H39" s="85">
        <f>+G39</f>
        <v>0</v>
      </c>
      <c r="I39" s="71" t="s">
        <v>167</v>
      </c>
      <c r="J39" s="71"/>
      <c r="K39" s="71"/>
      <c r="L39" s="71"/>
      <c r="M39" s="71"/>
      <c r="N39" s="71"/>
    </row>
    <row r="40" spans="1:14" x14ac:dyDescent="0.2">
      <c r="A40" s="23">
        <f t="shared" si="18"/>
        <v>33</v>
      </c>
      <c r="B40" s="400" t="s">
        <v>323</v>
      </c>
      <c r="C40" s="400"/>
      <c r="D40" s="400"/>
      <c r="E40" s="400"/>
      <c r="G40" s="84">
        <v>1.201E-3</v>
      </c>
      <c r="H40" s="85">
        <f>+G40</f>
        <v>1.201E-3</v>
      </c>
      <c r="I40" s="71" t="s">
        <v>167</v>
      </c>
      <c r="J40" s="71"/>
      <c r="K40" s="71"/>
      <c r="L40" s="71"/>
      <c r="M40" s="71"/>
      <c r="N40" s="71"/>
    </row>
    <row r="41" spans="1:14" ht="13.5" thickBot="1" x14ac:dyDescent="0.25">
      <c r="A41" s="23">
        <f t="shared" si="18"/>
        <v>34</v>
      </c>
      <c r="B41" s="398" t="s">
        <v>324</v>
      </c>
      <c r="C41" s="398"/>
      <c r="D41" s="398"/>
      <c r="E41" s="398"/>
      <c r="G41" s="86">
        <f>SUM(G36:G40)</f>
        <v>9.7103999999999982E-2</v>
      </c>
      <c r="H41" s="87">
        <f>SUM(H36:H40)</f>
        <v>9.7103999999999982E-2</v>
      </c>
      <c r="I41" s="71" t="s">
        <v>167</v>
      </c>
      <c r="J41" s="71"/>
      <c r="K41" s="71"/>
      <c r="L41" s="71"/>
      <c r="M41" s="71"/>
      <c r="N41" s="71"/>
    </row>
    <row r="42" spans="1:14" ht="13.5" thickTop="1" x14ac:dyDescent="0.2">
      <c r="A42" s="23">
        <f t="shared" si="18"/>
        <v>35</v>
      </c>
      <c r="B42" s="397"/>
      <c r="C42" s="397"/>
      <c r="D42" s="397"/>
      <c r="E42" s="397"/>
      <c r="G42" s="84"/>
      <c r="H42" s="85"/>
      <c r="I42" s="71"/>
      <c r="J42" s="71"/>
      <c r="K42" s="71"/>
      <c r="L42" s="71"/>
      <c r="M42" s="71"/>
      <c r="N42" s="71"/>
    </row>
    <row r="43" spans="1:14" x14ac:dyDescent="0.2">
      <c r="A43" s="23">
        <f t="shared" si="18"/>
        <v>36</v>
      </c>
      <c r="B43" s="397" t="s">
        <v>325</v>
      </c>
      <c r="C43" s="397"/>
      <c r="D43" s="397"/>
      <c r="E43" s="397"/>
      <c r="G43" s="84">
        <v>0.111197</v>
      </c>
      <c r="H43" s="85">
        <f>+G43</f>
        <v>0.111197</v>
      </c>
      <c r="I43" s="71" t="s">
        <v>167</v>
      </c>
      <c r="J43" s="71"/>
      <c r="K43" s="71"/>
      <c r="L43" s="71"/>
      <c r="M43" s="71"/>
      <c r="N43" s="71"/>
    </row>
    <row r="44" spans="1:14" x14ac:dyDescent="0.2">
      <c r="A44" s="23">
        <f t="shared" si="18"/>
        <v>37</v>
      </c>
      <c r="B44" s="400" t="s">
        <v>320</v>
      </c>
      <c r="C44" s="400"/>
      <c r="D44" s="400"/>
      <c r="E44" s="400"/>
      <c r="G44" s="84">
        <f>+G37</f>
        <v>9.3700000000000001E-4</v>
      </c>
      <c r="H44" s="85">
        <f>+G44</f>
        <v>9.3700000000000001E-4</v>
      </c>
      <c r="I44" s="71" t="s">
        <v>167</v>
      </c>
      <c r="J44" s="71"/>
      <c r="K44" s="71"/>
      <c r="L44" s="71"/>
      <c r="M44" s="71"/>
      <c r="N44" s="71"/>
    </row>
    <row r="45" spans="1:14" x14ac:dyDescent="0.2">
      <c r="A45" s="23">
        <f t="shared" si="18"/>
        <v>38</v>
      </c>
      <c r="B45" s="400" t="s">
        <v>321</v>
      </c>
      <c r="C45" s="400"/>
      <c r="D45" s="400"/>
      <c r="E45" s="400"/>
      <c r="G45" s="84">
        <f t="shared" ref="G45:G47" si="22">+G38</f>
        <v>3.604E-3</v>
      </c>
      <c r="H45" s="85">
        <f>+G45</f>
        <v>3.604E-3</v>
      </c>
      <c r="I45" s="71" t="s">
        <v>167</v>
      </c>
      <c r="J45" s="71"/>
      <c r="K45" s="71"/>
      <c r="L45" s="71"/>
      <c r="M45" s="71"/>
      <c r="N45" s="71"/>
    </row>
    <row r="46" spans="1:14" x14ac:dyDescent="0.2">
      <c r="A46" s="23">
        <f t="shared" si="18"/>
        <v>39</v>
      </c>
      <c r="B46" s="400" t="s">
        <v>326</v>
      </c>
      <c r="C46" s="400"/>
      <c r="D46" s="400"/>
      <c r="E46" s="400"/>
      <c r="G46" s="84">
        <f t="shared" si="22"/>
        <v>0</v>
      </c>
      <c r="H46" s="85">
        <f>+G46</f>
        <v>0</v>
      </c>
      <c r="I46" s="71" t="s">
        <v>167</v>
      </c>
      <c r="J46" s="71"/>
      <c r="K46" s="71"/>
      <c r="L46" s="71"/>
      <c r="M46" s="71"/>
      <c r="N46" s="71"/>
    </row>
    <row r="47" spans="1:14" x14ac:dyDescent="0.2">
      <c r="A47" s="23">
        <f t="shared" si="18"/>
        <v>40</v>
      </c>
      <c r="B47" s="400" t="s">
        <v>323</v>
      </c>
      <c r="C47" s="400"/>
      <c r="D47" s="400"/>
      <c r="E47" s="400"/>
      <c r="G47" s="84">
        <f t="shared" si="22"/>
        <v>1.201E-3</v>
      </c>
      <c r="H47" s="85">
        <f>+G47</f>
        <v>1.201E-3</v>
      </c>
      <c r="I47" s="71" t="s">
        <v>167</v>
      </c>
      <c r="J47" s="71"/>
      <c r="K47" s="71"/>
      <c r="L47" s="71"/>
      <c r="M47" s="71"/>
      <c r="N47" s="71"/>
    </row>
    <row r="48" spans="1:14" ht="13.5" thickBot="1" x14ac:dyDescent="0.25">
      <c r="A48" s="23">
        <f t="shared" si="18"/>
        <v>41</v>
      </c>
      <c r="B48" s="398" t="s">
        <v>327</v>
      </c>
      <c r="C48" s="398"/>
      <c r="D48" s="398"/>
      <c r="E48" s="398"/>
      <c r="G48" s="86">
        <f>SUM(G43:G47)</f>
        <v>0.11693899999999999</v>
      </c>
      <c r="H48" s="87">
        <f>SUM(H43:H47)</f>
        <v>0.11693899999999999</v>
      </c>
      <c r="I48" s="71" t="s">
        <v>167</v>
      </c>
      <c r="J48" s="71"/>
      <c r="K48" s="71"/>
      <c r="L48" s="71"/>
      <c r="M48" s="71"/>
      <c r="N48" s="71"/>
    </row>
    <row r="49" spans="1:14" ht="13.5" thickTop="1" x14ac:dyDescent="0.2">
      <c r="A49" s="23">
        <f t="shared" si="18"/>
        <v>42</v>
      </c>
      <c r="B49" s="397"/>
      <c r="C49" s="397"/>
      <c r="D49" s="397"/>
      <c r="E49" s="397"/>
      <c r="G49" s="84"/>
      <c r="H49" s="85"/>
      <c r="I49" s="71"/>
      <c r="J49" s="71"/>
      <c r="K49" s="71"/>
      <c r="L49" s="71"/>
      <c r="M49" s="71"/>
      <c r="N49" s="71"/>
    </row>
    <row r="50" spans="1:14" x14ac:dyDescent="0.2">
      <c r="A50" s="23">
        <f t="shared" si="18"/>
        <v>43</v>
      </c>
      <c r="B50" s="398" t="s">
        <v>328</v>
      </c>
      <c r="C50" s="398"/>
      <c r="D50" s="398"/>
      <c r="E50" s="398"/>
      <c r="G50" s="84">
        <v>-7.4060000000000003E-3</v>
      </c>
      <c r="H50" s="85">
        <f>+G50</f>
        <v>-7.4060000000000003E-3</v>
      </c>
      <c r="I50" s="71" t="s">
        <v>167</v>
      </c>
      <c r="J50" s="71"/>
      <c r="K50" s="71"/>
      <c r="L50" s="71"/>
      <c r="M50" s="71"/>
      <c r="N50" s="71"/>
    </row>
    <row r="51" spans="1:14" x14ac:dyDescent="0.2">
      <c r="A51" s="23">
        <f t="shared" si="18"/>
        <v>44</v>
      </c>
      <c r="B51" s="398" t="s">
        <v>329</v>
      </c>
      <c r="C51" s="398"/>
      <c r="D51" s="398"/>
      <c r="E51" s="398"/>
      <c r="G51" s="84">
        <v>0</v>
      </c>
      <c r="H51" s="85">
        <f>+G51</f>
        <v>0</v>
      </c>
      <c r="I51" s="71" t="s">
        <v>167</v>
      </c>
      <c r="L51" s="71"/>
      <c r="M51" s="71"/>
      <c r="N51" s="71"/>
    </row>
    <row r="52" spans="1:14" x14ac:dyDescent="0.2">
      <c r="A52" s="23">
        <f t="shared" si="18"/>
        <v>45</v>
      </c>
      <c r="B52" s="397"/>
      <c r="C52" s="397"/>
      <c r="D52" s="397"/>
      <c r="E52" s="397"/>
      <c r="G52" s="84"/>
      <c r="H52" s="85"/>
      <c r="J52" s="71"/>
      <c r="K52" s="71"/>
      <c r="L52" s="71"/>
      <c r="M52" s="71"/>
      <c r="N52" s="71"/>
    </row>
    <row r="53" spans="1:14" x14ac:dyDescent="0.2">
      <c r="A53" s="23">
        <f t="shared" si="18"/>
        <v>46</v>
      </c>
      <c r="B53" s="397" t="s">
        <v>330</v>
      </c>
      <c r="C53" s="397"/>
      <c r="D53" s="397"/>
      <c r="E53" s="397"/>
      <c r="G53" s="84"/>
      <c r="H53" s="85"/>
      <c r="I53" s="71" t="s">
        <v>167</v>
      </c>
      <c r="J53" s="71"/>
      <c r="K53" s="71"/>
      <c r="L53" s="71"/>
      <c r="M53" s="71"/>
      <c r="N53" s="71"/>
    </row>
    <row r="54" spans="1:14" x14ac:dyDescent="0.2">
      <c r="A54" s="23">
        <f t="shared" si="18"/>
        <v>47</v>
      </c>
      <c r="B54" s="400" t="s">
        <v>331</v>
      </c>
      <c r="C54" s="400"/>
      <c r="D54" s="400"/>
      <c r="E54" s="400"/>
      <c r="G54" s="84">
        <v>0</v>
      </c>
      <c r="H54" s="85">
        <f>+G54</f>
        <v>0</v>
      </c>
      <c r="I54" s="71" t="s">
        <v>167</v>
      </c>
      <c r="J54" s="71"/>
      <c r="K54" s="71"/>
      <c r="L54" s="71"/>
      <c r="M54" s="71"/>
      <c r="N54" s="71"/>
    </row>
    <row r="55" spans="1:14" x14ac:dyDescent="0.2">
      <c r="A55" s="23">
        <f t="shared" si="18"/>
        <v>48</v>
      </c>
      <c r="B55" s="400" t="s">
        <v>332</v>
      </c>
      <c r="C55" s="400"/>
      <c r="D55" s="400"/>
      <c r="E55" s="400"/>
      <c r="G55" s="84">
        <v>-2.4910000000000002E-3</v>
      </c>
      <c r="H55" s="85">
        <f>+G55</f>
        <v>-2.4910000000000002E-3</v>
      </c>
      <c r="I55" s="71" t="s">
        <v>167</v>
      </c>
      <c r="J55" s="71"/>
      <c r="K55" s="71"/>
      <c r="L55" s="71"/>
      <c r="M55" s="71"/>
      <c r="N55" s="71"/>
    </row>
    <row r="56" spans="1:14" x14ac:dyDescent="0.2">
      <c r="A56" s="23">
        <f t="shared" si="18"/>
        <v>49</v>
      </c>
      <c r="B56" s="400" t="s">
        <v>333</v>
      </c>
      <c r="C56" s="400"/>
      <c r="D56" s="400"/>
      <c r="E56" s="400"/>
      <c r="G56" s="84">
        <f>+'Proforma - Proposed  Revenue'!F7</f>
        <v>6.0750000000000005E-3</v>
      </c>
      <c r="H56" s="84">
        <f>+'Proforma - Proposed  Revenue'!G7</f>
        <v>4.8599999999999997E-3</v>
      </c>
      <c r="I56" s="71" t="s">
        <v>167</v>
      </c>
      <c r="J56" s="71"/>
      <c r="K56" s="71"/>
      <c r="L56" s="71"/>
      <c r="M56" s="71"/>
      <c r="N56" s="71"/>
    </row>
    <row r="57" spans="1:14" x14ac:dyDescent="0.2">
      <c r="A57" s="23">
        <f t="shared" si="18"/>
        <v>50</v>
      </c>
      <c r="B57" s="400" t="s">
        <v>334</v>
      </c>
      <c r="C57" s="400"/>
      <c r="D57" s="400"/>
      <c r="E57" s="400"/>
      <c r="G57" s="84">
        <v>-3.4600000000000001E-4</v>
      </c>
      <c r="H57" s="85">
        <f t="shared" ref="H57:H58" si="23">+G57</f>
        <v>-3.4600000000000001E-4</v>
      </c>
      <c r="I57" s="71" t="s">
        <v>167</v>
      </c>
      <c r="J57" s="71"/>
      <c r="K57" s="71"/>
      <c r="L57" s="71"/>
      <c r="M57" s="71"/>
      <c r="N57" s="71"/>
    </row>
    <row r="58" spans="1:14" x14ac:dyDescent="0.2">
      <c r="A58" s="23">
        <f t="shared" si="18"/>
        <v>51</v>
      </c>
      <c r="B58" s="400" t="s">
        <v>335</v>
      </c>
      <c r="C58" s="400"/>
      <c r="D58" s="400"/>
      <c r="E58" s="400"/>
      <c r="G58" s="84">
        <v>-3.4999999999999997E-5</v>
      </c>
      <c r="H58" s="85">
        <f t="shared" si="23"/>
        <v>-3.4999999999999997E-5</v>
      </c>
      <c r="I58" s="71" t="s">
        <v>167</v>
      </c>
      <c r="J58" s="71"/>
      <c r="K58" s="71"/>
      <c r="L58" s="71"/>
      <c r="M58" s="71"/>
      <c r="N58" s="71"/>
    </row>
    <row r="59" spans="1:14" ht="13.5" thickBot="1" x14ac:dyDescent="0.25">
      <c r="A59" s="23">
        <f t="shared" si="18"/>
        <v>52</v>
      </c>
      <c r="B59" s="398" t="s">
        <v>336</v>
      </c>
      <c r="C59" s="398"/>
      <c r="D59" s="398"/>
      <c r="E59" s="398"/>
      <c r="G59" s="86">
        <f>SUM(G54:G58)</f>
        <v>3.2030000000000006E-3</v>
      </c>
      <c r="H59" s="87">
        <f>SUM(H54:H58)</f>
        <v>1.9879999999999997E-3</v>
      </c>
      <c r="I59" s="71" t="s">
        <v>167</v>
      </c>
    </row>
    <row r="60" spans="1:14" ht="13.5" thickTop="1" x14ac:dyDescent="0.2">
      <c r="A60" s="23">
        <f t="shared" si="18"/>
        <v>53</v>
      </c>
      <c r="B60" s="397"/>
      <c r="C60" s="397"/>
      <c r="D60" s="397"/>
      <c r="E60" s="397"/>
      <c r="G60" s="82"/>
      <c r="H60" s="83"/>
    </row>
    <row r="61" spans="1:14" x14ac:dyDescent="0.2">
      <c r="A61" s="23">
        <f t="shared" si="18"/>
        <v>54</v>
      </c>
      <c r="B61" s="398" t="s">
        <v>337</v>
      </c>
      <c r="C61" s="398"/>
      <c r="D61" s="398"/>
      <c r="E61" s="398"/>
      <c r="G61" s="88">
        <f>SUM(G41,G50:G51,G59)</f>
        <v>9.2900999999999984E-2</v>
      </c>
      <c r="H61" s="89">
        <f>SUM(H41,H50:H51,H59)</f>
        <v>9.168599999999999E-2</v>
      </c>
      <c r="I61" s="71" t="s">
        <v>167</v>
      </c>
    </row>
    <row r="62" spans="1:14" x14ac:dyDescent="0.2">
      <c r="A62" s="23">
        <f t="shared" si="18"/>
        <v>55</v>
      </c>
      <c r="B62" s="398" t="s">
        <v>338</v>
      </c>
      <c r="C62" s="398"/>
      <c r="D62" s="398"/>
      <c r="E62" s="398"/>
      <c r="G62" s="90">
        <f>SUM(G48,G50:G51,G59)</f>
        <v>0.11273599999999999</v>
      </c>
      <c r="H62" s="91">
        <f>SUM(H48,H50:H51,H59)</f>
        <v>0.111521</v>
      </c>
      <c r="I62" s="71" t="s">
        <v>167</v>
      </c>
    </row>
    <row r="66" spans="2:20" x14ac:dyDescent="0.2">
      <c r="C66" s="399" t="s">
        <v>363</v>
      </c>
      <c r="D66" s="399"/>
      <c r="E66" s="399"/>
    </row>
    <row r="67" spans="2:20" ht="51" x14ac:dyDescent="0.2">
      <c r="B67" s="92"/>
      <c r="C67" s="92" t="s">
        <v>339</v>
      </c>
      <c r="D67" s="92" t="s">
        <v>340</v>
      </c>
      <c r="E67" s="92" t="s">
        <v>341</v>
      </c>
      <c r="F67" s="92"/>
      <c r="G67" s="92"/>
      <c r="H67" s="92"/>
      <c r="I67" s="92"/>
      <c r="J67" s="92"/>
      <c r="K67" s="92"/>
      <c r="L67" s="92"/>
      <c r="M67" s="92"/>
      <c r="N67" s="92"/>
      <c r="O67" s="92"/>
      <c r="P67" s="92"/>
      <c r="Q67" s="92"/>
      <c r="R67" s="92"/>
      <c r="S67" s="92"/>
      <c r="T67" s="92"/>
    </row>
    <row r="68" spans="2:20" x14ac:dyDescent="0.2">
      <c r="B68" s="23" t="str">
        <f t="shared" ref="B68:B79" si="24">+B7</f>
        <v>January</v>
      </c>
      <c r="C68" s="66">
        <v>1234636000</v>
      </c>
      <c r="D68" s="66">
        <v>1016496</v>
      </c>
      <c r="E68" s="66">
        <f>ROUND(+C68/D68,0)</f>
        <v>1215</v>
      </c>
    </row>
    <row r="69" spans="2:20" x14ac:dyDescent="0.2">
      <c r="B69" s="23" t="str">
        <f t="shared" si="24"/>
        <v>February</v>
      </c>
      <c r="C69" s="66">
        <v>1029270000</v>
      </c>
      <c r="D69" s="66">
        <v>1017516</v>
      </c>
      <c r="E69" s="66">
        <f t="shared" ref="E69:E79" si="25">ROUND(+C69/D69,0)</f>
        <v>1012</v>
      </c>
    </row>
    <row r="70" spans="2:20" x14ac:dyDescent="0.2">
      <c r="B70" s="23" t="str">
        <f t="shared" si="24"/>
        <v>March</v>
      </c>
      <c r="C70" s="66">
        <v>1024363000</v>
      </c>
      <c r="D70" s="66">
        <v>1018388</v>
      </c>
      <c r="E70" s="66">
        <f t="shared" si="25"/>
        <v>1006</v>
      </c>
    </row>
    <row r="71" spans="2:20" x14ac:dyDescent="0.2">
      <c r="B71" s="23" t="str">
        <f t="shared" si="24"/>
        <v>April</v>
      </c>
      <c r="C71" s="66">
        <v>843593000</v>
      </c>
      <c r="D71" s="66">
        <v>1019192</v>
      </c>
      <c r="E71" s="66">
        <f t="shared" si="25"/>
        <v>828</v>
      </c>
    </row>
    <row r="72" spans="2:20" x14ac:dyDescent="0.2">
      <c r="B72" s="23" t="str">
        <f t="shared" si="24"/>
        <v>May</v>
      </c>
      <c r="C72" s="66">
        <v>721943000</v>
      </c>
      <c r="D72" s="66">
        <v>1008265</v>
      </c>
      <c r="E72" s="66">
        <f t="shared" si="25"/>
        <v>716</v>
      </c>
    </row>
    <row r="73" spans="2:20" x14ac:dyDescent="0.2">
      <c r="B73" s="23" t="str">
        <f t="shared" si="24"/>
        <v>June</v>
      </c>
      <c r="C73" s="66">
        <v>667129000</v>
      </c>
      <c r="D73" s="66">
        <v>1008940</v>
      </c>
      <c r="E73" s="66">
        <f t="shared" si="25"/>
        <v>661</v>
      </c>
    </row>
    <row r="74" spans="2:20" x14ac:dyDescent="0.2">
      <c r="B74" s="23" t="str">
        <f t="shared" si="24"/>
        <v>July</v>
      </c>
      <c r="C74" s="66">
        <v>680085000</v>
      </c>
      <c r="D74" s="66">
        <v>1009438</v>
      </c>
      <c r="E74" s="66">
        <f t="shared" si="25"/>
        <v>674</v>
      </c>
    </row>
    <row r="75" spans="2:20" x14ac:dyDescent="0.2">
      <c r="B75" s="23" t="str">
        <f t="shared" si="24"/>
        <v>August</v>
      </c>
      <c r="C75" s="66">
        <v>674003000</v>
      </c>
      <c r="D75" s="66">
        <v>1010258</v>
      </c>
      <c r="E75" s="66">
        <f t="shared" si="25"/>
        <v>667</v>
      </c>
    </row>
    <row r="76" spans="2:20" x14ac:dyDescent="0.2">
      <c r="B76" s="23" t="str">
        <f t="shared" si="24"/>
        <v>September</v>
      </c>
      <c r="C76" s="66">
        <v>667633000</v>
      </c>
      <c r="D76" s="66">
        <v>1011360</v>
      </c>
      <c r="E76" s="66">
        <f t="shared" si="25"/>
        <v>660</v>
      </c>
    </row>
    <row r="77" spans="2:20" x14ac:dyDescent="0.2">
      <c r="B77" s="23" t="str">
        <f t="shared" si="24"/>
        <v>October</v>
      </c>
      <c r="C77" s="66">
        <v>813086000</v>
      </c>
      <c r="D77" s="66">
        <v>1012833</v>
      </c>
      <c r="E77" s="66">
        <f t="shared" si="25"/>
        <v>803</v>
      </c>
    </row>
    <row r="78" spans="2:20" x14ac:dyDescent="0.2">
      <c r="B78" s="23" t="str">
        <f t="shared" si="24"/>
        <v>November</v>
      </c>
      <c r="C78" s="66">
        <v>1005285000</v>
      </c>
      <c r="D78" s="66">
        <v>1014205</v>
      </c>
      <c r="E78" s="66">
        <f t="shared" si="25"/>
        <v>991</v>
      </c>
    </row>
    <row r="79" spans="2:20" x14ac:dyDescent="0.2">
      <c r="B79" s="23" t="str">
        <f t="shared" si="24"/>
        <v>December</v>
      </c>
      <c r="C79" s="66">
        <v>1276276000</v>
      </c>
      <c r="D79" s="66">
        <v>1015301</v>
      </c>
      <c r="E79" s="66">
        <f t="shared" si="25"/>
        <v>1257</v>
      </c>
    </row>
    <row r="80" spans="2:20" x14ac:dyDescent="0.2">
      <c r="B80" s="23" t="s">
        <v>19</v>
      </c>
      <c r="C80" s="66">
        <f>SUM(C68:C79)</f>
        <v>10637302000</v>
      </c>
      <c r="D80" s="66">
        <f>SUM(D68:D79)</f>
        <v>12162192</v>
      </c>
      <c r="E80" s="66">
        <f>SUM(E68:E79)</f>
        <v>10490</v>
      </c>
    </row>
    <row r="81" spans="2:5" x14ac:dyDescent="0.2">
      <c r="E81" s="66"/>
    </row>
    <row r="82" spans="2:5" x14ac:dyDescent="0.2">
      <c r="B82" s="23" t="s">
        <v>342</v>
      </c>
      <c r="C82" s="66"/>
      <c r="D82" s="66"/>
      <c r="E82" s="66">
        <f>ROUND(AVERAGE(E68:E79),0)</f>
        <v>874</v>
      </c>
    </row>
  </sheetData>
  <mergeCells count="34">
    <mergeCell ref="B41:E41"/>
    <mergeCell ref="D5:O5"/>
    <mergeCell ref="B31:E31"/>
    <mergeCell ref="B32:E32"/>
    <mergeCell ref="B33:E33"/>
    <mergeCell ref="B34:E34"/>
    <mergeCell ref="B35:E35"/>
    <mergeCell ref="B36:E36"/>
    <mergeCell ref="B37:E37"/>
    <mergeCell ref="B38:E38"/>
    <mergeCell ref="B39:E39"/>
    <mergeCell ref="B40:E40"/>
    <mergeCell ref="B53:E53"/>
    <mergeCell ref="B42:E42"/>
    <mergeCell ref="B43:E43"/>
    <mergeCell ref="B44:E44"/>
    <mergeCell ref="B45:E45"/>
    <mergeCell ref="B46:E46"/>
    <mergeCell ref="B47:E47"/>
    <mergeCell ref="B48:E48"/>
    <mergeCell ref="B49:E49"/>
    <mergeCell ref="B50:E50"/>
    <mergeCell ref="B51:E51"/>
    <mergeCell ref="B52:E52"/>
    <mergeCell ref="B60:E60"/>
    <mergeCell ref="B61:E61"/>
    <mergeCell ref="B62:E62"/>
    <mergeCell ref="C66:E66"/>
    <mergeCell ref="B54:E54"/>
    <mergeCell ref="B55:E55"/>
    <mergeCell ref="B56:E56"/>
    <mergeCell ref="B57:E57"/>
    <mergeCell ref="B58:E58"/>
    <mergeCell ref="B59:E59"/>
  </mergeCells>
  <printOptions horizontalCentered="1"/>
  <pageMargins left="0.7" right="0.7" top="0.75" bottom="0.75" header="0.3" footer="0.3"/>
  <pageSetup scale="60" orientation="landscape" r:id="rId1"/>
  <headerFooter alignWithMargins="0">
    <oddHeader>&amp;RAdvice No. 2018-xx
Electric Schedule 120 Rate Design Workpapers
Page &amp;P of &amp;N</oddHeader>
    <oddFooter>&amp;L&amp;F
&amp;A&amp;R&amp;D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1"/>
  <sheetViews>
    <sheetView zoomScaleNormal="100" workbookViewId="0">
      <pane xSplit="5" ySplit="5" topLeftCell="BL6"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4.42578125" style="6" bestFit="1" customWidth="1"/>
    <col min="2" max="2" width="30.42578125" style="6" bestFit="1" customWidth="1"/>
    <col min="3" max="3" width="11" style="181" bestFit="1" customWidth="1"/>
    <col min="4" max="4" width="17" style="106" bestFit="1" customWidth="1"/>
    <col min="5" max="5" width="17.7109375" style="106" bestFit="1" customWidth="1"/>
    <col min="6" max="6" width="1.85546875" style="106" customWidth="1"/>
    <col min="7" max="7" width="12" style="6" bestFit="1" customWidth="1"/>
    <col min="8" max="8" width="12.28515625" style="6" bestFit="1" customWidth="1"/>
    <col min="9" max="9" width="13" style="6" bestFit="1" customWidth="1"/>
    <col min="10" max="10" width="14.42578125" style="6" bestFit="1" customWidth="1"/>
    <col min="11" max="11" width="1.85546875" style="6" customWidth="1"/>
    <col min="12" max="12" width="13.7109375" style="6" bestFit="1" customWidth="1"/>
    <col min="13" max="13" width="12.7109375" style="6" bestFit="1" customWidth="1"/>
    <col min="14" max="14" width="12.5703125" style="6" bestFit="1" customWidth="1"/>
    <col min="15" max="15" width="1.85546875" style="6" customWidth="1"/>
    <col min="16" max="16" width="12.28515625" style="6" bestFit="1" customWidth="1"/>
    <col min="17" max="17" width="14.42578125" style="6" bestFit="1" customWidth="1"/>
    <col min="18" max="18" width="13.7109375" style="6" bestFit="1" customWidth="1"/>
    <col min="19" max="19" width="1.85546875" style="6" customWidth="1"/>
    <col min="20" max="20" width="13.28515625" style="6" bestFit="1" customWidth="1"/>
    <col min="21" max="21" width="14.42578125" style="6" bestFit="1" customWidth="1"/>
    <col min="22" max="22" width="13.7109375" style="6" bestFit="1" customWidth="1"/>
    <col min="23" max="23" width="1.85546875" style="6" customWidth="1"/>
    <col min="24" max="24" width="13" style="6" bestFit="1" customWidth="1"/>
    <col min="25" max="26" width="13.7109375" style="6" bestFit="1" customWidth="1"/>
    <col min="27" max="27" width="1.85546875" style="6" customWidth="1"/>
    <col min="28" max="28" width="11.85546875" style="6" bestFit="1" customWidth="1"/>
    <col min="29" max="30" width="12.28515625" style="6" bestFit="1" customWidth="1"/>
    <col min="31" max="31" width="1.85546875" style="6" customWidth="1"/>
    <col min="32" max="32" width="11.28515625" style="6" bestFit="1" customWidth="1"/>
    <col min="33" max="34" width="12.28515625" style="6" bestFit="1" customWidth="1"/>
    <col min="35" max="35" width="1.85546875" style="6" customWidth="1"/>
    <col min="36" max="36" width="12.85546875" style="6" bestFit="1" customWidth="1"/>
    <col min="37" max="38" width="12.28515625" style="6" bestFit="1" customWidth="1"/>
    <col min="39" max="39" width="1.85546875" style="6" customWidth="1"/>
    <col min="40" max="40" width="11.28515625" style="6" bestFit="1" customWidth="1"/>
    <col min="41" max="42" width="12.28515625" style="6" bestFit="1" customWidth="1"/>
    <col min="43" max="43" width="1.85546875" style="6" customWidth="1"/>
    <col min="44" max="44" width="12" style="6" customWidth="1"/>
    <col min="45" max="46" width="12.28515625" style="6" bestFit="1" customWidth="1"/>
    <col min="47" max="47" width="1.85546875" style="6" customWidth="1"/>
    <col min="48" max="48" width="12.85546875" style="6" bestFit="1" customWidth="1"/>
    <col min="49" max="49" width="12" style="6" customWidth="1"/>
    <col min="50" max="50" width="13.42578125" style="6" bestFit="1" customWidth="1"/>
    <col min="51" max="51" width="12.28515625" style="6" bestFit="1" customWidth="1"/>
    <col min="52" max="52" width="1.85546875" style="6" customWidth="1"/>
    <col min="53" max="53" width="12.85546875" style="6" bestFit="1" customWidth="1"/>
    <col min="54" max="54" width="13.42578125" style="6" bestFit="1" customWidth="1"/>
    <col min="55" max="55" width="12.28515625" style="6" bestFit="1" customWidth="1"/>
    <col min="56" max="56" width="1.85546875" style="6" customWidth="1"/>
    <col min="57" max="57" width="12.85546875" style="6" bestFit="1" customWidth="1"/>
    <col min="58" max="58" width="13.42578125" style="6" bestFit="1" customWidth="1"/>
    <col min="59" max="59" width="13.5703125" style="6" bestFit="1" customWidth="1"/>
    <col min="60" max="60" width="1.85546875" style="6" customWidth="1"/>
    <col min="61" max="61" width="12.85546875" style="6" bestFit="1" customWidth="1"/>
    <col min="62" max="62" width="13.42578125" style="6" bestFit="1" customWidth="1"/>
    <col min="63" max="63" width="13.5703125" style="6" bestFit="1" customWidth="1"/>
    <col min="64" max="64" width="1.85546875" style="6" customWidth="1"/>
    <col min="65" max="65" width="12.85546875" style="6" bestFit="1" customWidth="1"/>
    <col min="66" max="66" width="13.42578125" style="6" bestFit="1" customWidth="1"/>
    <col min="67" max="67" width="13.5703125" style="6" bestFit="1" customWidth="1"/>
    <col min="68" max="68" width="1.85546875" style="6" customWidth="1"/>
    <col min="69" max="69" width="12.85546875" style="6" bestFit="1" customWidth="1"/>
    <col min="70" max="70" width="13.42578125" style="6" bestFit="1" customWidth="1"/>
    <col min="71" max="71" width="13.5703125" style="6" bestFit="1" customWidth="1"/>
    <col min="72" max="72" width="1.85546875" style="6" customWidth="1"/>
    <col min="73" max="73" width="12.85546875" style="6" bestFit="1" customWidth="1"/>
    <col min="74" max="74" width="13.42578125" style="6" bestFit="1" customWidth="1"/>
    <col min="75" max="75" width="13.5703125" style="6" bestFit="1" customWidth="1"/>
    <col min="76" max="16384" width="9.140625" style="6"/>
  </cols>
  <sheetData>
    <row r="1" spans="1:75" x14ac:dyDescent="0.2">
      <c r="A1" s="182"/>
      <c r="B1" s="407" t="s">
        <v>96</v>
      </c>
      <c r="C1" s="407"/>
      <c r="D1" s="407"/>
      <c r="E1" s="408"/>
      <c r="F1" s="361"/>
      <c r="G1" s="25"/>
      <c r="H1" s="25"/>
      <c r="I1" s="25"/>
      <c r="J1" s="25"/>
      <c r="K1" s="25"/>
      <c r="L1" s="25"/>
      <c r="M1" s="25"/>
      <c r="N1" s="30"/>
      <c r="O1" s="25"/>
      <c r="P1" s="25"/>
      <c r="Q1" s="25"/>
      <c r="R1" s="25"/>
      <c r="S1" s="25"/>
      <c r="T1" s="25"/>
      <c r="U1" s="25"/>
      <c r="V1" s="25"/>
      <c r="W1" s="25"/>
      <c r="X1" s="25"/>
      <c r="Y1" s="25"/>
      <c r="Z1" s="30"/>
      <c r="AA1" s="25"/>
      <c r="AB1" s="25"/>
      <c r="AC1" s="25"/>
      <c r="AD1" s="25"/>
      <c r="AE1" s="25"/>
      <c r="AF1" s="25"/>
      <c r="AG1" s="25"/>
      <c r="AH1" s="25"/>
      <c r="AI1" s="25"/>
      <c r="AJ1" s="25"/>
      <c r="AK1" s="25"/>
      <c r="AL1" s="30"/>
      <c r="AM1" s="25"/>
      <c r="AN1" s="25"/>
      <c r="AO1" s="25"/>
      <c r="AP1" s="25"/>
      <c r="AQ1" s="25"/>
      <c r="AR1" s="25"/>
      <c r="AS1" s="25"/>
      <c r="AT1" s="25"/>
      <c r="AU1" s="25"/>
      <c r="AV1" s="25"/>
      <c r="AW1" s="25"/>
      <c r="AX1" s="25"/>
      <c r="AY1" s="30"/>
      <c r="AZ1" s="25"/>
      <c r="BA1" s="25"/>
      <c r="BB1" s="25"/>
      <c r="BC1" s="25"/>
      <c r="BD1" s="25"/>
      <c r="BE1" s="25"/>
      <c r="BF1" s="25"/>
      <c r="BG1" s="25"/>
      <c r="BH1" s="25"/>
      <c r="BI1" s="25"/>
      <c r="BJ1" s="25"/>
      <c r="BK1" s="25"/>
      <c r="BL1" s="25"/>
      <c r="BM1" s="25"/>
      <c r="BN1" s="25"/>
      <c r="BO1" s="30"/>
      <c r="BP1" s="25"/>
      <c r="BQ1" s="25"/>
      <c r="BR1" s="25"/>
      <c r="BS1" s="30"/>
      <c r="BT1" s="25"/>
      <c r="BU1" s="25"/>
      <c r="BV1" s="25"/>
      <c r="BW1" s="30"/>
    </row>
    <row r="2" spans="1:75" x14ac:dyDescent="0.2">
      <c r="A2" s="54"/>
      <c r="D2" s="8"/>
      <c r="E2" s="362"/>
      <c r="F2" s="8"/>
      <c r="N2" s="45"/>
      <c r="Z2" s="45"/>
      <c r="AL2" s="45"/>
      <c r="AY2" s="45"/>
      <c r="BO2" s="45"/>
      <c r="BS2" s="45"/>
      <c r="BW2" s="45"/>
    </row>
    <row r="3" spans="1:75" x14ac:dyDescent="0.2">
      <c r="A3" s="54"/>
      <c r="E3" s="107"/>
      <c r="G3" s="403" t="s">
        <v>27</v>
      </c>
      <c r="H3" s="403"/>
      <c r="I3" s="403"/>
      <c r="J3" s="403"/>
      <c r="L3" s="402" t="s">
        <v>45</v>
      </c>
      <c r="M3" s="402"/>
      <c r="N3" s="404"/>
      <c r="P3" s="402" t="s">
        <v>59</v>
      </c>
      <c r="Q3" s="402"/>
      <c r="R3" s="402"/>
      <c r="T3" s="402" t="s">
        <v>82</v>
      </c>
      <c r="U3" s="402"/>
      <c r="V3" s="402"/>
      <c r="X3" s="402" t="s">
        <v>98</v>
      </c>
      <c r="Y3" s="402"/>
      <c r="Z3" s="404"/>
      <c r="AA3" s="7"/>
      <c r="AB3" s="403" t="s">
        <v>101</v>
      </c>
      <c r="AC3" s="402"/>
      <c r="AD3" s="402"/>
      <c r="AF3" s="403" t="s">
        <v>102</v>
      </c>
      <c r="AG3" s="402"/>
      <c r="AH3" s="402"/>
      <c r="AJ3" s="403" t="s">
        <v>106</v>
      </c>
      <c r="AK3" s="402"/>
      <c r="AL3" s="404"/>
      <c r="AN3" s="403" t="s">
        <v>115</v>
      </c>
      <c r="AO3" s="402"/>
      <c r="AP3" s="402"/>
      <c r="AR3" s="403" t="s">
        <v>148</v>
      </c>
      <c r="AS3" s="402"/>
      <c r="AT3" s="402"/>
      <c r="AV3" s="402" t="s">
        <v>185</v>
      </c>
      <c r="AW3" s="402"/>
      <c r="AX3" s="402"/>
      <c r="AY3" s="404"/>
      <c r="BA3" s="402" t="s">
        <v>184</v>
      </c>
      <c r="BB3" s="402"/>
      <c r="BC3" s="402"/>
      <c r="BE3" s="402" t="s">
        <v>232</v>
      </c>
      <c r="BF3" s="402"/>
      <c r="BG3" s="402"/>
      <c r="BI3" s="402" t="s">
        <v>187</v>
      </c>
      <c r="BJ3" s="402"/>
      <c r="BK3" s="402"/>
      <c r="BM3" s="403" t="s">
        <v>235</v>
      </c>
      <c r="BN3" s="402"/>
      <c r="BO3" s="404"/>
      <c r="BQ3" s="403" t="s">
        <v>263</v>
      </c>
      <c r="BR3" s="402"/>
      <c r="BS3" s="404"/>
      <c r="BU3" s="403" t="s">
        <v>345</v>
      </c>
      <c r="BV3" s="402"/>
      <c r="BW3" s="404"/>
    </row>
    <row r="4" spans="1:75" s="5" customFormat="1" ht="51.75" thickBot="1" x14ac:dyDescent="0.25">
      <c r="A4" s="363" t="s">
        <v>77</v>
      </c>
      <c r="B4" s="364" t="s">
        <v>0</v>
      </c>
      <c r="C4" s="2" t="s">
        <v>1</v>
      </c>
      <c r="D4" s="1" t="str">
        <f>+'Proforma - Proposed  Revenue'!D4</f>
        <v>F2017
Delivered kWh
05/18 to 04/19</v>
      </c>
      <c r="E4" s="95" t="str">
        <f>+'Proforma - Proposed  Revenue'!E4</f>
        <v>Projected
Revenue
05/18 to 04/19
(Note 1)</v>
      </c>
      <c r="F4" s="13"/>
      <c r="G4" s="3" t="s">
        <v>85</v>
      </c>
      <c r="H4" s="3" t="s">
        <v>86</v>
      </c>
      <c r="I4" s="3" t="s">
        <v>87</v>
      </c>
      <c r="J4" s="5" t="s">
        <v>19</v>
      </c>
      <c r="K4" s="3"/>
      <c r="L4" s="5" t="s">
        <v>97</v>
      </c>
      <c r="M4" s="5" t="s">
        <v>88</v>
      </c>
      <c r="N4" s="11" t="s">
        <v>19</v>
      </c>
      <c r="O4" s="3"/>
      <c r="P4" s="3" t="s">
        <v>107</v>
      </c>
      <c r="Q4" s="3" t="s">
        <v>89</v>
      </c>
      <c r="R4" s="5" t="s">
        <v>19</v>
      </c>
      <c r="S4" s="3"/>
      <c r="T4" s="3" t="s">
        <v>108</v>
      </c>
      <c r="U4" s="3" t="s">
        <v>90</v>
      </c>
      <c r="V4" s="5" t="s">
        <v>19</v>
      </c>
      <c r="W4" s="3"/>
      <c r="X4" s="3" t="s">
        <v>109</v>
      </c>
      <c r="Y4" s="3" t="s">
        <v>91</v>
      </c>
      <c r="Z4" s="11" t="s">
        <v>19</v>
      </c>
      <c r="AB4" s="3" t="s">
        <v>109</v>
      </c>
      <c r="AC4" s="3" t="s">
        <v>91</v>
      </c>
      <c r="AD4" s="5" t="s">
        <v>19</v>
      </c>
      <c r="AE4" s="3"/>
      <c r="AF4" s="3" t="s">
        <v>110</v>
      </c>
      <c r="AG4" s="3" t="s">
        <v>99</v>
      </c>
      <c r="AH4" s="5" t="s">
        <v>19</v>
      </c>
      <c r="AI4" s="3"/>
      <c r="AJ4" s="3" t="s">
        <v>122</v>
      </c>
      <c r="AK4" s="3" t="s">
        <v>103</v>
      </c>
      <c r="AL4" s="11" t="s">
        <v>19</v>
      </c>
      <c r="AM4" s="3"/>
      <c r="AN4" s="3" t="s">
        <v>118</v>
      </c>
      <c r="AO4" s="3" t="s">
        <v>105</v>
      </c>
      <c r="AP4" s="5" t="s">
        <v>19</v>
      </c>
      <c r="AQ4" s="3"/>
      <c r="AR4" s="3" t="s">
        <v>123</v>
      </c>
      <c r="AS4" s="3" t="s">
        <v>116</v>
      </c>
      <c r="AT4" s="5" t="s">
        <v>19</v>
      </c>
      <c r="AU4" s="3"/>
      <c r="AV4" s="3" t="s">
        <v>149</v>
      </c>
      <c r="AW4" s="5" t="s">
        <v>158</v>
      </c>
      <c r="AX4" s="3" t="s">
        <v>150</v>
      </c>
      <c r="AY4" s="11" t="s">
        <v>19</v>
      </c>
      <c r="AZ4" s="3"/>
      <c r="BA4" s="3" t="s">
        <v>161</v>
      </c>
      <c r="BB4" s="3" t="s">
        <v>162</v>
      </c>
      <c r="BC4" s="5" t="s">
        <v>19</v>
      </c>
      <c r="BD4" s="3"/>
      <c r="BE4" s="3" t="s">
        <v>171</v>
      </c>
      <c r="BF4" s="3" t="s">
        <v>172</v>
      </c>
      <c r="BG4" s="5" t="s">
        <v>19</v>
      </c>
      <c r="BH4" s="3"/>
      <c r="BI4" s="3" t="s">
        <v>188</v>
      </c>
      <c r="BJ4" s="3" t="s">
        <v>189</v>
      </c>
      <c r="BK4" s="5" t="s">
        <v>19</v>
      </c>
      <c r="BL4" s="3"/>
      <c r="BM4" s="3" t="s">
        <v>236</v>
      </c>
      <c r="BN4" s="3" t="s">
        <v>237</v>
      </c>
      <c r="BO4" s="11" t="s">
        <v>19</v>
      </c>
      <c r="BP4" s="3"/>
      <c r="BQ4" s="3" t="s">
        <v>275</v>
      </c>
      <c r="BR4" s="3" t="s">
        <v>264</v>
      </c>
      <c r="BS4" s="11" t="s">
        <v>19</v>
      </c>
      <c r="BT4" s="3"/>
      <c r="BU4" s="3" t="s">
        <v>346</v>
      </c>
      <c r="BV4" s="3" t="s">
        <v>347</v>
      </c>
      <c r="BW4" s="11" t="s">
        <v>19</v>
      </c>
    </row>
    <row r="5" spans="1:75" s="5" customFormat="1" ht="26.25" thickBot="1" x14ac:dyDescent="0.25">
      <c r="A5" s="363"/>
      <c r="B5" s="364"/>
      <c r="C5" s="2"/>
      <c r="D5" s="2" t="s">
        <v>37</v>
      </c>
      <c r="E5" s="96" t="s">
        <v>38</v>
      </c>
      <c r="F5" s="103"/>
      <c r="G5" s="103" t="s">
        <v>46</v>
      </c>
      <c r="H5" s="103" t="s">
        <v>47</v>
      </c>
      <c r="I5" s="103" t="s">
        <v>40</v>
      </c>
      <c r="J5" s="103" t="s">
        <v>126</v>
      </c>
      <c r="K5" s="101"/>
      <c r="L5" s="103" t="s">
        <v>55</v>
      </c>
      <c r="M5" s="103" t="s">
        <v>56</v>
      </c>
      <c r="N5" s="102" t="s">
        <v>127</v>
      </c>
      <c r="O5" s="101"/>
      <c r="P5" s="103" t="s">
        <v>78</v>
      </c>
      <c r="Q5" s="103" t="s">
        <v>83</v>
      </c>
      <c r="R5" s="103" t="s">
        <v>128</v>
      </c>
      <c r="S5" s="101"/>
      <c r="T5" s="103" t="s">
        <v>80</v>
      </c>
      <c r="U5" s="103" t="s">
        <v>81</v>
      </c>
      <c r="V5" s="103" t="s">
        <v>129</v>
      </c>
      <c r="W5" s="101"/>
      <c r="X5" s="103" t="s">
        <v>130</v>
      </c>
      <c r="Y5" s="103" t="s">
        <v>100</v>
      </c>
      <c r="Z5" s="104" t="s">
        <v>131</v>
      </c>
      <c r="AA5" s="103"/>
      <c r="AB5" s="103" t="s">
        <v>132</v>
      </c>
      <c r="AC5" s="103" t="s">
        <v>104</v>
      </c>
      <c r="AD5" s="103" t="s">
        <v>133</v>
      </c>
      <c r="AE5" s="101"/>
      <c r="AF5" s="103" t="s">
        <v>134</v>
      </c>
      <c r="AG5" s="103" t="s">
        <v>111</v>
      </c>
      <c r="AH5" s="103" t="s">
        <v>135</v>
      </c>
      <c r="AI5" s="101"/>
      <c r="AJ5" s="103" t="s">
        <v>136</v>
      </c>
      <c r="AK5" s="103" t="s">
        <v>117</v>
      </c>
      <c r="AL5" s="104" t="s">
        <v>137</v>
      </c>
      <c r="AM5" s="101"/>
      <c r="AN5" s="103" t="s">
        <v>138</v>
      </c>
      <c r="AO5" s="103" t="s">
        <v>139</v>
      </c>
      <c r="AP5" s="103" t="s">
        <v>140</v>
      </c>
      <c r="AQ5" s="101"/>
      <c r="AR5" s="103" t="s">
        <v>141</v>
      </c>
      <c r="AS5" s="103" t="s">
        <v>142</v>
      </c>
      <c r="AT5" s="103" t="s">
        <v>143</v>
      </c>
      <c r="AU5" s="101"/>
      <c r="AV5" s="103" t="s">
        <v>152</v>
      </c>
      <c r="AW5" s="103" t="s">
        <v>153</v>
      </c>
      <c r="AX5" s="103" t="s">
        <v>159</v>
      </c>
      <c r="AY5" s="104" t="s">
        <v>160</v>
      </c>
      <c r="AZ5" s="101"/>
      <c r="BA5" s="103" t="s">
        <v>163</v>
      </c>
      <c r="BB5" s="103" t="s">
        <v>164</v>
      </c>
      <c r="BC5" s="101" t="s">
        <v>165</v>
      </c>
      <c r="BD5" s="101"/>
      <c r="BE5" s="103" t="s">
        <v>168</v>
      </c>
      <c r="BF5" s="101" t="s">
        <v>169</v>
      </c>
      <c r="BG5" s="101" t="s">
        <v>170</v>
      </c>
      <c r="BH5" s="101"/>
      <c r="BI5" s="103" t="s">
        <v>190</v>
      </c>
      <c r="BJ5" s="101" t="s">
        <v>191</v>
      </c>
      <c r="BK5" s="101" t="s">
        <v>192</v>
      </c>
      <c r="BL5" s="101"/>
      <c r="BM5" s="101" t="s">
        <v>238</v>
      </c>
      <c r="BN5" s="101" t="s">
        <v>239</v>
      </c>
      <c r="BO5" s="102" t="s">
        <v>240</v>
      </c>
      <c r="BP5" s="101"/>
      <c r="BQ5" s="101" t="s">
        <v>265</v>
      </c>
      <c r="BR5" s="101" t="s">
        <v>266</v>
      </c>
      <c r="BS5" s="102" t="s">
        <v>267</v>
      </c>
      <c r="BT5" s="101"/>
      <c r="BU5" s="101" t="s">
        <v>364</v>
      </c>
      <c r="BV5" s="101" t="s">
        <v>365</v>
      </c>
      <c r="BW5" s="102" t="s">
        <v>366</v>
      </c>
    </row>
    <row r="6" spans="1:75" x14ac:dyDescent="0.2">
      <c r="A6" s="54"/>
      <c r="E6" s="107"/>
      <c r="N6" s="45"/>
      <c r="Z6" s="45"/>
      <c r="AL6" s="45"/>
      <c r="AY6" s="45"/>
      <c r="BO6" s="45"/>
      <c r="BS6" s="45"/>
      <c r="BW6" s="45"/>
    </row>
    <row r="7" spans="1:75" x14ac:dyDescent="0.2">
      <c r="A7" s="46">
        <v>1</v>
      </c>
      <c r="B7" s="47" t="s">
        <v>4</v>
      </c>
      <c r="C7" s="181">
        <v>7</v>
      </c>
      <c r="D7" s="106">
        <f>+'Projected Revenue on F2017'!C8</f>
        <v>10637302000</v>
      </c>
      <c r="E7" s="186">
        <f>+'Projected Revenue on F2017'!M8</f>
        <v>1111192000</v>
      </c>
      <c r="F7" s="44"/>
      <c r="G7" s="24">
        <v>2.3800000000000001E-4</v>
      </c>
      <c r="H7" s="24">
        <v>8.099999999999999E-5</v>
      </c>
      <c r="I7" s="24">
        <v>1.016E-3</v>
      </c>
      <c r="J7" s="24">
        <f>SUM(G7:I7)</f>
        <v>1.335E-3</v>
      </c>
      <c r="K7" s="354"/>
      <c r="L7" s="24">
        <v>-4.6357056683492536E-4</v>
      </c>
      <c r="M7" s="24">
        <v>1.1621458398554025E-3</v>
      </c>
      <c r="N7" s="51">
        <f>SUM(L7:M7)</f>
        <v>6.9857527302047721E-4</v>
      </c>
      <c r="O7" s="354"/>
      <c r="P7" s="24">
        <v>1.3100000000000001E-4</v>
      </c>
      <c r="Q7" s="24">
        <v>1.023E-3</v>
      </c>
      <c r="R7" s="24">
        <f>SUM(P7:Q7)</f>
        <v>1.1540000000000001E-3</v>
      </c>
      <c r="S7" s="354"/>
      <c r="T7" s="24">
        <v>-6.7999999999999999E-5</v>
      </c>
      <c r="U7" s="24">
        <v>1.5770000000000001E-3</v>
      </c>
      <c r="V7" s="24">
        <f>SUM(T7:U7)</f>
        <v>1.5090000000000001E-3</v>
      </c>
      <c r="W7" s="354"/>
      <c r="X7" s="24">
        <v>-7.2892217332165955E-5</v>
      </c>
      <c r="Y7" s="24">
        <v>1.7721523425584809E-3</v>
      </c>
      <c r="Z7" s="51">
        <f>SUM(X7:Y7)</f>
        <v>1.699260125226315E-3</v>
      </c>
      <c r="AA7" s="354"/>
      <c r="AB7" s="24">
        <v>-7.2999999999999999E-5</v>
      </c>
      <c r="AC7" s="24">
        <v>1.8729999999999999E-3</v>
      </c>
      <c r="AD7" s="24">
        <f>SUM(AB7:AC7)</f>
        <v>1.8E-3</v>
      </c>
      <c r="AE7" s="354"/>
      <c r="AF7" s="24">
        <v>7.9000000000000009E-5</v>
      </c>
      <c r="AG7" s="24">
        <v>3.058E-3</v>
      </c>
      <c r="AH7" s="24">
        <f>SUM(AF7:AG7)</f>
        <v>3.137E-3</v>
      </c>
      <c r="AI7" s="354"/>
      <c r="AJ7" s="24">
        <v>-9.0800000000000006E-4</v>
      </c>
      <c r="AK7" s="24">
        <v>3.741E-3</v>
      </c>
      <c r="AL7" s="51">
        <f>SUM(AJ7:AK7)</f>
        <v>2.833E-3</v>
      </c>
      <c r="AM7" s="354"/>
      <c r="AN7" s="24">
        <v>1.7899999999999999E-4</v>
      </c>
      <c r="AO7" s="24">
        <v>4.4380000000000001E-3</v>
      </c>
      <c r="AP7" s="24">
        <f>SUM(AN7:AO7)</f>
        <v>4.6170000000000004E-3</v>
      </c>
      <c r="AQ7" s="354"/>
      <c r="AR7" s="24">
        <v>-1.5E-5</v>
      </c>
      <c r="AS7" s="24">
        <v>4.3509999999999998E-3</v>
      </c>
      <c r="AT7" s="24">
        <f>SUM(AR7:AS7)</f>
        <v>4.3359999999999996E-3</v>
      </c>
      <c r="AU7" s="354"/>
      <c r="AV7" s="24">
        <v>-5.7299999999999994E-4</v>
      </c>
      <c r="AW7" s="24">
        <v>-5.4624038409065348E-5</v>
      </c>
      <c r="AX7" s="24">
        <v>4.9870000000000001E-3</v>
      </c>
      <c r="AY7" s="51">
        <f>SUM(AV7:AX7)</f>
        <v>4.3593759615909349E-3</v>
      </c>
      <c r="AZ7" s="354"/>
      <c r="BA7" s="24">
        <v>-2.6499999999999999E-4</v>
      </c>
      <c r="BB7" s="24">
        <v>4.8970000000000003E-3</v>
      </c>
      <c r="BC7" s="24">
        <f>SUM(BA7:BB7)</f>
        <v>4.6320000000000007E-3</v>
      </c>
      <c r="BD7" s="354"/>
      <c r="BE7" s="24">
        <v>2.9300000000000002E-4</v>
      </c>
      <c r="BF7" s="24">
        <v>5.0039999999999998E-3</v>
      </c>
      <c r="BG7" s="24">
        <f>SUM(BE7:BF7)</f>
        <v>5.2969999999999996E-3</v>
      </c>
      <c r="BH7" s="354"/>
      <c r="BI7" s="24">
        <v>2.7599999999999999E-4</v>
      </c>
      <c r="BJ7" s="24">
        <v>5.2810000000000001E-3</v>
      </c>
      <c r="BK7" s="24">
        <f>SUM(BI7:BJ7)</f>
        <v>5.5570000000000003E-3</v>
      </c>
      <c r="BL7" s="354"/>
      <c r="BM7" s="24">
        <v>-1.93E-4</v>
      </c>
      <c r="BN7" s="24">
        <v>5.2259999999999997E-3</v>
      </c>
      <c r="BO7" s="51">
        <v>5.0330000000000001E-3</v>
      </c>
      <c r="BP7" s="354"/>
      <c r="BQ7" s="24">
        <v>4.26E-4</v>
      </c>
      <c r="BR7" s="24">
        <v>5.6490000000000004E-3</v>
      </c>
      <c r="BS7" s="51">
        <v>6.0750000000000005E-3</v>
      </c>
      <c r="BT7" s="354"/>
      <c r="BU7" s="24">
        <f>ROUND(+'Peak Credit Budget 2017'!$L$6,6)</f>
        <v>-1.9999999999999999E-6</v>
      </c>
      <c r="BV7" s="24">
        <f>ROUND(+'Peak Credit Budget 2018'!$L$6,6)</f>
        <v>4.862E-3</v>
      </c>
      <c r="BW7" s="51">
        <f>SUM(BU7:BV7)</f>
        <v>4.8599999999999997E-3</v>
      </c>
    </row>
    <row r="8" spans="1:75" x14ac:dyDescent="0.2">
      <c r="A8" s="46">
        <f>+A7+1</f>
        <v>2</v>
      </c>
      <c r="B8" s="47"/>
      <c r="E8" s="186"/>
      <c r="F8" s="44"/>
      <c r="G8" s="354"/>
      <c r="H8" s="354"/>
      <c r="I8" s="354"/>
      <c r="J8" s="354"/>
      <c r="K8" s="354"/>
      <c r="L8" s="354"/>
      <c r="M8" s="354"/>
      <c r="N8" s="55"/>
      <c r="O8" s="354"/>
      <c r="P8" s="354"/>
      <c r="Q8" s="354"/>
      <c r="R8" s="354"/>
      <c r="S8" s="354"/>
      <c r="T8" s="354"/>
      <c r="U8" s="354"/>
      <c r="V8" s="354"/>
      <c r="W8" s="354"/>
      <c r="X8" s="354"/>
      <c r="Y8" s="354"/>
      <c r="Z8" s="55"/>
      <c r="AA8" s="354"/>
      <c r="AB8" s="354"/>
      <c r="AC8" s="354"/>
      <c r="AD8" s="354"/>
      <c r="AE8" s="354"/>
      <c r="AF8" s="354"/>
      <c r="AG8" s="354"/>
      <c r="AH8" s="354"/>
      <c r="AI8" s="354"/>
      <c r="AJ8" s="354"/>
      <c r="AK8" s="354"/>
      <c r="AL8" s="55"/>
      <c r="AM8" s="354"/>
      <c r="AN8" s="354"/>
      <c r="AO8" s="354"/>
      <c r="AP8" s="354"/>
      <c r="AQ8" s="354"/>
      <c r="AR8" s="354"/>
      <c r="AS8" s="354"/>
      <c r="AT8" s="354"/>
      <c r="AU8" s="354"/>
      <c r="AV8" s="354"/>
      <c r="AW8" s="354"/>
      <c r="AX8" s="354"/>
      <c r="AY8" s="55"/>
      <c r="AZ8" s="354"/>
      <c r="BA8" s="354"/>
      <c r="BB8" s="354"/>
      <c r="BC8" s="354"/>
      <c r="BD8" s="354"/>
      <c r="BE8" s="354"/>
      <c r="BF8" s="354"/>
      <c r="BG8" s="354"/>
      <c r="BH8" s="354"/>
      <c r="BI8" s="24"/>
      <c r="BJ8" s="24"/>
      <c r="BK8" s="354"/>
      <c r="BL8" s="354"/>
      <c r="BM8" s="24"/>
      <c r="BN8" s="24"/>
      <c r="BO8" s="51"/>
      <c r="BP8" s="354"/>
      <c r="BQ8" s="24"/>
      <c r="BR8" s="24"/>
      <c r="BS8" s="51"/>
      <c r="BT8" s="354"/>
      <c r="BU8" s="24"/>
      <c r="BV8" s="24"/>
      <c r="BW8" s="51"/>
    </row>
    <row r="9" spans="1:75" x14ac:dyDescent="0.2">
      <c r="A9" s="46">
        <f t="shared" ref="A9:A35" si="0">+A8+1</f>
        <v>3</v>
      </c>
      <c r="B9" s="43" t="s">
        <v>5</v>
      </c>
      <c r="C9" s="187" t="s">
        <v>244</v>
      </c>
      <c r="D9" s="106">
        <f>SUM('Projected Revenue on F2017'!C12:C13)</f>
        <v>3012037000</v>
      </c>
      <c r="E9" s="186">
        <f>SUM('Projected Revenue on F2017'!M12:M13)</f>
        <v>307540000</v>
      </c>
      <c r="F9" s="44"/>
      <c r="G9" s="24">
        <v>2.12E-4</v>
      </c>
      <c r="H9" s="24">
        <v>7.0000000000000007E-5</v>
      </c>
      <c r="I9" s="24">
        <v>9.7100000000000007E-4</v>
      </c>
      <c r="J9" s="24">
        <f t="shared" ref="J9:J12" si="1">SUM(G9:I9)</f>
        <v>1.2530000000000002E-3</v>
      </c>
      <c r="K9" s="354"/>
      <c r="L9" s="24">
        <v>-4.5975870827599151E-4</v>
      </c>
      <c r="M9" s="24">
        <v>1.152589720715596E-3</v>
      </c>
      <c r="N9" s="51">
        <f>SUM(L9:M9)</f>
        <v>6.9283101243960456E-4</v>
      </c>
      <c r="O9" s="354"/>
      <c r="P9" s="24">
        <v>1.2799999999999999E-4</v>
      </c>
      <c r="Q9" s="24">
        <v>1E-3</v>
      </c>
      <c r="R9" s="24">
        <f>SUM(P9:Q9)</f>
        <v>1.1280000000000001E-3</v>
      </c>
      <c r="S9" s="354"/>
      <c r="T9" s="24">
        <v>-6.3E-5</v>
      </c>
      <c r="U9" s="24">
        <v>1.474E-3</v>
      </c>
      <c r="V9" s="24">
        <f>SUM(T9:U9)</f>
        <v>1.4110000000000001E-3</v>
      </c>
      <c r="W9" s="354"/>
      <c r="X9" s="24">
        <v>-6.7471136780277187E-5</v>
      </c>
      <c r="Y9" s="24">
        <v>1.6408812082194968E-3</v>
      </c>
      <c r="Z9" s="51">
        <f t="shared" ref="Z9:Z12" si="2">SUM(X9:Y9)</f>
        <v>1.5734100714392197E-3</v>
      </c>
      <c r="AA9" s="354"/>
      <c r="AB9" s="24">
        <v>-6.7000000000000002E-5</v>
      </c>
      <c r="AC9" s="24">
        <v>1.7349999999999998E-3</v>
      </c>
      <c r="AD9" s="24">
        <f>SUM(AB9:AC9)</f>
        <v>1.6679999999999998E-3</v>
      </c>
      <c r="AE9" s="354"/>
      <c r="AF9" s="24">
        <v>7.1000000000000005E-5</v>
      </c>
      <c r="AG9" s="24">
        <v>2.7620000000000001E-3</v>
      </c>
      <c r="AH9" s="24">
        <f>SUM(AF9:AG9)</f>
        <v>2.833E-3</v>
      </c>
      <c r="AI9" s="354"/>
      <c r="AJ9" s="24">
        <v>-8.25E-4</v>
      </c>
      <c r="AK9" s="24">
        <v>3.2420000000000001E-3</v>
      </c>
      <c r="AL9" s="51">
        <f t="shared" ref="AL9:AL12" si="3">SUM(AJ9:AK9)</f>
        <v>2.4169999999999999E-3</v>
      </c>
      <c r="AM9" s="354"/>
      <c r="AN9" s="24">
        <v>1.54E-4</v>
      </c>
      <c r="AO9" s="24">
        <v>3.8269999999999997E-3</v>
      </c>
      <c r="AP9" s="24">
        <f>SUM(AN9:AO9)</f>
        <v>3.9809999999999993E-3</v>
      </c>
      <c r="AQ9" s="354"/>
      <c r="AR9" s="24">
        <v>-1.2999999999999999E-5</v>
      </c>
      <c r="AS9" s="24">
        <v>3.882E-3</v>
      </c>
      <c r="AT9" s="24">
        <f>SUM(AR9:AS9)</f>
        <v>3.869E-3</v>
      </c>
      <c r="AU9" s="354"/>
      <c r="AV9" s="24">
        <v>-5.2499999999999997E-4</v>
      </c>
      <c r="AW9" s="24">
        <v>-4.9938584789679011E-5</v>
      </c>
      <c r="AX9" s="24">
        <v>4.5590000000000006E-3</v>
      </c>
      <c r="AY9" s="51">
        <f t="shared" ref="AY9:AY12" si="4">SUM(AV9:AX9)</f>
        <v>3.9840614152103215E-3</v>
      </c>
      <c r="AZ9" s="354"/>
      <c r="BA9" s="24">
        <v>-2.41E-4</v>
      </c>
      <c r="BB9" s="24">
        <v>4.4529999999999995E-3</v>
      </c>
      <c r="BC9" s="24">
        <f>SUM(BA9:BB9)</f>
        <v>4.2119999999999996E-3</v>
      </c>
      <c r="BD9" s="354"/>
      <c r="BE9" s="24">
        <v>2.6200000000000003E-4</v>
      </c>
      <c r="BF9" s="24">
        <v>4.3579999999999999E-3</v>
      </c>
      <c r="BG9" s="24">
        <f>SUM(BE9:BF9)</f>
        <v>4.62E-3</v>
      </c>
      <c r="BH9" s="354"/>
      <c r="BI9" s="24">
        <v>2.4499999999999999E-4</v>
      </c>
      <c r="BJ9" s="24">
        <v>4.5700000000000003E-3</v>
      </c>
      <c r="BK9" s="24">
        <f t="shared" ref="BK9:BK12" si="5">SUM(BI9:BJ9)</f>
        <v>4.8149999999999998E-3</v>
      </c>
      <c r="BL9" s="354"/>
      <c r="BM9" s="24">
        <v>-1.5799999999999999E-4</v>
      </c>
      <c r="BN9" s="24">
        <v>4.2810000000000001E-3</v>
      </c>
      <c r="BO9" s="51">
        <v>4.1229999999999999E-3</v>
      </c>
      <c r="BP9" s="354"/>
      <c r="BQ9" s="24">
        <v>3.2499999999999999E-4</v>
      </c>
      <c r="BR9" s="24">
        <v>4.3160000000000004E-3</v>
      </c>
      <c r="BS9" s="51">
        <v>4.6410000000000002E-3</v>
      </c>
      <c r="BT9" s="354"/>
      <c r="BU9" s="24">
        <f>ROUND(+'Peak Credit Budget 2017'!L7,6)</f>
        <v>-1.9999999999999999E-6</v>
      </c>
      <c r="BV9" s="24">
        <f>ROUND(+'Peak Credit Budget 2018'!L7,6)</f>
        <v>4.2100000000000002E-3</v>
      </c>
      <c r="BW9" s="51">
        <f t="shared" ref="BW9:BW12" si="6">SUM(BU9:BV9)</f>
        <v>4.2079999999999999E-3</v>
      </c>
    </row>
    <row r="10" spans="1:75" x14ac:dyDescent="0.2">
      <c r="A10" s="46">
        <f t="shared" si="0"/>
        <v>4</v>
      </c>
      <c r="B10" s="47" t="s">
        <v>6</v>
      </c>
      <c r="C10" s="187" t="s">
        <v>245</v>
      </c>
      <c r="D10" s="106">
        <f>SUM('Projected Revenue on F2017'!C9,'Projected Revenue on F2017'!C14:C15)</f>
        <v>2993580000</v>
      </c>
      <c r="E10" s="186">
        <f>SUM('Projected Revenue on F2017'!M9,'Projected Revenue on F2017'!M14:M15)</f>
        <v>282440000</v>
      </c>
      <c r="F10" s="44"/>
      <c r="G10" s="24">
        <v>2.02E-4</v>
      </c>
      <c r="H10" s="24">
        <v>6.6000000000000005E-5</v>
      </c>
      <c r="I10" s="24">
        <v>9.6600000000000006E-4</v>
      </c>
      <c r="J10" s="24">
        <f t="shared" si="1"/>
        <v>1.2340000000000001E-3</v>
      </c>
      <c r="K10" s="354"/>
      <c r="L10" s="24">
        <v>-4.5670242361685217E-4</v>
      </c>
      <c r="M10" s="24">
        <v>1.1449277836640631E-3</v>
      </c>
      <c r="N10" s="51">
        <f>SUM(L10:M10)</f>
        <v>6.88225360047211E-4</v>
      </c>
      <c r="O10" s="354"/>
      <c r="P10" s="24">
        <v>1.27E-4</v>
      </c>
      <c r="Q10" s="24">
        <v>9.9099999999999991E-4</v>
      </c>
      <c r="R10" s="24">
        <f>SUM(P10:Q10)</f>
        <v>1.1179999999999999E-3</v>
      </c>
      <c r="S10" s="354"/>
      <c r="T10" s="24">
        <v>-6.3E-5</v>
      </c>
      <c r="U10" s="24">
        <v>1.469E-3</v>
      </c>
      <c r="V10" s="24">
        <f>SUM(T10:U10)</f>
        <v>1.4060000000000001E-3</v>
      </c>
      <c r="W10" s="354"/>
      <c r="X10" s="24">
        <v>-6.9827226994010401E-5</v>
      </c>
      <c r="Y10" s="24">
        <v>1.6537397107804315E-3</v>
      </c>
      <c r="Z10" s="51">
        <f t="shared" si="2"/>
        <v>1.5839124837864211E-3</v>
      </c>
      <c r="AA10" s="354"/>
      <c r="AB10" s="24">
        <v>-7.0000000000000007E-5</v>
      </c>
      <c r="AC10" s="24">
        <v>1.7480000000000002E-3</v>
      </c>
      <c r="AD10" s="24">
        <f>SUM(AB10:AC10)</f>
        <v>1.6780000000000002E-3</v>
      </c>
      <c r="AE10" s="354"/>
      <c r="AF10" s="24">
        <v>7.1000000000000005E-5</v>
      </c>
      <c r="AG10" s="24">
        <v>2.7650000000000001E-3</v>
      </c>
      <c r="AH10" s="24">
        <f>SUM(AF10:AG10)</f>
        <v>2.836E-3</v>
      </c>
      <c r="AI10" s="354"/>
      <c r="AJ10" s="24">
        <v>-8.2799999999999996E-4</v>
      </c>
      <c r="AK10" s="24">
        <v>3.225E-3</v>
      </c>
      <c r="AL10" s="51">
        <f t="shared" si="3"/>
        <v>2.3969999999999998E-3</v>
      </c>
      <c r="AM10" s="354"/>
      <c r="AN10" s="24">
        <v>1.54E-4</v>
      </c>
      <c r="AO10" s="24">
        <v>3.8179999999999998E-3</v>
      </c>
      <c r="AP10" s="24">
        <f>SUM(AN10:AO10)</f>
        <v>3.9719999999999998E-3</v>
      </c>
      <c r="AQ10" s="354"/>
      <c r="AR10" s="24">
        <v>-1.2999999999999999E-5</v>
      </c>
      <c r="AS10" s="24">
        <v>3.8319999999999999E-3</v>
      </c>
      <c r="AT10" s="24">
        <f>SUM(AR10:AS10)</f>
        <v>3.8189999999999999E-3</v>
      </c>
      <c r="AU10" s="354"/>
      <c r="AV10" s="24">
        <v>-5.2300000000000003E-4</v>
      </c>
      <c r="AW10" s="24">
        <v>-4.8443198288786558E-5</v>
      </c>
      <c r="AX10" s="24">
        <v>4.4229999999999998E-3</v>
      </c>
      <c r="AY10" s="51">
        <f t="shared" si="4"/>
        <v>3.8515568017112134E-3</v>
      </c>
      <c r="AZ10" s="354"/>
      <c r="BA10" s="24">
        <v>-2.3699999999999999E-4</v>
      </c>
      <c r="BB10" s="24">
        <v>4.3830000000000006E-3</v>
      </c>
      <c r="BC10" s="24">
        <f>SUM(BA10:BB10)</f>
        <v>4.1460000000000004E-3</v>
      </c>
      <c r="BD10" s="354"/>
      <c r="BE10" s="24">
        <v>2.5700000000000001E-4</v>
      </c>
      <c r="BF10" s="24">
        <v>4.2810000000000001E-3</v>
      </c>
      <c r="BG10" s="24">
        <f>SUM(BE10:BF10)</f>
        <v>4.5380000000000004E-3</v>
      </c>
      <c r="BH10" s="354"/>
      <c r="BI10" s="24">
        <v>2.2599999999999999E-4</v>
      </c>
      <c r="BJ10" s="24">
        <v>4.2199999999999998E-3</v>
      </c>
      <c r="BK10" s="24">
        <f t="shared" si="5"/>
        <v>4.4459999999999994E-3</v>
      </c>
      <c r="BL10" s="354"/>
      <c r="BM10" s="24">
        <v>-1.56E-4</v>
      </c>
      <c r="BN10" s="24">
        <v>4.235E-3</v>
      </c>
      <c r="BO10" s="51">
        <v>4.0790000000000002E-3</v>
      </c>
      <c r="BP10" s="354"/>
      <c r="BQ10" s="24">
        <v>3.1500000000000001E-4</v>
      </c>
      <c r="BR10" s="24">
        <v>4.1840000000000002E-3</v>
      </c>
      <c r="BS10" s="51">
        <v>4.4990000000000004E-3</v>
      </c>
      <c r="BT10" s="354"/>
      <c r="BU10" s="24">
        <f>ROUND(+'Peak Credit Budget 2017'!L8,6)</f>
        <v>-1.9999999999999999E-6</v>
      </c>
      <c r="BV10" s="24">
        <f>ROUND(+'Peak Credit Budget 2018'!L8,6)</f>
        <v>4.2589999999999998E-3</v>
      </c>
      <c r="BW10" s="51">
        <f t="shared" si="6"/>
        <v>4.2569999999999995E-3</v>
      </c>
    </row>
    <row r="11" spans="1:75" x14ac:dyDescent="0.2">
      <c r="A11" s="46">
        <f t="shared" si="0"/>
        <v>5</v>
      </c>
      <c r="B11" s="47" t="s">
        <v>7</v>
      </c>
      <c r="C11" s="187" t="s">
        <v>246</v>
      </c>
      <c r="D11" s="106">
        <f>SUM('Projected Revenue on F2017'!C16:C17)</f>
        <v>1913788000</v>
      </c>
      <c r="E11" s="186">
        <f>SUM('Projected Revenue on F2017'!M16:M17)</f>
        <v>162635000</v>
      </c>
      <c r="F11" s="44"/>
      <c r="G11" s="24">
        <v>2.0100000000000001E-4</v>
      </c>
      <c r="H11" s="24">
        <v>6.4999999999999994E-5</v>
      </c>
      <c r="I11" s="24">
        <v>9.9099999999999991E-4</v>
      </c>
      <c r="J11" s="24">
        <f t="shared" si="1"/>
        <v>1.2569999999999999E-3</v>
      </c>
      <c r="K11" s="354"/>
      <c r="L11" s="24">
        <v>-4.1825535515214741E-4</v>
      </c>
      <c r="M11" s="24">
        <v>1.0485431038170291E-3</v>
      </c>
      <c r="N11" s="51">
        <f>SUM(L11:M11)</f>
        <v>6.302877486648816E-4</v>
      </c>
      <c r="O11" s="354"/>
      <c r="P11" s="24">
        <v>1.1599999999999999E-4</v>
      </c>
      <c r="Q11" s="24">
        <v>9.0200000000000002E-4</v>
      </c>
      <c r="R11" s="24">
        <f>SUM(P11:Q11)</f>
        <v>1.018E-3</v>
      </c>
      <c r="S11" s="354"/>
      <c r="T11" s="24">
        <v>-6.3E-5</v>
      </c>
      <c r="U11" s="24">
        <v>1.4760000000000001E-3</v>
      </c>
      <c r="V11" s="24">
        <f>SUM(T11:U11)</f>
        <v>1.4130000000000002E-3</v>
      </c>
      <c r="W11" s="354"/>
      <c r="X11" s="24">
        <v>-6.3604150549932746E-5</v>
      </c>
      <c r="Y11" s="24">
        <v>1.5330188243807949E-3</v>
      </c>
      <c r="Z11" s="51">
        <f t="shared" si="2"/>
        <v>1.4694146738308623E-3</v>
      </c>
      <c r="AA11" s="354"/>
      <c r="AB11" s="24">
        <v>-6.3999999999999997E-5</v>
      </c>
      <c r="AC11" s="24">
        <v>1.621E-3</v>
      </c>
      <c r="AD11" s="24">
        <f>SUM(AB11:AC11)</f>
        <v>1.557E-3</v>
      </c>
      <c r="AE11" s="354"/>
      <c r="AF11" s="24">
        <v>6.7000000000000002E-5</v>
      </c>
      <c r="AG11" s="24">
        <v>2.5829999999999998E-3</v>
      </c>
      <c r="AH11" s="24">
        <f>SUM(AF11:AG11)</f>
        <v>2.6499999999999996E-3</v>
      </c>
      <c r="AI11" s="354"/>
      <c r="AJ11" s="24">
        <v>-7.76E-4</v>
      </c>
      <c r="AK11" s="24">
        <v>3.2029999999999997E-3</v>
      </c>
      <c r="AL11" s="51">
        <f t="shared" si="3"/>
        <v>2.4269999999999995E-3</v>
      </c>
      <c r="AM11" s="354"/>
      <c r="AN11" s="24">
        <v>1.54E-4</v>
      </c>
      <c r="AO11" s="24">
        <v>3.8090000000000003E-3</v>
      </c>
      <c r="AP11" s="24">
        <f>SUM(AN11:AO11)</f>
        <v>3.9630000000000004E-3</v>
      </c>
      <c r="AQ11" s="354"/>
      <c r="AR11" s="24">
        <v>-1.2999999999999999E-5</v>
      </c>
      <c r="AS11" s="24">
        <v>3.8469999999999997E-3</v>
      </c>
      <c r="AT11" s="24">
        <f>SUM(AR11:AS11)</f>
        <v>3.8339999999999997E-3</v>
      </c>
      <c r="AU11" s="354"/>
      <c r="AV11" s="24">
        <v>-4.9299999999999995E-4</v>
      </c>
      <c r="AW11" s="24">
        <v>-4.6476240882051292E-5</v>
      </c>
      <c r="AX11" s="24">
        <v>4.2430000000000002E-3</v>
      </c>
      <c r="AY11" s="51">
        <f t="shared" si="4"/>
        <v>3.7035237591179489E-3</v>
      </c>
      <c r="AZ11" s="354"/>
      <c r="BA11" s="24">
        <v>-2.3300000000000003E-4</v>
      </c>
      <c r="BB11" s="24">
        <v>4.313E-3</v>
      </c>
      <c r="BC11" s="24">
        <f>SUM(BA11:BB11)</f>
        <v>4.0800000000000003E-3</v>
      </c>
      <c r="BD11" s="354"/>
      <c r="BE11" s="24">
        <v>2.6700000000000004E-4</v>
      </c>
      <c r="BF11" s="24">
        <v>4.4479999999999997E-3</v>
      </c>
      <c r="BG11" s="24">
        <f>SUM(BE11:BF11)</f>
        <v>4.7149999999999996E-3</v>
      </c>
      <c r="BH11" s="354"/>
      <c r="BI11" s="24">
        <v>2.3699999999999999E-4</v>
      </c>
      <c r="BJ11" s="24">
        <v>4.4010000000000004E-3</v>
      </c>
      <c r="BK11" s="24">
        <f t="shared" si="5"/>
        <v>4.6380000000000006E-3</v>
      </c>
      <c r="BL11" s="354"/>
      <c r="BM11" s="24">
        <v>-1.66E-4</v>
      </c>
      <c r="BN11" s="24">
        <v>4.4929999999999996E-3</v>
      </c>
      <c r="BO11" s="51">
        <v>4.3269999999999992E-3</v>
      </c>
      <c r="BP11" s="354"/>
      <c r="BQ11" s="24">
        <v>3.3599999999999998E-4</v>
      </c>
      <c r="BR11" s="24">
        <v>4.4640000000000001E-3</v>
      </c>
      <c r="BS11" s="51">
        <v>4.8000000000000004E-3</v>
      </c>
      <c r="BT11" s="354"/>
      <c r="BU11" s="24">
        <f>ROUND(+'Peak Credit Budget 2017'!L9,6)</f>
        <v>-1.9999999999999999E-6</v>
      </c>
      <c r="BV11" s="24">
        <f>ROUND(+'Peak Credit Budget 2018'!L9,6)</f>
        <v>4.3270000000000001E-3</v>
      </c>
      <c r="BW11" s="51">
        <f t="shared" si="6"/>
        <v>4.3249999999999999E-3</v>
      </c>
    </row>
    <row r="12" spans="1:75" x14ac:dyDescent="0.2">
      <c r="A12" s="46">
        <f t="shared" si="0"/>
        <v>6</v>
      </c>
      <c r="B12" s="47" t="s">
        <v>8</v>
      </c>
      <c r="C12" s="181">
        <v>29</v>
      </c>
      <c r="D12" s="106">
        <f>SUM('Projected Revenue on F2017'!C18)</f>
        <v>16193000</v>
      </c>
      <c r="E12" s="186">
        <f>SUM('Projected Revenue on F2017'!M18)</f>
        <v>1236000</v>
      </c>
      <c r="F12" s="44"/>
      <c r="G12" s="24">
        <v>1.9900000000000001E-4</v>
      </c>
      <c r="H12" s="24">
        <v>5.7000000000000003E-5</v>
      </c>
      <c r="I12" s="24">
        <v>7.9299999999999998E-4</v>
      </c>
      <c r="J12" s="24">
        <f t="shared" si="1"/>
        <v>1.049E-3</v>
      </c>
      <c r="K12" s="354"/>
      <c r="L12" s="24">
        <v>-3.3630450698815485E-4</v>
      </c>
      <c r="M12" s="24">
        <v>8.4309684799311322E-4</v>
      </c>
      <c r="N12" s="51">
        <f>SUM(L12:M12)</f>
        <v>5.0679234100495837E-4</v>
      </c>
      <c r="O12" s="354"/>
      <c r="P12" s="24">
        <v>8.2000000000000001E-5</v>
      </c>
      <c r="Q12" s="24">
        <v>6.3500000000000004E-4</v>
      </c>
      <c r="R12" s="24">
        <f>SUM(P12:Q12)</f>
        <v>7.1700000000000008E-4</v>
      </c>
      <c r="S12" s="354"/>
      <c r="T12" s="24">
        <v>-5.4000000000000005E-5</v>
      </c>
      <c r="U12" s="24">
        <v>1.2700000000000001E-3</v>
      </c>
      <c r="V12" s="24">
        <f>SUM(T12:U12)</f>
        <v>1.2160000000000001E-3</v>
      </c>
      <c r="W12" s="354"/>
      <c r="X12" s="24">
        <v>-6.0311897453020907E-5</v>
      </c>
      <c r="Y12" s="24">
        <v>1.279983835321339E-3</v>
      </c>
      <c r="Z12" s="51">
        <f t="shared" si="2"/>
        <v>1.219671937868318E-3</v>
      </c>
      <c r="AA12" s="354"/>
      <c r="AB12" s="24">
        <v>-6.0000000000000002E-5</v>
      </c>
      <c r="AC12" s="24">
        <v>1.353E-3</v>
      </c>
      <c r="AD12" s="24">
        <f>SUM(AB12:AC12)</f>
        <v>1.2930000000000001E-3</v>
      </c>
      <c r="AE12" s="354"/>
      <c r="AF12" s="24">
        <v>5.8999999999999998E-5</v>
      </c>
      <c r="AG12" s="24">
        <v>2.2769999999999999E-3</v>
      </c>
      <c r="AH12" s="24">
        <f>SUM(AF12:AG12)</f>
        <v>2.336E-3</v>
      </c>
      <c r="AI12" s="354"/>
      <c r="AJ12" s="24">
        <v>-6.7699999999999998E-4</v>
      </c>
      <c r="AK12" s="24">
        <v>2.7050000000000004E-3</v>
      </c>
      <c r="AL12" s="51">
        <f t="shared" si="3"/>
        <v>2.0280000000000003E-3</v>
      </c>
      <c r="AM12" s="354"/>
      <c r="AN12" s="24">
        <v>1.2799999999999999E-4</v>
      </c>
      <c r="AO12" s="24">
        <v>3.1809999999999998E-3</v>
      </c>
      <c r="AP12" s="24">
        <f>SUM(AN12:AO12)</f>
        <v>3.3089999999999999E-3</v>
      </c>
      <c r="AQ12" s="354"/>
      <c r="AR12" s="24">
        <v>-1.1000000000000001E-5</v>
      </c>
      <c r="AS12" s="24">
        <v>3.4009999999999999E-3</v>
      </c>
      <c r="AT12" s="24">
        <f>SUM(AR12:AS12)</f>
        <v>3.3899999999999998E-3</v>
      </c>
      <c r="AU12" s="354"/>
      <c r="AV12" s="24">
        <v>-4.6100000000000004E-4</v>
      </c>
      <c r="AW12" s="24">
        <v>-4.2206463550478061E-5</v>
      </c>
      <c r="AX12" s="24">
        <v>3.8529999999999997E-3</v>
      </c>
      <c r="AY12" s="51">
        <f t="shared" si="4"/>
        <v>3.3497935364495213E-3</v>
      </c>
      <c r="AZ12" s="354"/>
      <c r="BA12" s="24">
        <v>-2.05E-4</v>
      </c>
      <c r="BB12" s="24">
        <v>3.7919999999999998E-3</v>
      </c>
      <c r="BC12" s="24">
        <f>SUM(BA12:BB12)</f>
        <v>3.5869999999999999E-3</v>
      </c>
      <c r="BD12" s="354"/>
      <c r="BE12" s="24">
        <v>2.3499999999999999E-4</v>
      </c>
      <c r="BF12" s="24">
        <v>3.9029999999999998E-3</v>
      </c>
      <c r="BG12" s="24">
        <f>SUM(BE12:BF12)</f>
        <v>4.1380000000000002E-3</v>
      </c>
      <c r="BH12" s="354"/>
      <c r="BI12" s="24">
        <v>2.3800000000000001E-4</v>
      </c>
      <c r="BJ12" s="24">
        <v>4.2259999999999997E-3</v>
      </c>
      <c r="BK12" s="24">
        <f t="shared" si="5"/>
        <v>4.4640000000000001E-3</v>
      </c>
      <c r="BL12" s="354"/>
      <c r="BM12" s="24">
        <v>-1.54E-4</v>
      </c>
      <c r="BN12" s="24">
        <v>4.1879999999999999E-3</v>
      </c>
      <c r="BO12" s="51">
        <v>4.0340000000000003E-3</v>
      </c>
      <c r="BP12" s="354"/>
      <c r="BQ12" s="24">
        <v>3.21E-4</v>
      </c>
      <c r="BR12" s="24">
        <v>4.2589999999999998E-3</v>
      </c>
      <c r="BS12" s="51">
        <v>4.5799999999999999E-3</v>
      </c>
      <c r="BT12" s="354"/>
      <c r="BU12" s="24">
        <f>ROUND(+'Peak Credit Budget 2017'!L10,6)</f>
        <v>-1.9999999999999999E-6</v>
      </c>
      <c r="BV12" s="24">
        <f>ROUND(+'Peak Credit Budget 2018'!L10,6)</f>
        <v>3.1979999999999999E-3</v>
      </c>
      <c r="BW12" s="51">
        <f t="shared" si="6"/>
        <v>3.1960000000000001E-3</v>
      </c>
    </row>
    <row r="13" spans="1:75" x14ac:dyDescent="0.2">
      <c r="A13" s="46">
        <f t="shared" si="0"/>
        <v>7</v>
      </c>
      <c r="B13" s="47"/>
      <c r="E13" s="186"/>
      <c r="F13" s="44"/>
      <c r="G13" s="354"/>
      <c r="H13" s="354"/>
      <c r="I13" s="354"/>
      <c r="J13" s="354"/>
      <c r="K13" s="354"/>
      <c r="L13" s="354"/>
      <c r="M13" s="354"/>
      <c r="N13" s="55"/>
      <c r="O13" s="354"/>
      <c r="P13" s="354"/>
      <c r="Q13" s="354"/>
      <c r="R13" s="354"/>
      <c r="S13" s="354"/>
      <c r="T13" s="354"/>
      <c r="U13" s="354"/>
      <c r="V13" s="354"/>
      <c r="W13" s="354"/>
      <c r="X13" s="354"/>
      <c r="Y13" s="354"/>
      <c r="Z13" s="55"/>
      <c r="AA13" s="354"/>
      <c r="AB13" s="354"/>
      <c r="AC13" s="354"/>
      <c r="AD13" s="354"/>
      <c r="AE13" s="354"/>
      <c r="AF13" s="354"/>
      <c r="AG13" s="354"/>
      <c r="AH13" s="354"/>
      <c r="AI13" s="354"/>
      <c r="AJ13" s="354"/>
      <c r="AK13" s="354"/>
      <c r="AL13" s="55"/>
      <c r="AM13" s="354"/>
      <c r="AN13" s="354"/>
      <c r="AO13" s="354"/>
      <c r="AP13" s="354"/>
      <c r="AQ13" s="354"/>
      <c r="AR13" s="354"/>
      <c r="AS13" s="354"/>
      <c r="AT13" s="354"/>
      <c r="AU13" s="354"/>
      <c r="AV13" s="354"/>
      <c r="AW13" s="354"/>
      <c r="AX13" s="354"/>
      <c r="AY13" s="55"/>
      <c r="AZ13" s="354"/>
      <c r="BA13" s="354"/>
      <c r="BB13" s="354"/>
      <c r="BC13" s="354"/>
      <c r="BD13" s="354"/>
      <c r="BE13" s="354"/>
      <c r="BF13" s="354"/>
      <c r="BG13" s="354"/>
      <c r="BH13" s="354"/>
      <c r="BI13" s="24"/>
      <c r="BJ13" s="24"/>
      <c r="BK13" s="354"/>
      <c r="BL13" s="354"/>
      <c r="BM13" s="24"/>
      <c r="BN13" s="24"/>
      <c r="BO13" s="51"/>
      <c r="BP13" s="354"/>
      <c r="BQ13" s="24"/>
      <c r="BR13" s="24"/>
      <c r="BS13" s="51"/>
      <c r="BT13" s="354"/>
      <c r="BU13" s="24"/>
      <c r="BV13" s="24"/>
      <c r="BW13" s="51"/>
    </row>
    <row r="14" spans="1:75" x14ac:dyDescent="0.2">
      <c r="A14" s="46">
        <f t="shared" si="0"/>
        <v>8</v>
      </c>
      <c r="B14" s="47" t="s">
        <v>10</v>
      </c>
      <c r="C14" s="187" t="s">
        <v>247</v>
      </c>
      <c r="D14" s="106">
        <f>SUM('Projected Revenue on F2017'!C21:C22)</f>
        <v>1316672000</v>
      </c>
      <c r="E14" s="186">
        <f>SUM('Projected Revenue on F2017'!M21:M22)</f>
        <v>110312000</v>
      </c>
      <c r="F14" s="44"/>
      <c r="G14" s="24">
        <v>2.3099999999999998E-4</v>
      </c>
      <c r="H14" s="24">
        <v>7.4999999999999993E-5</v>
      </c>
      <c r="I14" s="24">
        <v>9.5200000000000005E-4</v>
      </c>
      <c r="J14" s="24">
        <f t="shared" ref="J14:J16" si="7">SUM(G14:I14)</f>
        <v>1.258E-3</v>
      </c>
      <c r="K14" s="354"/>
      <c r="L14" s="24">
        <v>-4.1825535515214741E-4</v>
      </c>
      <c r="M14" s="24">
        <v>1.0485431038170291E-3</v>
      </c>
      <c r="N14" s="51">
        <f>SUM(L14:M14)</f>
        <v>6.302877486648816E-4</v>
      </c>
      <c r="O14" s="354"/>
      <c r="P14" s="24">
        <v>1.1599999999999999E-4</v>
      </c>
      <c r="Q14" s="24">
        <v>9.0200000000000002E-4</v>
      </c>
      <c r="R14" s="24">
        <f>SUM(P14:Q14)</f>
        <v>1.018E-3</v>
      </c>
      <c r="S14" s="354"/>
      <c r="T14" s="24">
        <v>-6.2000000000000003E-5</v>
      </c>
      <c r="U14" s="24">
        <v>1.449E-3</v>
      </c>
      <c r="V14" s="24">
        <f>SUM(T14:U14)</f>
        <v>1.387E-3</v>
      </c>
      <c r="W14" s="354"/>
      <c r="X14" s="24">
        <v>-6.7131535337604058E-5</v>
      </c>
      <c r="Y14" s="24">
        <v>1.5441474649237725E-3</v>
      </c>
      <c r="Z14" s="51">
        <f t="shared" ref="Z14:Z16" si="8">SUM(X14:Y14)</f>
        <v>1.4770159295861684E-3</v>
      </c>
      <c r="AA14" s="354"/>
      <c r="AB14" s="24">
        <v>-6.7000000000000002E-5</v>
      </c>
      <c r="AC14" s="24">
        <v>1.6320000000000002E-3</v>
      </c>
      <c r="AD14" s="24">
        <f>SUM(AB14:AC14)</f>
        <v>1.5650000000000002E-3</v>
      </c>
      <c r="AE14" s="354"/>
      <c r="AF14" s="24">
        <v>6.7000000000000002E-5</v>
      </c>
      <c r="AG14" s="24">
        <v>2.5979999999999996E-3</v>
      </c>
      <c r="AH14" s="24">
        <f>SUM(AF14:AG14)</f>
        <v>2.6649999999999998E-3</v>
      </c>
      <c r="AI14" s="354"/>
      <c r="AJ14" s="24">
        <v>-7.9000000000000001E-4</v>
      </c>
      <c r="AK14" s="24">
        <v>2.967E-3</v>
      </c>
      <c r="AL14" s="51">
        <f t="shared" ref="AL14:AL16" si="9">SUM(AJ14:AK14)</f>
        <v>2.1770000000000001E-3</v>
      </c>
      <c r="AM14" s="354"/>
      <c r="AN14" s="24">
        <v>1.44E-4</v>
      </c>
      <c r="AO14" s="24">
        <v>3.5830000000000002E-3</v>
      </c>
      <c r="AP14" s="24">
        <f>SUM(AN14:AO14)</f>
        <v>3.7270000000000003E-3</v>
      </c>
      <c r="AQ14" s="354"/>
      <c r="AR14" s="24">
        <v>-1.1999999999999999E-5</v>
      </c>
      <c r="AS14" s="24">
        <v>3.333E-3</v>
      </c>
      <c r="AT14" s="24">
        <f>SUM(AR14:AS14)</f>
        <v>3.3210000000000002E-3</v>
      </c>
      <c r="AU14" s="354"/>
      <c r="AV14" s="24">
        <v>-4.6499999999999997E-4</v>
      </c>
      <c r="AW14" s="24">
        <v>-4.5994252835867159E-5</v>
      </c>
      <c r="AX14" s="24">
        <v>4.1989999999999996E-3</v>
      </c>
      <c r="AY14" s="51">
        <f t="shared" ref="AY14:AY16" si="10">SUM(AV14:AX14)</f>
        <v>3.6880057471641325E-3</v>
      </c>
      <c r="AZ14" s="354"/>
      <c r="BA14" s="24">
        <v>-2.22E-4</v>
      </c>
      <c r="BB14" s="24">
        <v>4.1010000000000005E-3</v>
      </c>
      <c r="BC14" s="24">
        <f>SUM(BA14:BB14)</f>
        <v>3.8790000000000005E-3</v>
      </c>
      <c r="BD14" s="354"/>
      <c r="BE14" s="24">
        <v>2.41E-4</v>
      </c>
      <c r="BF14" s="24">
        <v>4.0039999999999997E-3</v>
      </c>
      <c r="BG14" s="24">
        <f>SUM(BE14:BF14)</f>
        <v>4.2449999999999996E-3</v>
      </c>
      <c r="BH14" s="354"/>
      <c r="BI14" s="24">
        <v>2.4000000000000001E-4</v>
      </c>
      <c r="BJ14" s="24">
        <v>4.4520000000000002E-3</v>
      </c>
      <c r="BK14" s="24">
        <f>SUM(BI14:BJ14)</f>
        <v>4.692E-3</v>
      </c>
      <c r="BL14" s="354"/>
      <c r="BM14" s="24">
        <v>-1.5300000000000001E-4</v>
      </c>
      <c r="BN14" s="24">
        <v>4.1609999999999998E-3</v>
      </c>
      <c r="BO14" s="51">
        <v>4.0079999999999994E-3</v>
      </c>
      <c r="BP14" s="354"/>
      <c r="BQ14" s="24">
        <v>3.19E-4</v>
      </c>
      <c r="BR14" s="24">
        <v>4.2329999999999998E-3</v>
      </c>
      <c r="BS14" s="51">
        <v>4.5519999999999996E-3</v>
      </c>
      <c r="BT14" s="354"/>
      <c r="BU14" s="24">
        <f>ROUND(+'Peak Credit Budget 2017'!L11,6)</f>
        <v>-1.9999999999999999E-6</v>
      </c>
      <c r="BV14" s="24">
        <f>ROUND(+'Peak Credit Budget 2018'!L11,6)</f>
        <v>4.1539999999999997E-3</v>
      </c>
      <c r="BW14" s="51">
        <f>SUM(BU14:BV14)</f>
        <v>4.1519999999999994E-3</v>
      </c>
    </row>
    <row r="15" spans="1:75" x14ac:dyDescent="0.2">
      <c r="A15" s="46">
        <f t="shared" si="0"/>
        <v>9</v>
      </c>
      <c r="B15" s="47" t="s">
        <v>11</v>
      </c>
      <c r="C15" s="181">
        <v>35</v>
      </c>
      <c r="D15" s="106">
        <f>SUM('Projected Revenue on F2017'!C23)</f>
        <v>5161000</v>
      </c>
      <c r="E15" s="186">
        <f>SUM('Projected Revenue on F2017'!M23)</f>
        <v>280000</v>
      </c>
      <c r="F15" s="44"/>
      <c r="G15" s="24">
        <v>1.8100000000000001E-4</v>
      </c>
      <c r="H15" s="24">
        <v>4.7000000000000004E-5</v>
      </c>
      <c r="I15" s="24">
        <v>7.7200000000000001E-4</v>
      </c>
      <c r="J15" s="24">
        <f t="shared" si="7"/>
        <v>1E-3</v>
      </c>
      <c r="K15" s="354"/>
      <c r="L15" s="24">
        <v>-3.9376095006918006E-4</v>
      </c>
      <c r="M15" s="24">
        <v>9.8713698141961593E-4</v>
      </c>
      <c r="N15" s="51">
        <f>SUM(L15:M15)</f>
        <v>5.9337603135043587E-4</v>
      </c>
      <c r="O15" s="354"/>
      <c r="P15" s="24">
        <v>1.11E-4</v>
      </c>
      <c r="Q15" s="24">
        <v>8.5300000000000003E-4</v>
      </c>
      <c r="R15" s="24">
        <f>SUM(P15:Q15)</f>
        <v>9.6400000000000001E-4</v>
      </c>
      <c r="S15" s="354"/>
      <c r="T15" s="24">
        <v>-5.3000000000000001E-5</v>
      </c>
      <c r="U15" s="24">
        <v>1.227E-3</v>
      </c>
      <c r="V15" s="24">
        <f>SUM(T15:U15)</f>
        <v>1.1739999999999999E-3</v>
      </c>
      <c r="W15" s="354"/>
      <c r="X15" s="24">
        <v>-5.6355224658429872E-5</v>
      </c>
      <c r="Y15" s="24">
        <v>1.3741246725755094E-3</v>
      </c>
      <c r="Z15" s="51">
        <f t="shared" si="8"/>
        <v>1.3177694479170796E-3</v>
      </c>
      <c r="AA15" s="354"/>
      <c r="AB15" s="24">
        <v>-5.5999999999999999E-5</v>
      </c>
      <c r="AC15" s="24">
        <v>1.4530000000000001E-3</v>
      </c>
      <c r="AD15" s="24">
        <f>SUM(AB15:AC15)</f>
        <v>1.397E-3</v>
      </c>
      <c r="AE15" s="354"/>
      <c r="AF15" s="24">
        <v>6.3999999999999997E-5</v>
      </c>
      <c r="AG15" s="24">
        <v>2.4620000000000002E-3</v>
      </c>
      <c r="AH15" s="24">
        <f>SUM(AF15:AG15)</f>
        <v>2.526E-3</v>
      </c>
      <c r="AI15" s="354"/>
      <c r="AJ15" s="24">
        <v>-7.3200000000000001E-4</v>
      </c>
      <c r="AK15" s="24">
        <v>2.2439999999999999E-3</v>
      </c>
      <c r="AL15" s="51">
        <f t="shared" si="9"/>
        <v>1.5119999999999999E-3</v>
      </c>
      <c r="AM15" s="354"/>
      <c r="AN15" s="24">
        <v>1.06E-4</v>
      </c>
      <c r="AO15" s="24">
        <v>2.6379999999999997E-3</v>
      </c>
      <c r="AP15" s="24">
        <f>SUM(AN15:AO15)</f>
        <v>2.7439999999999999E-3</v>
      </c>
      <c r="AQ15" s="354"/>
      <c r="AR15" s="24">
        <v>-9.0000000000000002E-6</v>
      </c>
      <c r="AS15" s="24">
        <v>2.6159999999999998E-3</v>
      </c>
      <c r="AT15" s="24">
        <f>SUM(AR15:AS15)</f>
        <v>2.6069999999999999E-3</v>
      </c>
      <c r="AU15" s="354"/>
      <c r="AV15" s="24">
        <v>-4.0500000000000003E-4</v>
      </c>
      <c r="AW15" s="24">
        <v>-4.0451838854517034E-5</v>
      </c>
      <c r="AX15" s="24">
        <v>3.6930000000000001E-3</v>
      </c>
      <c r="AY15" s="51">
        <f t="shared" si="10"/>
        <v>3.2475481611454831E-3</v>
      </c>
      <c r="AZ15" s="354"/>
      <c r="BA15" s="24">
        <v>-2.02E-4</v>
      </c>
      <c r="BB15" s="24">
        <v>3.7430000000000002E-3</v>
      </c>
      <c r="BC15" s="24">
        <f>SUM(BA15:BB15)</f>
        <v>3.5410000000000003E-3</v>
      </c>
      <c r="BD15" s="354"/>
      <c r="BE15" s="24">
        <v>2.1700000000000002E-4</v>
      </c>
      <c r="BF15" s="24">
        <v>3.604E-3</v>
      </c>
      <c r="BG15" s="24">
        <f>SUM(BE15:BF15)</f>
        <v>3.8210000000000002E-3</v>
      </c>
      <c r="BH15" s="354"/>
      <c r="BI15" s="24">
        <v>1.8699999999999999E-4</v>
      </c>
      <c r="BJ15" s="24">
        <v>3.2690000000000002E-3</v>
      </c>
      <c r="BK15" s="24">
        <f t="shared" ref="BK15:BK16" si="11">SUM(BI15:BJ15)</f>
        <v>3.4560000000000003E-3</v>
      </c>
      <c r="BL15" s="354"/>
      <c r="BM15" s="24">
        <v>-1.05E-4</v>
      </c>
      <c r="BN15" s="24">
        <v>2.8440000000000002E-3</v>
      </c>
      <c r="BO15" s="51">
        <v>2.7390000000000001E-3</v>
      </c>
      <c r="BP15" s="354"/>
      <c r="BQ15" s="24">
        <v>2.2000000000000001E-4</v>
      </c>
      <c r="BR15" s="24">
        <v>2.9160000000000002E-3</v>
      </c>
      <c r="BS15" s="51">
        <v>3.1360000000000003E-3</v>
      </c>
      <c r="BT15" s="354"/>
      <c r="BU15" s="24">
        <f>ROUND(+'Peak Credit Budget 2017'!L12,6)</f>
        <v>-9.9999999999999995E-7</v>
      </c>
      <c r="BV15" s="24">
        <f>ROUND(+'Peak Credit Budget 2018'!L12,6)</f>
        <v>2.9020000000000001E-3</v>
      </c>
      <c r="BW15" s="51">
        <f t="shared" ref="BW15:BW16" si="12">SUM(BU15:BV15)</f>
        <v>2.9009999999999999E-3</v>
      </c>
    </row>
    <row r="16" spans="1:75" x14ac:dyDescent="0.2">
      <c r="A16" s="46">
        <f t="shared" si="0"/>
        <v>10</v>
      </c>
      <c r="B16" s="47" t="s">
        <v>12</v>
      </c>
      <c r="C16" s="181">
        <v>43</v>
      </c>
      <c r="D16" s="106">
        <f>SUM('Projected Revenue on F2017'!C24)</f>
        <v>123190000</v>
      </c>
      <c r="E16" s="186">
        <f>SUM('Projected Revenue on F2017'!M24)</f>
        <v>11679000</v>
      </c>
      <c r="F16" s="44"/>
      <c r="G16" s="24">
        <v>2.2599999999999999E-4</v>
      </c>
      <c r="H16" s="24">
        <v>7.9000000000000009E-5</v>
      </c>
      <c r="I16" s="24">
        <v>9.8700000000000003E-4</v>
      </c>
      <c r="J16" s="24">
        <f t="shared" si="7"/>
        <v>1.292E-3</v>
      </c>
      <c r="K16" s="354"/>
      <c r="L16" s="24">
        <v>-4.2330894221242484E-4</v>
      </c>
      <c r="M16" s="24">
        <v>1.0612121678142258E-3</v>
      </c>
      <c r="N16" s="51">
        <f>SUM(L16:M16)</f>
        <v>6.3790322560180091E-4</v>
      </c>
      <c r="O16" s="354"/>
      <c r="P16" s="24">
        <v>1.2400000000000001E-4</v>
      </c>
      <c r="Q16" s="24">
        <v>9.5699999999999995E-4</v>
      </c>
      <c r="R16" s="24">
        <f>SUM(P16:Q16)</f>
        <v>1.0809999999999999E-3</v>
      </c>
      <c r="S16" s="354"/>
      <c r="T16" s="24">
        <v>-5.7999999999999994E-5</v>
      </c>
      <c r="U16" s="24">
        <v>1.3550000000000001E-3</v>
      </c>
      <c r="V16" s="24">
        <f>SUM(T16:U16)</f>
        <v>1.2970000000000002E-3</v>
      </c>
      <c r="W16" s="354"/>
      <c r="X16" s="24">
        <v>-6.6100004791373401E-5</v>
      </c>
      <c r="Y16" s="24">
        <v>1.2718177380962004E-3</v>
      </c>
      <c r="Z16" s="51">
        <f t="shared" si="8"/>
        <v>1.205717733304827E-3</v>
      </c>
      <c r="AA16" s="354"/>
      <c r="AB16" s="24">
        <v>-6.6000000000000005E-5</v>
      </c>
      <c r="AC16" s="24">
        <v>1.3450000000000001E-3</v>
      </c>
      <c r="AD16" s="24">
        <f>SUM(AB16:AC16)</f>
        <v>1.279E-3</v>
      </c>
      <c r="AE16" s="354"/>
      <c r="AF16" s="24">
        <v>5.7999999999999994E-5</v>
      </c>
      <c r="AG16" s="24">
        <v>2.2400000000000002E-3</v>
      </c>
      <c r="AH16" s="24">
        <f>SUM(AF16:AG16)</f>
        <v>2.2980000000000001E-3</v>
      </c>
      <c r="AI16" s="354"/>
      <c r="AJ16" s="24">
        <v>-6.6799999999999997E-4</v>
      </c>
      <c r="AK16" s="24">
        <v>2.3189999999999999E-3</v>
      </c>
      <c r="AL16" s="51">
        <f t="shared" si="9"/>
        <v>1.6509999999999999E-3</v>
      </c>
      <c r="AM16" s="354"/>
      <c r="AN16" s="24">
        <v>1.0999999999999999E-4</v>
      </c>
      <c r="AO16" s="24">
        <v>2.7320000000000001E-3</v>
      </c>
      <c r="AP16" s="24">
        <f>SUM(AN16:AO16)</f>
        <v>2.8419999999999999E-3</v>
      </c>
      <c r="AQ16" s="354"/>
      <c r="AR16" s="24">
        <v>-9.0000000000000002E-6</v>
      </c>
      <c r="AS16" s="24">
        <v>2.8210000000000002E-3</v>
      </c>
      <c r="AT16" s="24">
        <f>SUM(AR16:AS16)</f>
        <v>2.8120000000000003E-3</v>
      </c>
      <c r="AU16" s="354"/>
      <c r="AV16" s="24">
        <v>-4.1799999999999997E-4</v>
      </c>
      <c r="AW16" s="24">
        <v>-3.732720004208592E-5</v>
      </c>
      <c r="AX16" s="24">
        <v>3.408E-3</v>
      </c>
      <c r="AY16" s="51">
        <f t="shared" si="10"/>
        <v>2.9526727999579141E-3</v>
      </c>
      <c r="AZ16" s="354"/>
      <c r="BA16" s="24">
        <v>-1.8999999999999998E-4</v>
      </c>
      <c r="BB16" s="24">
        <v>3.5199999999999997E-3</v>
      </c>
      <c r="BC16" s="24">
        <f>SUM(BA16:BB16)</f>
        <v>3.3299999999999996E-3</v>
      </c>
      <c r="BD16" s="354"/>
      <c r="BE16" s="24">
        <v>2.1799999999999999E-4</v>
      </c>
      <c r="BF16" s="24">
        <v>3.6189999999999998E-3</v>
      </c>
      <c r="BG16" s="24">
        <f>SUM(BE16:BF16)</f>
        <v>3.8369999999999997E-3</v>
      </c>
      <c r="BH16" s="354"/>
      <c r="BI16" s="24">
        <v>2.4800000000000001E-4</v>
      </c>
      <c r="BJ16" s="24">
        <v>4.333E-3</v>
      </c>
      <c r="BK16" s="24">
        <f t="shared" si="11"/>
        <v>4.581E-3</v>
      </c>
      <c r="BL16" s="354"/>
      <c r="BM16" s="24">
        <v>-1.47E-4</v>
      </c>
      <c r="BN16" s="24">
        <v>4.0010000000000002E-3</v>
      </c>
      <c r="BO16" s="51">
        <v>3.8540000000000002E-3</v>
      </c>
      <c r="BP16" s="354"/>
      <c r="BQ16" s="24">
        <v>2.9799999999999998E-4</v>
      </c>
      <c r="BR16" s="24">
        <v>3.9519999999999998E-3</v>
      </c>
      <c r="BS16" s="51">
        <v>4.2499999999999994E-3</v>
      </c>
      <c r="BT16" s="354"/>
      <c r="BU16" s="24">
        <f>ROUND(+'Peak Credit Budget 2017'!L13,6)</f>
        <v>-1.9999999999999999E-6</v>
      </c>
      <c r="BV16" s="24">
        <f>ROUND(+'Peak Credit Budget 2018'!L13,6)</f>
        <v>3.3010000000000001E-3</v>
      </c>
      <c r="BW16" s="51">
        <f t="shared" si="12"/>
        <v>3.2990000000000003E-3</v>
      </c>
    </row>
    <row r="17" spans="1:75" x14ac:dyDescent="0.2">
      <c r="A17" s="46">
        <f t="shared" si="0"/>
        <v>11</v>
      </c>
      <c r="B17" s="43"/>
      <c r="E17" s="186"/>
      <c r="G17" s="354"/>
      <c r="H17" s="354"/>
      <c r="I17" s="354"/>
      <c r="J17" s="354"/>
      <c r="K17" s="354"/>
      <c r="L17" s="354"/>
      <c r="M17" s="354"/>
      <c r="N17" s="55"/>
      <c r="O17" s="354"/>
      <c r="P17" s="354"/>
      <c r="Q17" s="354"/>
      <c r="R17" s="354"/>
      <c r="S17" s="354"/>
      <c r="T17" s="354"/>
      <c r="U17" s="354"/>
      <c r="V17" s="354"/>
      <c r="W17" s="354"/>
      <c r="X17" s="354"/>
      <c r="Y17" s="354"/>
      <c r="Z17" s="55"/>
      <c r="AA17" s="354"/>
      <c r="AB17" s="354"/>
      <c r="AC17" s="354"/>
      <c r="AD17" s="354"/>
      <c r="AE17" s="354"/>
      <c r="AF17" s="354"/>
      <c r="AG17" s="354"/>
      <c r="AH17" s="354"/>
      <c r="AI17" s="354"/>
      <c r="AJ17" s="354"/>
      <c r="AK17" s="354"/>
      <c r="AL17" s="55"/>
      <c r="AM17" s="354"/>
      <c r="AN17" s="354"/>
      <c r="AO17" s="354"/>
      <c r="AP17" s="354"/>
      <c r="AQ17" s="354"/>
      <c r="AR17" s="354"/>
      <c r="AS17" s="354"/>
      <c r="AT17" s="354"/>
      <c r="AU17" s="354"/>
      <c r="AV17" s="354"/>
      <c r="AW17" s="354"/>
      <c r="AX17" s="354"/>
      <c r="AY17" s="55"/>
      <c r="AZ17" s="354"/>
      <c r="BA17" s="354"/>
      <c r="BB17" s="354"/>
      <c r="BC17" s="354"/>
      <c r="BD17" s="354"/>
      <c r="BE17" s="354"/>
      <c r="BF17" s="354"/>
      <c r="BG17" s="354"/>
      <c r="BH17" s="354"/>
      <c r="BI17" s="24"/>
      <c r="BJ17" s="24"/>
      <c r="BK17" s="354"/>
      <c r="BL17" s="354"/>
      <c r="BM17" s="24"/>
      <c r="BN17" s="24"/>
      <c r="BO17" s="51"/>
      <c r="BP17" s="354"/>
      <c r="BQ17" s="24"/>
      <c r="BR17" s="24"/>
      <c r="BS17" s="51"/>
      <c r="BT17" s="354"/>
      <c r="BU17" s="24"/>
      <c r="BV17" s="24"/>
      <c r="BW17" s="51"/>
    </row>
    <row r="18" spans="1:75" x14ac:dyDescent="0.2">
      <c r="A18" s="46">
        <f t="shared" si="0"/>
        <v>12</v>
      </c>
      <c r="B18" s="43" t="s">
        <v>63</v>
      </c>
      <c r="C18" s="181">
        <v>40</v>
      </c>
      <c r="E18" s="186"/>
      <c r="G18" s="354"/>
      <c r="H18" s="354"/>
      <c r="I18" s="354"/>
      <c r="J18" s="354"/>
      <c r="K18" s="354"/>
      <c r="L18" s="354"/>
      <c r="M18" s="354"/>
      <c r="N18" s="55"/>
      <c r="O18" s="354"/>
      <c r="P18" s="24">
        <v>1.1599999999999999E-4</v>
      </c>
      <c r="Q18" s="24">
        <v>9.0200000000000002E-4</v>
      </c>
      <c r="R18" s="24">
        <f t="shared" ref="R18:R21" si="13">SUM(P18:Q18)</f>
        <v>1.018E-3</v>
      </c>
      <c r="S18" s="354"/>
      <c r="T18" s="24">
        <v>0</v>
      </c>
      <c r="U18" s="24">
        <v>1.018E-3</v>
      </c>
      <c r="V18" s="24">
        <f t="shared" ref="V18:V21" si="14">SUM(T18:U18)</f>
        <v>1.018E-3</v>
      </c>
      <c r="W18" s="354"/>
      <c r="X18" s="24">
        <v>0</v>
      </c>
      <c r="Y18" s="24">
        <v>1.018E-3</v>
      </c>
      <c r="Z18" s="51">
        <f t="shared" ref="Z18:Z21" si="15">SUM(X18:Y18)</f>
        <v>1.018E-3</v>
      </c>
      <c r="AA18" s="354"/>
      <c r="AB18" s="24">
        <v>0</v>
      </c>
      <c r="AC18" s="24">
        <v>1.018E-3</v>
      </c>
      <c r="AD18" s="24">
        <f t="shared" ref="AD18:AD21" si="16">SUM(AB18:AC18)</f>
        <v>1.018E-3</v>
      </c>
      <c r="AE18" s="354"/>
      <c r="AF18" s="24">
        <v>0</v>
      </c>
      <c r="AG18" s="24">
        <v>1.018E-3</v>
      </c>
      <c r="AH18" s="24">
        <f t="shared" ref="AH18:AH21" si="17">SUM(AF18:AG18)</f>
        <v>1.018E-3</v>
      </c>
      <c r="AI18" s="354"/>
      <c r="AJ18" s="24">
        <v>0</v>
      </c>
      <c r="AK18" s="24">
        <v>1.018E-3</v>
      </c>
      <c r="AL18" s="51">
        <f t="shared" ref="AL18:AL21" si="18">SUM(AJ18:AK18)</f>
        <v>1.018E-3</v>
      </c>
      <c r="AM18" s="354"/>
      <c r="AN18" s="24">
        <v>0</v>
      </c>
      <c r="AO18" s="24">
        <v>1.5269999999999999E-3</v>
      </c>
      <c r="AP18" s="24">
        <f t="shared" ref="AP18:AP21" si="19">SUM(AN18:AO18)</f>
        <v>1.5269999999999999E-3</v>
      </c>
      <c r="AQ18" s="354"/>
      <c r="AR18" s="24">
        <v>0</v>
      </c>
      <c r="AS18" s="24">
        <v>4.7130000000000002E-3</v>
      </c>
      <c r="AT18" s="24">
        <f t="shared" ref="AT18:AT21" si="20">SUM(AR18:AS18)</f>
        <v>4.7130000000000002E-3</v>
      </c>
      <c r="AU18" s="354"/>
      <c r="AV18" s="24">
        <v>-5.0700000000000007E-4</v>
      </c>
      <c r="AW18" s="24">
        <v>0</v>
      </c>
      <c r="AX18" s="24">
        <v>4.8669999999999998E-3</v>
      </c>
      <c r="AY18" s="51">
        <f t="shared" ref="AY18:AY21" si="21">SUM(AV18:AX18)</f>
        <v>4.3599999999999993E-3</v>
      </c>
      <c r="AZ18" s="354"/>
      <c r="BA18" s="24">
        <v>-2.2900000000000001E-4</v>
      </c>
      <c r="BB18" s="24">
        <v>4.2329999999999998E-3</v>
      </c>
      <c r="BC18" s="24">
        <f t="shared" ref="BC18:BC21" si="22">SUM(BA18:BB18)</f>
        <v>4.0039999999999997E-3</v>
      </c>
      <c r="BD18" s="354"/>
      <c r="BE18" s="24">
        <v>2.6899999999999998E-4</v>
      </c>
      <c r="BF18" s="24">
        <v>4.4809999999999997E-3</v>
      </c>
      <c r="BG18" s="24">
        <f t="shared" ref="BG18:BG21" si="23">SUM(BE18:BF18)</f>
        <v>4.7499999999999999E-3</v>
      </c>
      <c r="BH18" s="354"/>
      <c r="BI18" s="24">
        <v>2.7900000000000001E-4</v>
      </c>
      <c r="BJ18" s="24">
        <v>5.1609999999999998E-3</v>
      </c>
      <c r="BK18" s="24">
        <f t="shared" ref="BK18:BK19" si="24">SUM(BI18:BJ18)</f>
        <v>5.4399999999999995E-3</v>
      </c>
      <c r="BL18" s="354"/>
      <c r="BM18" s="24">
        <v>-1.6100000000000001E-4</v>
      </c>
      <c r="BN18" s="24">
        <v>4.3810000000000003E-3</v>
      </c>
      <c r="BO18" s="51">
        <v>4.2200000000000007E-3</v>
      </c>
      <c r="BP18" s="354"/>
      <c r="BQ18" s="24">
        <v>3.6000000000000002E-4</v>
      </c>
      <c r="BR18" s="24">
        <v>4.7819999999999998E-3</v>
      </c>
      <c r="BS18" s="51">
        <v>5.1419999999999999E-3</v>
      </c>
      <c r="BT18" s="354"/>
      <c r="BU18" s="24">
        <f>ROUND(+'Peak Credit Budget 2017'!L16,6)</f>
        <v>-1.9999999999999999E-6</v>
      </c>
      <c r="BV18" s="24">
        <f>ROUND(+'Peak Credit Budget 2018'!L16,6)</f>
        <v>3.7919999999999998E-3</v>
      </c>
      <c r="BW18" s="51">
        <f t="shared" ref="BW18:BW21" si="25">SUM(BU18:BV18)</f>
        <v>3.79E-3</v>
      </c>
    </row>
    <row r="19" spans="1:75" x14ac:dyDescent="0.2">
      <c r="A19" s="46">
        <f t="shared" si="0"/>
        <v>13</v>
      </c>
      <c r="B19" s="356" t="s">
        <v>61</v>
      </c>
      <c r="C19" s="181">
        <v>40</v>
      </c>
      <c r="E19" s="186"/>
      <c r="F19" s="44"/>
      <c r="G19" s="354"/>
      <c r="H19" s="354"/>
      <c r="I19" s="354"/>
      <c r="J19" s="354"/>
      <c r="K19" s="354"/>
      <c r="L19" s="354"/>
      <c r="M19" s="354"/>
      <c r="N19" s="55"/>
      <c r="O19" s="354"/>
      <c r="P19" s="24">
        <v>1.1599999999999999E-4</v>
      </c>
      <c r="Q19" s="24">
        <v>9.0200000000000002E-4</v>
      </c>
      <c r="R19" s="24">
        <f t="shared" si="13"/>
        <v>1.018E-3</v>
      </c>
      <c r="S19" s="354"/>
      <c r="T19" s="24">
        <v>0</v>
      </c>
      <c r="U19" s="24">
        <v>1.018E-3</v>
      </c>
      <c r="V19" s="24">
        <f t="shared" si="14"/>
        <v>1.018E-3</v>
      </c>
      <c r="W19" s="354"/>
      <c r="X19" s="24">
        <v>0</v>
      </c>
      <c r="Y19" s="24">
        <v>1.018E-3</v>
      </c>
      <c r="Z19" s="51">
        <f t="shared" si="15"/>
        <v>1.018E-3</v>
      </c>
      <c r="AA19" s="354"/>
      <c r="AB19" s="24">
        <v>0</v>
      </c>
      <c r="AC19" s="24">
        <v>1.018E-3</v>
      </c>
      <c r="AD19" s="24">
        <f t="shared" si="16"/>
        <v>1.018E-3</v>
      </c>
      <c r="AE19" s="354"/>
      <c r="AF19" s="24">
        <v>0</v>
      </c>
      <c r="AG19" s="24">
        <v>1.018E-3</v>
      </c>
      <c r="AH19" s="24">
        <f t="shared" si="17"/>
        <v>1.018E-3</v>
      </c>
      <c r="AI19" s="354"/>
      <c r="AJ19" s="24">
        <v>0</v>
      </c>
      <c r="AK19" s="24">
        <v>1.018E-3</v>
      </c>
      <c r="AL19" s="51">
        <f t="shared" si="18"/>
        <v>1.018E-3</v>
      </c>
      <c r="AM19" s="354"/>
      <c r="AN19" s="24">
        <v>0</v>
      </c>
      <c r="AO19" s="24">
        <v>1.5269999999999999E-3</v>
      </c>
      <c r="AP19" s="24">
        <f t="shared" si="19"/>
        <v>1.5269999999999999E-3</v>
      </c>
      <c r="AQ19" s="354"/>
      <c r="AR19" s="24">
        <v>0</v>
      </c>
      <c r="AS19" s="24">
        <v>4.7130000000000002E-3</v>
      </c>
      <c r="AT19" s="24">
        <f t="shared" si="20"/>
        <v>4.7130000000000002E-3</v>
      </c>
      <c r="AU19" s="354"/>
      <c r="AV19" s="24">
        <v>-5.0700000000000007E-4</v>
      </c>
      <c r="AW19" s="24">
        <v>0</v>
      </c>
      <c r="AX19" s="24">
        <v>4.8669999999999998E-3</v>
      </c>
      <c r="AY19" s="51">
        <f t="shared" si="21"/>
        <v>4.3599999999999993E-3</v>
      </c>
      <c r="AZ19" s="354"/>
      <c r="BA19" s="24">
        <v>-2.2900000000000001E-4</v>
      </c>
      <c r="BB19" s="24">
        <v>4.2329999999999998E-3</v>
      </c>
      <c r="BC19" s="24">
        <f t="shared" si="22"/>
        <v>4.0039999999999997E-3</v>
      </c>
      <c r="BD19" s="354"/>
      <c r="BE19" s="24">
        <v>2.6899999999999998E-4</v>
      </c>
      <c r="BF19" s="24">
        <v>4.4809999999999997E-3</v>
      </c>
      <c r="BG19" s="24">
        <f t="shared" si="23"/>
        <v>4.7499999999999999E-3</v>
      </c>
      <c r="BH19" s="354"/>
      <c r="BI19" s="24">
        <v>2.7900000000000001E-4</v>
      </c>
      <c r="BJ19" s="24">
        <v>5.1609999999999998E-3</v>
      </c>
      <c r="BK19" s="24">
        <f t="shared" si="24"/>
        <v>5.4399999999999995E-3</v>
      </c>
      <c r="BL19" s="354"/>
      <c r="BM19" s="24">
        <v>-1.6100000000000001E-4</v>
      </c>
      <c r="BN19" s="24">
        <v>4.3810000000000003E-3</v>
      </c>
      <c r="BO19" s="51">
        <v>4.2200000000000007E-3</v>
      </c>
      <c r="BP19" s="354"/>
      <c r="BQ19" s="24">
        <v>3.6000000000000002E-4</v>
      </c>
      <c r="BR19" s="24">
        <v>4.7819999999999998E-3</v>
      </c>
      <c r="BS19" s="51">
        <v>5.1419999999999999E-3</v>
      </c>
      <c r="BT19" s="354"/>
      <c r="BU19" s="24">
        <f>+BU18</f>
        <v>-1.9999999999999999E-6</v>
      </c>
      <c r="BV19" s="24">
        <f>+BV18</f>
        <v>3.7919999999999998E-3</v>
      </c>
      <c r="BW19" s="51">
        <f t="shared" si="25"/>
        <v>3.79E-3</v>
      </c>
    </row>
    <row r="20" spans="1:75" x14ac:dyDescent="0.2">
      <c r="A20" s="46">
        <f t="shared" si="0"/>
        <v>14</v>
      </c>
      <c r="B20" s="43" t="s">
        <v>147</v>
      </c>
      <c r="C20" s="181">
        <v>40</v>
      </c>
      <c r="E20" s="186"/>
      <c r="F20" s="44"/>
      <c r="G20" s="354"/>
      <c r="H20" s="354"/>
      <c r="I20" s="354"/>
      <c r="J20" s="354"/>
      <c r="K20" s="354"/>
      <c r="L20" s="354"/>
      <c r="M20" s="354"/>
      <c r="N20" s="55"/>
      <c r="O20" s="354"/>
      <c r="P20" s="24">
        <v>0</v>
      </c>
      <c r="Q20" s="24">
        <v>1.0499999999999999E-3</v>
      </c>
      <c r="R20" s="24">
        <f t="shared" si="13"/>
        <v>1.0499999999999999E-3</v>
      </c>
      <c r="S20" s="354"/>
      <c r="T20" s="24">
        <v>0</v>
      </c>
      <c r="U20" s="24">
        <v>1.0499999999999999E-3</v>
      </c>
      <c r="V20" s="24">
        <f t="shared" si="14"/>
        <v>1.0499999999999999E-3</v>
      </c>
      <c r="W20" s="354"/>
      <c r="X20" s="24">
        <v>0</v>
      </c>
      <c r="Y20" s="24">
        <v>1.0499999999999999E-3</v>
      </c>
      <c r="Z20" s="51">
        <f t="shared" si="15"/>
        <v>1.0499999999999999E-3</v>
      </c>
      <c r="AA20" s="354"/>
      <c r="AB20" s="24">
        <v>0</v>
      </c>
      <c r="AC20" s="24">
        <v>1.0499999999999999E-3</v>
      </c>
      <c r="AD20" s="24">
        <f t="shared" si="16"/>
        <v>1.0499999999999999E-3</v>
      </c>
      <c r="AE20" s="354"/>
      <c r="AF20" s="24">
        <v>0</v>
      </c>
      <c r="AG20" s="24">
        <v>1.0499999999999999E-3</v>
      </c>
      <c r="AH20" s="24">
        <f t="shared" si="17"/>
        <v>1.0499999999999999E-3</v>
      </c>
      <c r="AI20" s="354"/>
      <c r="AJ20" s="24">
        <v>0</v>
      </c>
      <c r="AK20" s="24">
        <v>1.0499999999999999E-3</v>
      </c>
      <c r="AL20" s="51">
        <f t="shared" si="18"/>
        <v>1.0499999999999999E-3</v>
      </c>
      <c r="AM20" s="354"/>
      <c r="AN20" s="24">
        <v>0</v>
      </c>
      <c r="AO20" s="24">
        <v>1.575E-3</v>
      </c>
      <c r="AP20" s="24">
        <f t="shared" si="19"/>
        <v>1.575E-3</v>
      </c>
      <c r="AQ20" s="354"/>
      <c r="AR20" s="24">
        <v>0</v>
      </c>
      <c r="AS20" s="24">
        <v>3.8729999999999997E-3</v>
      </c>
      <c r="AT20" s="24">
        <f t="shared" si="20"/>
        <v>3.8729999999999997E-3</v>
      </c>
      <c r="AU20" s="354"/>
      <c r="AV20" s="24">
        <v>-4.5900000000000004E-4</v>
      </c>
      <c r="AW20" s="24">
        <v>0</v>
      </c>
      <c r="AX20" s="24">
        <v>4.3140000000000001E-3</v>
      </c>
      <c r="AY20" s="51">
        <f t="shared" si="21"/>
        <v>3.8549999999999999E-3</v>
      </c>
      <c r="AZ20" s="354"/>
      <c r="BA20" s="24">
        <v>-2.1499999999999999E-4</v>
      </c>
      <c r="BB20" s="24">
        <v>3.973E-3</v>
      </c>
      <c r="BC20" s="24">
        <f t="shared" si="22"/>
        <v>3.7580000000000001E-3</v>
      </c>
      <c r="BD20" s="354"/>
      <c r="BE20" s="24">
        <v>2.2599999999999999E-4</v>
      </c>
      <c r="BF20" s="24">
        <v>3.764E-3</v>
      </c>
      <c r="BG20" s="24">
        <f t="shared" si="23"/>
        <v>3.9899999999999996E-3</v>
      </c>
      <c r="BH20" s="354"/>
      <c r="BI20" s="24">
        <v>2.1900000000000001E-4</v>
      </c>
      <c r="BJ20" s="24">
        <v>4.0410000000000003E-3</v>
      </c>
      <c r="BK20" s="24">
        <f t="shared" ref="BK20" si="26">SUM(BI20:BJ20)</f>
        <v>4.2599999999999999E-3</v>
      </c>
      <c r="BL20" s="354"/>
      <c r="BM20" s="24">
        <v>-1.45E-4</v>
      </c>
      <c r="BN20" s="24">
        <v>3.9350000000000001E-3</v>
      </c>
      <c r="BO20" s="51">
        <v>3.79E-3</v>
      </c>
      <c r="BP20" s="354"/>
      <c r="BQ20" s="24">
        <v>3.1E-4</v>
      </c>
      <c r="BR20" s="24">
        <v>4.1159999999999999E-3</v>
      </c>
      <c r="BS20" s="51">
        <v>4.4260000000000002E-3</v>
      </c>
      <c r="BT20" s="354"/>
      <c r="BU20" s="24">
        <f t="shared" ref="BU20:BV20" si="27">+BU24</f>
        <v>-1.9999999999999999E-6</v>
      </c>
      <c r="BV20" s="24">
        <f t="shared" si="27"/>
        <v>3.9060000000000002E-3</v>
      </c>
      <c r="BW20" s="51">
        <f t="shared" ref="BW20" si="28">SUM(BU20:BV20)</f>
        <v>3.9040000000000004E-3</v>
      </c>
    </row>
    <row r="21" spans="1:75" x14ac:dyDescent="0.2">
      <c r="A21" s="46">
        <f t="shared" si="0"/>
        <v>15</v>
      </c>
      <c r="B21" s="52" t="s">
        <v>124</v>
      </c>
      <c r="D21" s="106">
        <f>SUM('Projected Revenue on F2017'!C27)</f>
        <v>679072000</v>
      </c>
      <c r="E21" s="186">
        <f>SUM('Projected Revenue on F2017'!M27)</f>
        <v>52535000</v>
      </c>
      <c r="F21" s="44"/>
      <c r="G21" s="354"/>
      <c r="H21" s="354"/>
      <c r="I21" s="354"/>
      <c r="J21" s="354"/>
      <c r="K21" s="354"/>
      <c r="L21" s="354"/>
      <c r="M21" s="354"/>
      <c r="N21" s="55"/>
      <c r="O21" s="354"/>
      <c r="P21" s="24">
        <v>1.1599999999999999E-4</v>
      </c>
      <c r="Q21" s="24">
        <v>9.0200000000000002E-4</v>
      </c>
      <c r="R21" s="24">
        <f t="shared" si="13"/>
        <v>1.018E-3</v>
      </c>
      <c r="S21" s="354"/>
      <c r="T21" s="24">
        <v>0</v>
      </c>
      <c r="U21" s="24">
        <v>1.018E-3</v>
      </c>
      <c r="V21" s="24">
        <f t="shared" si="14"/>
        <v>1.018E-3</v>
      </c>
      <c r="W21" s="354"/>
      <c r="X21" s="24">
        <v>0</v>
      </c>
      <c r="Y21" s="24">
        <v>1.018E-3</v>
      </c>
      <c r="Z21" s="51">
        <f t="shared" si="15"/>
        <v>1.018E-3</v>
      </c>
      <c r="AA21" s="354"/>
      <c r="AB21" s="24">
        <v>0</v>
      </c>
      <c r="AC21" s="24">
        <v>1.018E-3</v>
      </c>
      <c r="AD21" s="24">
        <f t="shared" si="16"/>
        <v>1.018E-3</v>
      </c>
      <c r="AE21" s="354"/>
      <c r="AF21" s="24">
        <v>0</v>
      </c>
      <c r="AG21" s="24">
        <v>1.018E-3</v>
      </c>
      <c r="AH21" s="24">
        <f t="shared" si="17"/>
        <v>1.018E-3</v>
      </c>
      <c r="AI21" s="354"/>
      <c r="AJ21" s="24">
        <v>0</v>
      </c>
      <c r="AK21" s="24">
        <v>1.018E-3</v>
      </c>
      <c r="AL21" s="51">
        <f t="shared" si="18"/>
        <v>1.018E-3</v>
      </c>
      <c r="AM21" s="354"/>
      <c r="AN21" s="24">
        <v>0</v>
      </c>
      <c r="AO21" s="24">
        <v>1.5269999999999999E-3</v>
      </c>
      <c r="AP21" s="24">
        <f t="shared" si="19"/>
        <v>1.5269999999999999E-3</v>
      </c>
      <c r="AQ21" s="354"/>
      <c r="AR21" s="24">
        <v>0</v>
      </c>
      <c r="AS21" s="24">
        <v>4.7130000000000002E-3</v>
      </c>
      <c r="AT21" s="24">
        <f t="shared" si="20"/>
        <v>4.7130000000000002E-3</v>
      </c>
      <c r="AU21" s="354"/>
      <c r="AV21" s="24">
        <v>-5.0700000000000007E-4</v>
      </c>
      <c r="AW21" s="24">
        <v>0</v>
      </c>
      <c r="AX21" s="24">
        <v>4.8669999999999998E-3</v>
      </c>
      <c r="AY21" s="51">
        <f t="shared" si="21"/>
        <v>4.3599999999999993E-3</v>
      </c>
      <c r="AZ21" s="354"/>
      <c r="BA21" s="24">
        <v>-2.2900000000000001E-4</v>
      </c>
      <c r="BB21" s="24">
        <v>4.2329999999999998E-3</v>
      </c>
      <c r="BC21" s="24">
        <f t="shared" si="22"/>
        <v>4.0039999999999997E-3</v>
      </c>
      <c r="BD21" s="354"/>
      <c r="BE21" s="24">
        <v>2.6899999999999998E-4</v>
      </c>
      <c r="BF21" s="24">
        <v>4.4809999999999997E-3</v>
      </c>
      <c r="BG21" s="24">
        <f t="shared" si="23"/>
        <v>4.7499999999999999E-3</v>
      </c>
      <c r="BH21" s="354"/>
      <c r="BI21" s="24">
        <v>2.7900000000000001E-4</v>
      </c>
      <c r="BJ21" s="24">
        <v>5.1609999999999998E-3</v>
      </c>
      <c r="BK21" s="24">
        <f t="shared" ref="BK21" si="29">SUM(BI21:BJ21)</f>
        <v>5.4399999999999995E-3</v>
      </c>
      <c r="BL21" s="354"/>
      <c r="BM21" s="24">
        <v>-1.6100000000000001E-4</v>
      </c>
      <c r="BN21" s="24">
        <v>4.3810000000000003E-3</v>
      </c>
      <c r="BO21" s="51">
        <v>4.2200000000000007E-3</v>
      </c>
      <c r="BP21" s="354"/>
      <c r="BQ21" s="24">
        <v>3.6000000000000002E-4</v>
      </c>
      <c r="BR21" s="24">
        <v>4.7819999999999998E-3</v>
      </c>
      <c r="BS21" s="51">
        <v>5.1419999999999999E-3</v>
      </c>
      <c r="BT21" s="354"/>
      <c r="BU21" s="24">
        <f>+BU19</f>
        <v>-1.9999999999999999E-6</v>
      </c>
      <c r="BV21" s="24">
        <f>+BV19</f>
        <v>3.7919999999999998E-3</v>
      </c>
      <c r="BW21" s="51">
        <f t="shared" si="25"/>
        <v>3.79E-3</v>
      </c>
    </row>
    <row r="22" spans="1:75" x14ac:dyDescent="0.2">
      <c r="A22" s="46">
        <f t="shared" si="0"/>
        <v>16</v>
      </c>
      <c r="B22" s="52"/>
      <c r="E22" s="186"/>
      <c r="F22" s="44"/>
      <c r="G22" s="354"/>
      <c r="H22" s="354"/>
      <c r="I22" s="354"/>
      <c r="J22" s="354"/>
      <c r="K22" s="354"/>
      <c r="L22" s="354"/>
      <c r="M22" s="354"/>
      <c r="N22" s="55"/>
      <c r="O22" s="354"/>
      <c r="P22" s="354"/>
      <c r="Q22" s="354"/>
      <c r="R22" s="354"/>
      <c r="S22" s="354"/>
      <c r="T22" s="354"/>
      <c r="U22" s="354"/>
      <c r="V22" s="354"/>
      <c r="W22" s="354"/>
      <c r="X22" s="354"/>
      <c r="Y22" s="354"/>
      <c r="Z22" s="55"/>
      <c r="AA22" s="354"/>
      <c r="AB22" s="354"/>
      <c r="AC22" s="354"/>
      <c r="AD22" s="354"/>
      <c r="AE22" s="354"/>
      <c r="AF22" s="354"/>
      <c r="AG22" s="354"/>
      <c r="AH22" s="354"/>
      <c r="AI22" s="354"/>
      <c r="AJ22" s="354"/>
      <c r="AK22" s="354"/>
      <c r="AL22" s="55"/>
      <c r="AM22" s="354"/>
      <c r="AN22" s="354"/>
      <c r="AO22" s="354"/>
      <c r="AP22" s="354"/>
      <c r="AQ22" s="354"/>
      <c r="AR22" s="354"/>
      <c r="AS22" s="354"/>
      <c r="AT22" s="354"/>
      <c r="AU22" s="354"/>
      <c r="AV22" s="354"/>
      <c r="AW22" s="354"/>
      <c r="AX22" s="354"/>
      <c r="AY22" s="55"/>
      <c r="AZ22" s="354"/>
      <c r="BA22" s="354"/>
      <c r="BB22" s="354"/>
      <c r="BC22" s="354"/>
      <c r="BD22" s="354"/>
      <c r="BE22" s="354"/>
      <c r="BF22" s="354"/>
      <c r="BG22" s="354"/>
      <c r="BH22" s="354"/>
      <c r="BI22" s="24"/>
      <c r="BJ22" s="24"/>
      <c r="BK22" s="354"/>
      <c r="BL22" s="354"/>
      <c r="BM22" s="24"/>
      <c r="BN22" s="24"/>
      <c r="BO22" s="51"/>
      <c r="BP22" s="354"/>
      <c r="BQ22" s="24"/>
      <c r="BR22" s="24"/>
      <c r="BS22" s="51"/>
      <c r="BT22" s="354"/>
      <c r="BU22" s="24"/>
      <c r="BV22" s="24"/>
      <c r="BW22" s="51"/>
    </row>
    <row r="23" spans="1:75" x14ac:dyDescent="0.2">
      <c r="A23" s="46">
        <f t="shared" si="0"/>
        <v>17</v>
      </c>
      <c r="B23" s="47" t="s">
        <v>14</v>
      </c>
      <c r="C23" s="181">
        <v>46</v>
      </c>
      <c r="D23" s="106">
        <f>SUM('Projected Revenue on F2017'!C29)</f>
        <v>72776000</v>
      </c>
      <c r="E23" s="186">
        <f>SUM('Projected Revenue on F2017'!M29)</f>
        <v>5157000</v>
      </c>
      <c r="F23" s="44"/>
      <c r="G23" s="24">
        <v>2.6700000000000004E-4</v>
      </c>
      <c r="H23" s="24">
        <v>8.7000000000000001E-5</v>
      </c>
      <c r="I23" s="24">
        <v>1.2439999999999999E-3</v>
      </c>
      <c r="J23" s="24">
        <f t="shared" ref="J23:J26" si="30">SUM(G23:I23)</f>
        <v>1.598E-3</v>
      </c>
      <c r="K23" s="354"/>
      <c r="L23" s="24">
        <v>0</v>
      </c>
      <c r="M23" s="24">
        <v>1.0500638237436195E-3</v>
      </c>
      <c r="N23" s="51">
        <f>SUM(L23:M23)</f>
        <v>1.0500638237436195E-3</v>
      </c>
      <c r="O23" s="354"/>
      <c r="P23" s="24">
        <v>0</v>
      </c>
      <c r="Q23" s="24">
        <v>1.0499999999999999E-3</v>
      </c>
      <c r="R23" s="24">
        <f>SUM(P23:Q23)</f>
        <v>1.0499999999999999E-3</v>
      </c>
      <c r="S23" s="354"/>
      <c r="T23" s="24">
        <v>0</v>
      </c>
      <c r="U23" s="24">
        <v>1.0499999999999999E-3</v>
      </c>
      <c r="V23" s="24">
        <f>SUM(T23:U23)</f>
        <v>1.0499999999999999E-3</v>
      </c>
      <c r="W23" s="354"/>
      <c r="X23" s="24">
        <v>0</v>
      </c>
      <c r="Y23" s="24">
        <v>1.0499999999999999E-3</v>
      </c>
      <c r="Z23" s="51">
        <f t="shared" ref="Z23:Z26" si="31">SUM(X23:Y23)</f>
        <v>1.0499999999999999E-3</v>
      </c>
      <c r="AA23" s="354"/>
      <c r="AB23" s="24">
        <v>0</v>
      </c>
      <c r="AC23" s="24">
        <v>1.0499999999999999E-3</v>
      </c>
      <c r="AD23" s="24">
        <f>SUM(AB23:AC23)</f>
        <v>1.0499999999999999E-3</v>
      </c>
      <c r="AE23" s="354"/>
      <c r="AF23" s="24">
        <v>0</v>
      </c>
      <c r="AG23" s="24">
        <v>1.0499999999999999E-3</v>
      </c>
      <c r="AH23" s="24">
        <f>SUM(AF23:AG23)</f>
        <v>1.0499999999999999E-3</v>
      </c>
      <c r="AI23" s="354"/>
      <c r="AJ23" s="24">
        <v>0</v>
      </c>
      <c r="AK23" s="24">
        <v>1.0499999999999999E-3</v>
      </c>
      <c r="AL23" s="51">
        <f t="shared" ref="AL23:AL26" si="32">SUM(AJ23:AK23)</f>
        <v>1.0499999999999999E-3</v>
      </c>
      <c r="AM23" s="354"/>
      <c r="AN23" s="24">
        <v>0</v>
      </c>
      <c r="AO23" s="24">
        <v>1.575E-3</v>
      </c>
      <c r="AP23" s="24">
        <f>SUM(AN23:AO23)</f>
        <v>1.575E-3</v>
      </c>
      <c r="AQ23" s="354"/>
      <c r="AR23" s="24">
        <v>0</v>
      </c>
      <c r="AS23" s="24">
        <v>3.4089999999999997E-3</v>
      </c>
      <c r="AT23" s="24">
        <f>SUM(AR23:AS23)</f>
        <v>3.4089999999999997E-3</v>
      </c>
      <c r="AU23" s="354"/>
      <c r="AV23" s="24">
        <v>-3.86E-4</v>
      </c>
      <c r="AW23" s="24">
        <v>0</v>
      </c>
      <c r="AX23" s="24">
        <v>3.7000000000000002E-3</v>
      </c>
      <c r="AY23" s="51">
        <f t="shared" ref="AY23:AY26" si="33">SUM(AV23:AX23)</f>
        <v>3.3140000000000001E-3</v>
      </c>
      <c r="AZ23" s="354"/>
      <c r="BA23" s="24">
        <v>-1.7999999999999998E-4</v>
      </c>
      <c r="BB23" s="24">
        <v>3.3310000000000002E-3</v>
      </c>
      <c r="BC23" s="24">
        <f>SUM(BA23:BB23)</f>
        <v>3.1510000000000002E-3</v>
      </c>
      <c r="BD23" s="354"/>
      <c r="BE23" s="24">
        <v>2.13E-4</v>
      </c>
      <c r="BF23" s="24">
        <v>3.5410000000000003E-3</v>
      </c>
      <c r="BG23" s="24">
        <f>SUM(BE23:BF23)</f>
        <v>3.7540000000000004E-3</v>
      </c>
      <c r="BH23" s="354"/>
      <c r="BI23" s="24">
        <v>2.02E-4</v>
      </c>
      <c r="BJ23" s="24">
        <v>3.532E-3</v>
      </c>
      <c r="BK23" s="24">
        <f t="shared" ref="BK23:BK26" si="34">SUM(BI23:BJ23)</f>
        <v>3.7339999999999999E-3</v>
      </c>
      <c r="BL23" s="354"/>
      <c r="BM23" s="24">
        <v>-1.08E-4</v>
      </c>
      <c r="BN23" s="24">
        <v>2.944E-3</v>
      </c>
      <c r="BO23" s="51">
        <v>2.836E-3</v>
      </c>
      <c r="BP23" s="354"/>
      <c r="BQ23" s="24">
        <v>2.04E-4</v>
      </c>
      <c r="BR23" s="24">
        <v>2.7130000000000001E-3</v>
      </c>
      <c r="BS23" s="51">
        <v>2.9170000000000003E-3</v>
      </c>
      <c r="BT23" s="354"/>
      <c r="BU23" s="24">
        <f>ROUND(+'Peak Credit Budget 2017'!L18,6)</f>
        <v>-9.9999999999999995E-7</v>
      </c>
      <c r="BV23" s="24">
        <f>ROUND(+'Peak Credit Budget 2018'!L18,6)</f>
        <v>2.617E-3</v>
      </c>
      <c r="BW23" s="51">
        <f t="shared" ref="BW23:BW26" si="35">SUM(BU23:BV23)</f>
        <v>2.6159999999999998E-3</v>
      </c>
    </row>
    <row r="24" spans="1:75" x14ac:dyDescent="0.2">
      <c r="A24" s="46">
        <f t="shared" si="0"/>
        <v>18</v>
      </c>
      <c r="B24" s="43" t="s">
        <v>15</v>
      </c>
      <c r="C24" s="181">
        <v>49</v>
      </c>
      <c r="D24" s="106">
        <f>SUM('Projected Revenue on F2017'!C30)</f>
        <v>584007000</v>
      </c>
      <c r="E24" s="186">
        <f>SUM('Projected Revenue on F2017'!M30)</f>
        <v>40025000</v>
      </c>
      <c r="F24" s="44"/>
      <c r="G24" s="24">
        <v>2.6700000000000004E-4</v>
      </c>
      <c r="H24" s="24">
        <v>8.7000000000000001E-5</v>
      </c>
      <c r="I24" s="24">
        <v>1.243E-3</v>
      </c>
      <c r="J24" s="24">
        <f t="shared" si="30"/>
        <v>1.5969999999999999E-3</v>
      </c>
      <c r="K24" s="354"/>
      <c r="L24" s="24">
        <v>0</v>
      </c>
      <c r="M24" s="24">
        <v>1.0500638237436195E-3</v>
      </c>
      <c r="N24" s="51">
        <f>SUM(L24:M24)</f>
        <v>1.0500638237436195E-3</v>
      </c>
      <c r="O24" s="354"/>
      <c r="P24" s="24">
        <v>0</v>
      </c>
      <c r="Q24" s="24">
        <v>1.0499999999999999E-3</v>
      </c>
      <c r="R24" s="24">
        <f>SUM(P24:Q24)</f>
        <v>1.0499999999999999E-3</v>
      </c>
      <c r="S24" s="354"/>
      <c r="T24" s="24">
        <v>0</v>
      </c>
      <c r="U24" s="24">
        <v>1.0499999999999999E-3</v>
      </c>
      <c r="V24" s="24">
        <f>SUM(T24:U24)</f>
        <v>1.0499999999999999E-3</v>
      </c>
      <c r="W24" s="354"/>
      <c r="X24" s="24">
        <v>0</v>
      </c>
      <c r="Y24" s="24">
        <v>1.0499999999999999E-3</v>
      </c>
      <c r="Z24" s="51">
        <f t="shared" si="31"/>
        <v>1.0499999999999999E-3</v>
      </c>
      <c r="AA24" s="354"/>
      <c r="AB24" s="24">
        <v>0</v>
      </c>
      <c r="AC24" s="24">
        <v>1.0499999999999999E-3</v>
      </c>
      <c r="AD24" s="24">
        <f>SUM(AB24:AC24)</f>
        <v>1.0499999999999999E-3</v>
      </c>
      <c r="AE24" s="354"/>
      <c r="AF24" s="24">
        <v>0</v>
      </c>
      <c r="AG24" s="24">
        <v>1.0499999999999999E-3</v>
      </c>
      <c r="AH24" s="24">
        <f>SUM(AF24:AG24)</f>
        <v>1.0499999999999999E-3</v>
      </c>
      <c r="AI24" s="354"/>
      <c r="AJ24" s="24">
        <v>0</v>
      </c>
      <c r="AK24" s="24">
        <v>1.0499999999999999E-3</v>
      </c>
      <c r="AL24" s="51">
        <f t="shared" si="32"/>
        <v>1.0499999999999999E-3</v>
      </c>
      <c r="AM24" s="354"/>
      <c r="AN24" s="24">
        <v>0</v>
      </c>
      <c r="AO24" s="24">
        <v>1.575E-3</v>
      </c>
      <c r="AP24" s="24">
        <f>SUM(AN24:AO24)</f>
        <v>1.575E-3</v>
      </c>
      <c r="AQ24" s="354"/>
      <c r="AR24" s="24">
        <v>0</v>
      </c>
      <c r="AS24" s="24">
        <v>3.8729999999999997E-3</v>
      </c>
      <c r="AT24" s="24">
        <f>SUM(AR24:AS24)</f>
        <v>3.8729999999999997E-3</v>
      </c>
      <c r="AU24" s="354"/>
      <c r="AV24" s="24">
        <v>-4.5900000000000004E-4</v>
      </c>
      <c r="AW24" s="24">
        <v>0</v>
      </c>
      <c r="AX24" s="24">
        <v>4.3140000000000001E-3</v>
      </c>
      <c r="AY24" s="51">
        <f t="shared" si="33"/>
        <v>3.8549999999999999E-3</v>
      </c>
      <c r="AZ24" s="354"/>
      <c r="BA24" s="24">
        <v>-2.1499999999999999E-4</v>
      </c>
      <c r="BB24" s="24">
        <v>3.973E-3</v>
      </c>
      <c r="BC24" s="24">
        <f>SUM(BA24:BB24)</f>
        <v>3.7580000000000001E-3</v>
      </c>
      <c r="BD24" s="354"/>
      <c r="BE24" s="24">
        <v>2.2599999999999999E-4</v>
      </c>
      <c r="BF24" s="24">
        <v>3.764E-3</v>
      </c>
      <c r="BG24" s="24">
        <f>SUM(BE24:BF24)</f>
        <v>3.9899999999999996E-3</v>
      </c>
      <c r="BH24" s="354"/>
      <c r="BI24" s="24">
        <v>2.1900000000000001E-4</v>
      </c>
      <c r="BJ24" s="24">
        <v>4.0410000000000003E-3</v>
      </c>
      <c r="BK24" s="24">
        <f t="shared" si="34"/>
        <v>4.2599999999999999E-3</v>
      </c>
      <c r="BL24" s="354"/>
      <c r="BM24" s="24">
        <v>-1.45E-4</v>
      </c>
      <c r="BN24" s="24">
        <v>3.9350000000000001E-3</v>
      </c>
      <c r="BO24" s="51">
        <v>3.79E-3</v>
      </c>
      <c r="BP24" s="354"/>
      <c r="BQ24" s="24">
        <v>3.1E-4</v>
      </c>
      <c r="BR24" s="24">
        <v>4.1159999999999999E-3</v>
      </c>
      <c r="BS24" s="51">
        <v>4.4260000000000002E-3</v>
      </c>
      <c r="BT24" s="354"/>
      <c r="BU24" s="24">
        <f>ROUND(+'Peak Credit Budget 2017'!L19,6)</f>
        <v>-1.9999999999999999E-6</v>
      </c>
      <c r="BV24" s="24">
        <f>ROUND(+'Peak Credit Budget 2018'!L19,6)</f>
        <v>3.9060000000000002E-3</v>
      </c>
      <c r="BW24" s="51">
        <f t="shared" si="35"/>
        <v>3.9040000000000004E-3</v>
      </c>
    </row>
    <row r="25" spans="1:75" x14ac:dyDescent="0.2">
      <c r="A25" s="46">
        <f t="shared" si="0"/>
        <v>19</v>
      </c>
      <c r="B25" s="43"/>
      <c r="E25" s="186"/>
      <c r="F25" s="44"/>
      <c r="G25" s="24"/>
      <c r="H25" s="24"/>
      <c r="I25" s="24"/>
      <c r="J25" s="24"/>
      <c r="K25" s="354"/>
      <c r="L25" s="24"/>
      <c r="M25" s="24"/>
      <c r="N25" s="51"/>
      <c r="O25" s="354"/>
      <c r="P25" s="24"/>
      <c r="Q25" s="24"/>
      <c r="R25" s="24"/>
      <c r="S25" s="354"/>
      <c r="T25" s="24"/>
      <c r="U25" s="24"/>
      <c r="V25" s="24"/>
      <c r="W25" s="354"/>
      <c r="X25" s="24"/>
      <c r="Y25" s="24"/>
      <c r="Z25" s="51"/>
      <c r="AA25" s="354"/>
      <c r="AB25" s="24"/>
      <c r="AC25" s="24"/>
      <c r="AD25" s="24"/>
      <c r="AE25" s="354"/>
      <c r="AF25" s="24"/>
      <c r="AG25" s="24"/>
      <c r="AH25" s="24"/>
      <c r="AI25" s="354"/>
      <c r="AJ25" s="24"/>
      <c r="AK25" s="24"/>
      <c r="AL25" s="51"/>
      <c r="AM25" s="354"/>
      <c r="AN25" s="24"/>
      <c r="AO25" s="24"/>
      <c r="AP25" s="24"/>
      <c r="AQ25" s="354"/>
      <c r="AR25" s="24"/>
      <c r="AS25" s="24"/>
      <c r="AT25" s="24"/>
      <c r="AU25" s="354"/>
      <c r="AV25" s="24"/>
      <c r="AW25" s="24"/>
      <c r="AX25" s="24"/>
      <c r="AY25" s="51"/>
      <c r="AZ25" s="354"/>
      <c r="BA25" s="24"/>
      <c r="BB25" s="24"/>
      <c r="BC25" s="24"/>
      <c r="BD25" s="354"/>
      <c r="BE25" s="24"/>
      <c r="BF25" s="24"/>
      <c r="BG25" s="24"/>
      <c r="BH25" s="354"/>
      <c r="BI25" s="24"/>
      <c r="BJ25" s="24"/>
      <c r="BK25" s="24"/>
      <c r="BL25" s="354"/>
      <c r="BM25" s="24"/>
      <c r="BN25" s="24"/>
      <c r="BO25" s="51"/>
      <c r="BP25" s="354"/>
      <c r="BQ25" s="24"/>
      <c r="BR25" s="24"/>
      <c r="BS25" s="51"/>
      <c r="BT25" s="354"/>
      <c r="BU25" s="24"/>
      <c r="BV25" s="24"/>
      <c r="BW25" s="51"/>
    </row>
    <row r="26" spans="1:75" x14ac:dyDescent="0.2">
      <c r="A26" s="46">
        <f t="shared" si="0"/>
        <v>20</v>
      </c>
      <c r="B26" s="43" t="s">
        <v>262</v>
      </c>
      <c r="C26" s="181" t="s">
        <v>23</v>
      </c>
      <c r="D26" s="106">
        <f>SUM('Projected Revenue on F2017'!C35)</f>
        <v>2088697000</v>
      </c>
      <c r="E26" s="186">
        <f>SUM('Projected Revenue on F2017'!M35)</f>
        <v>9141000</v>
      </c>
      <c r="F26" s="44"/>
      <c r="G26" s="24">
        <v>2.6700000000000004E-4</v>
      </c>
      <c r="H26" s="24">
        <v>8.7000000000000001E-5</v>
      </c>
      <c r="I26" s="24">
        <v>4.3100000000000001E-4</v>
      </c>
      <c r="J26" s="24">
        <f t="shared" si="30"/>
        <v>7.8500000000000011E-4</v>
      </c>
      <c r="K26" s="354"/>
      <c r="L26" s="24">
        <v>0</v>
      </c>
      <c r="M26" s="24">
        <v>6.29E-4</v>
      </c>
      <c r="N26" s="51">
        <f>SUM(L26:M26)</f>
        <v>6.29E-4</v>
      </c>
      <c r="O26" s="354"/>
      <c r="P26" s="24">
        <v>0</v>
      </c>
      <c r="Q26" s="24">
        <v>6.29E-4</v>
      </c>
      <c r="R26" s="24">
        <f>SUM(P26:Q26)</f>
        <v>6.29E-4</v>
      </c>
      <c r="S26" s="354"/>
      <c r="T26" s="24">
        <v>0</v>
      </c>
      <c r="U26" s="24">
        <v>6.29E-4</v>
      </c>
      <c r="V26" s="24">
        <f>SUM(T26:U26)</f>
        <v>6.29E-4</v>
      </c>
      <c r="W26" s="354"/>
      <c r="X26" s="24">
        <v>0</v>
      </c>
      <c r="Y26" s="24">
        <v>6.29E-4</v>
      </c>
      <c r="Z26" s="51">
        <f t="shared" si="31"/>
        <v>6.29E-4</v>
      </c>
      <c r="AA26" s="354"/>
      <c r="AB26" s="24">
        <v>0</v>
      </c>
      <c r="AC26" s="24">
        <v>6.29E-4</v>
      </c>
      <c r="AD26" s="24">
        <f>SUM(AB26:AC26)</f>
        <v>6.29E-4</v>
      </c>
      <c r="AE26" s="354"/>
      <c r="AF26" s="24">
        <v>0</v>
      </c>
      <c r="AG26" s="24">
        <v>6.29E-4</v>
      </c>
      <c r="AH26" s="24">
        <f>SUM(AF26:AG26)</f>
        <v>6.29E-4</v>
      </c>
      <c r="AI26" s="354"/>
      <c r="AJ26" s="24">
        <v>0</v>
      </c>
      <c r="AK26" s="24">
        <v>6.29E-4</v>
      </c>
      <c r="AL26" s="51">
        <f t="shared" si="32"/>
        <v>6.29E-4</v>
      </c>
      <c r="AM26" s="354"/>
      <c r="AN26" s="24">
        <v>0</v>
      </c>
      <c r="AO26" s="24">
        <v>9.4399999999999996E-4</v>
      </c>
      <c r="AP26" s="24">
        <f>SUM(AN26:AO26)</f>
        <v>9.4399999999999996E-4</v>
      </c>
      <c r="AQ26" s="354"/>
      <c r="AR26" s="24">
        <v>0</v>
      </c>
      <c r="AS26" s="24">
        <v>9.4399999999999996E-4</v>
      </c>
      <c r="AT26" s="24">
        <f>SUM(AR26:AS26)</f>
        <v>9.4399999999999996E-4</v>
      </c>
      <c r="AU26" s="354"/>
      <c r="AV26" s="24">
        <v>0</v>
      </c>
      <c r="AW26" s="24">
        <v>0</v>
      </c>
      <c r="AX26" s="24">
        <v>9.4399999999999996E-4</v>
      </c>
      <c r="AY26" s="51">
        <f t="shared" si="33"/>
        <v>9.4399999999999996E-4</v>
      </c>
      <c r="AZ26" s="354"/>
      <c r="BA26" s="24">
        <v>0</v>
      </c>
      <c r="BB26" s="24">
        <v>9.4399999999999996E-4</v>
      </c>
      <c r="BC26" s="24">
        <f>SUM(BA26:BB26)</f>
        <v>9.4399999999999996E-4</v>
      </c>
      <c r="BD26" s="354"/>
      <c r="BE26" s="24">
        <v>0</v>
      </c>
      <c r="BF26" s="24">
        <v>1.0820000000000001E-3</v>
      </c>
      <c r="BG26" s="24">
        <f>SUM(BE26:BF26)</f>
        <v>1.0820000000000001E-3</v>
      </c>
      <c r="BH26" s="354"/>
      <c r="BI26" s="24">
        <v>0</v>
      </c>
      <c r="BJ26" s="24">
        <v>1.0820000000000001E-3</v>
      </c>
      <c r="BK26" s="24">
        <f t="shared" si="34"/>
        <v>1.0820000000000001E-3</v>
      </c>
      <c r="BL26" s="354"/>
      <c r="BM26" s="24">
        <v>0</v>
      </c>
      <c r="BN26" s="24">
        <v>1.0820000000000001E-3</v>
      </c>
      <c r="BO26" s="51">
        <v>1.0820000000000001E-3</v>
      </c>
      <c r="BP26" s="354"/>
      <c r="BQ26" s="24">
        <v>0</v>
      </c>
      <c r="BR26" s="24">
        <v>1.0820000000000001E-3</v>
      </c>
      <c r="BS26" s="51">
        <v>1.0820000000000001E-3</v>
      </c>
      <c r="BT26" s="354"/>
      <c r="BU26" s="24">
        <f>ROUND(+'Peak Credit Budget 2017'!L21,6)</f>
        <v>0</v>
      </c>
      <c r="BV26" s="24">
        <f>+'Sch 258 Rates 2017'!$C$30</f>
        <v>1.047E-3</v>
      </c>
      <c r="BW26" s="51">
        <f t="shared" si="35"/>
        <v>1.047E-3</v>
      </c>
    </row>
    <row r="27" spans="1:75" x14ac:dyDescent="0.2">
      <c r="A27" s="46">
        <f t="shared" si="0"/>
        <v>21</v>
      </c>
      <c r="E27" s="186"/>
      <c r="F27" s="44"/>
      <c r="G27" s="354"/>
      <c r="H27" s="354"/>
      <c r="I27" s="354"/>
      <c r="J27" s="354"/>
      <c r="K27" s="354"/>
      <c r="L27" s="354"/>
      <c r="M27" s="354"/>
      <c r="N27" s="55"/>
      <c r="O27" s="354"/>
      <c r="P27" s="354"/>
      <c r="Q27" s="354"/>
      <c r="R27" s="354"/>
      <c r="S27" s="354"/>
      <c r="T27" s="354"/>
      <c r="U27" s="354"/>
      <c r="V27" s="354"/>
      <c r="W27" s="354"/>
      <c r="X27" s="354"/>
      <c r="Y27" s="354"/>
      <c r="Z27" s="55"/>
      <c r="AA27" s="354"/>
      <c r="AB27" s="354"/>
      <c r="AC27" s="354"/>
      <c r="AD27" s="354"/>
      <c r="AE27" s="354"/>
      <c r="AF27" s="354"/>
      <c r="AG27" s="354"/>
      <c r="AH27" s="354"/>
      <c r="AI27" s="354"/>
      <c r="AJ27" s="354"/>
      <c r="AK27" s="354"/>
      <c r="AL27" s="55"/>
      <c r="AM27" s="354"/>
      <c r="AN27" s="354"/>
      <c r="AO27" s="354"/>
      <c r="AP27" s="354"/>
      <c r="AQ27" s="354"/>
      <c r="AR27" s="354"/>
      <c r="AS27" s="354"/>
      <c r="AT27" s="354"/>
      <c r="AU27" s="354"/>
      <c r="AV27" s="354"/>
      <c r="AW27" s="354"/>
      <c r="AX27" s="354"/>
      <c r="AY27" s="55"/>
      <c r="AZ27" s="354"/>
      <c r="BA27" s="354"/>
      <c r="BB27" s="354"/>
      <c r="BC27" s="354"/>
      <c r="BD27" s="354"/>
      <c r="BE27" s="354"/>
      <c r="BF27" s="354"/>
      <c r="BG27" s="354"/>
      <c r="BH27" s="354"/>
      <c r="BI27" s="24"/>
      <c r="BJ27" s="24"/>
      <c r="BK27" s="354"/>
      <c r="BL27" s="354"/>
      <c r="BM27" s="24"/>
      <c r="BN27" s="24"/>
      <c r="BO27" s="51"/>
      <c r="BP27" s="354"/>
      <c r="BQ27" s="24"/>
      <c r="BR27" s="24"/>
      <c r="BS27" s="51"/>
      <c r="BT27" s="354"/>
      <c r="BU27" s="24"/>
      <c r="BV27" s="24"/>
      <c r="BW27" s="51"/>
    </row>
    <row r="28" spans="1:75" x14ac:dyDescent="0.2">
      <c r="A28" s="46">
        <f t="shared" si="0"/>
        <v>22</v>
      </c>
      <c r="B28" s="6" t="s">
        <v>17</v>
      </c>
      <c r="D28" s="106">
        <f>SUM('Projected Revenue on F2017'!C33)</f>
        <v>76506000</v>
      </c>
      <c r="E28" s="186">
        <f>SUM('Projected Revenue on F2017'!M33)</f>
        <v>19539000</v>
      </c>
      <c r="F28" s="44"/>
      <c r="G28" s="24">
        <v>1.8700000000000002E-4</v>
      </c>
      <c r="H28" s="24">
        <v>6.1000000000000005E-5</v>
      </c>
      <c r="I28" s="24">
        <v>8.6200000000000003E-4</v>
      </c>
      <c r="J28" s="24">
        <f>SUM(G28:I28)</f>
        <v>1.1100000000000001E-3</v>
      </c>
      <c r="K28" s="354"/>
      <c r="L28" s="24">
        <v>-3.8152677276475066E-4</v>
      </c>
      <c r="M28" s="24">
        <v>9.5646657377171439E-4</v>
      </c>
      <c r="N28" s="51">
        <f>SUM(L28:M28)</f>
        <v>5.7493980100696367E-4</v>
      </c>
      <c r="O28" s="354"/>
      <c r="P28" s="24">
        <v>1.0899999999999999E-4</v>
      </c>
      <c r="Q28" s="24">
        <v>8.4699999999999999E-4</v>
      </c>
      <c r="R28" s="24">
        <f>SUM(P28:Q28)</f>
        <v>9.5600000000000004E-4</v>
      </c>
      <c r="S28" s="354"/>
      <c r="T28" s="24">
        <v>-5.7000000000000003E-5</v>
      </c>
      <c r="U28" s="24">
        <v>1.3289999999999999E-3</v>
      </c>
      <c r="V28" s="24">
        <f>SUM(T28:U28)</f>
        <v>1.2719999999999999E-3</v>
      </c>
      <c r="W28" s="354"/>
      <c r="X28" s="24">
        <v>-5.9332234542711337E-5</v>
      </c>
      <c r="Y28" s="24">
        <v>1.4681342010474303E-3</v>
      </c>
      <c r="Z28" s="51">
        <f>SUM(X28:Y28)</f>
        <v>1.408801966504719E-3</v>
      </c>
      <c r="AA28" s="354"/>
      <c r="AB28" s="24">
        <v>-5.8999999999999998E-5</v>
      </c>
      <c r="AC28" s="24">
        <v>1.552E-3</v>
      </c>
      <c r="AD28" s="24">
        <f>SUM(AB28:AC28)</f>
        <v>1.493E-3</v>
      </c>
      <c r="AE28" s="354"/>
      <c r="AF28" s="24">
        <v>7.4999999999999993E-5</v>
      </c>
      <c r="AG28" s="24">
        <v>2.9130000000000002E-3</v>
      </c>
      <c r="AH28" s="24">
        <f>SUM(AF28:AG28)</f>
        <v>2.9880000000000002E-3</v>
      </c>
      <c r="AI28" s="354"/>
      <c r="AJ28" s="24">
        <v>-8.1400000000000005E-4</v>
      </c>
      <c r="AK28" s="24">
        <v>2.9149999999999996E-3</v>
      </c>
      <c r="AL28" s="51">
        <f>SUM(AJ28:AK28)</f>
        <v>2.1009999999999996E-3</v>
      </c>
      <c r="AM28" s="354"/>
      <c r="AN28" s="24">
        <v>1.3100000000000001E-4</v>
      </c>
      <c r="AO28" s="24">
        <v>3.2420000000000001E-3</v>
      </c>
      <c r="AP28" s="24">
        <f>SUM(AN28:AO28)</f>
        <v>3.3730000000000001E-3</v>
      </c>
      <c r="AQ28" s="354"/>
      <c r="AR28" s="24">
        <v>-1.1000000000000001E-5</v>
      </c>
      <c r="AS28" s="24">
        <v>3.4860000000000004E-3</v>
      </c>
      <c r="AT28" s="24">
        <f>SUM(AR28:AS28)</f>
        <v>3.4750000000000002E-3</v>
      </c>
      <c r="AU28" s="354"/>
      <c r="AV28" s="24">
        <v>-5.1099999999999995E-4</v>
      </c>
      <c r="AW28" s="24">
        <v>-4.8635568800886855E-5</v>
      </c>
      <c r="AX28" s="24">
        <v>4.4400000000000004E-3</v>
      </c>
      <c r="AY28" s="51">
        <f>SUM(AV28:AX28)</f>
        <v>3.8803644311991136E-3</v>
      </c>
      <c r="AZ28" s="354"/>
      <c r="BA28" s="24">
        <v>-2.34E-4</v>
      </c>
      <c r="BB28" s="24">
        <v>4.3309999999999998E-3</v>
      </c>
      <c r="BC28" s="24">
        <f>SUM(BA28:BB28)</f>
        <v>4.0969999999999999E-3</v>
      </c>
      <c r="BD28" s="354"/>
      <c r="BE28" s="24">
        <v>2.63E-4</v>
      </c>
      <c r="BF28" s="24">
        <v>4.3790000000000001E-3</v>
      </c>
      <c r="BG28" s="24">
        <f>SUM(BE28:BF28)</f>
        <v>4.6420000000000003E-3</v>
      </c>
      <c r="BH28" s="354"/>
      <c r="BI28" s="24">
        <v>2.9E-4</v>
      </c>
      <c r="BJ28" s="24">
        <v>5.4609999999999997E-3</v>
      </c>
      <c r="BK28" s="24">
        <f>SUM(BI28:BJ28)</f>
        <v>5.751E-3</v>
      </c>
      <c r="BL28" s="354"/>
      <c r="BM28" s="24">
        <v>-1.64E-4</v>
      </c>
      <c r="BN28" s="24">
        <v>4.4390000000000002E-3</v>
      </c>
      <c r="BO28" s="51">
        <v>4.2750000000000002E-3</v>
      </c>
      <c r="BP28" s="354"/>
      <c r="BQ28" s="24">
        <v>4.4000000000000002E-4</v>
      </c>
      <c r="BR28" s="24">
        <v>5.8349999999999999E-3</v>
      </c>
      <c r="BS28" s="51">
        <v>6.2750000000000002E-3</v>
      </c>
      <c r="BT28" s="354"/>
      <c r="BU28" s="24">
        <f>ROUND(+'Peak Credit Budget 2017'!L23,6)</f>
        <v>-1.9999999999999999E-6</v>
      </c>
      <c r="BV28" s="24">
        <f>ROUND(+'Peak Credit Budget 2018'!L23,6)</f>
        <v>4.5729999999999998E-3</v>
      </c>
      <c r="BW28" s="51">
        <f>SUM(BU28:BV28)</f>
        <v>4.5709999999999995E-3</v>
      </c>
    </row>
    <row r="29" spans="1:75" x14ac:dyDescent="0.2">
      <c r="A29" s="46">
        <f t="shared" si="0"/>
        <v>23</v>
      </c>
      <c r="E29" s="186"/>
      <c r="F29" s="44"/>
      <c r="G29" s="354"/>
      <c r="H29" s="354"/>
      <c r="I29" s="354"/>
      <c r="J29" s="354"/>
      <c r="K29" s="354"/>
      <c r="L29" s="354"/>
      <c r="M29" s="354"/>
      <c r="N29" s="55"/>
      <c r="O29" s="354"/>
      <c r="P29" s="354"/>
      <c r="Q29" s="354"/>
      <c r="R29" s="354"/>
      <c r="S29" s="354"/>
      <c r="T29" s="354"/>
      <c r="U29" s="354"/>
      <c r="V29" s="354"/>
      <c r="W29" s="354"/>
      <c r="X29" s="354"/>
      <c r="Y29" s="354"/>
      <c r="Z29" s="55"/>
      <c r="AA29" s="354"/>
      <c r="AB29" s="354"/>
      <c r="AC29" s="354"/>
      <c r="AD29" s="354"/>
      <c r="AE29" s="354"/>
      <c r="AF29" s="354"/>
      <c r="AG29" s="354"/>
      <c r="AH29" s="354"/>
      <c r="AI29" s="354"/>
      <c r="AJ29" s="354"/>
      <c r="AK29" s="354"/>
      <c r="AL29" s="55"/>
      <c r="AM29" s="354"/>
      <c r="AN29" s="354"/>
      <c r="AO29" s="354"/>
      <c r="AP29" s="354"/>
      <c r="AQ29" s="354"/>
      <c r="AR29" s="354"/>
      <c r="AS29" s="354"/>
      <c r="AT29" s="354"/>
      <c r="AU29" s="354"/>
      <c r="AV29" s="354"/>
      <c r="AW29" s="354"/>
      <c r="AX29" s="354"/>
      <c r="AY29" s="55"/>
      <c r="AZ29" s="354"/>
      <c r="BA29" s="354"/>
      <c r="BB29" s="354"/>
      <c r="BC29" s="354"/>
      <c r="BD29" s="354"/>
      <c r="BE29" s="354"/>
      <c r="BF29" s="354"/>
      <c r="BG29" s="354"/>
      <c r="BH29" s="354"/>
      <c r="BI29" s="24"/>
      <c r="BJ29" s="24"/>
      <c r="BK29" s="354"/>
      <c r="BL29" s="354"/>
      <c r="BM29" s="24"/>
      <c r="BN29" s="24"/>
      <c r="BO29" s="51"/>
      <c r="BP29" s="354"/>
      <c r="BQ29" s="24"/>
      <c r="BR29" s="24"/>
      <c r="BS29" s="51"/>
      <c r="BT29" s="354"/>
      <c r="BU29" s="24"/>
      <c r="BV29" s="24"/>
      <c r="BW29" s="51"/>
    </row>
    <row r="30" spans="1:75" x14ac:dyDescent="0.2">
      <c r="A30" s="46">
        <f t="shared" si="0"/>
        <v>24</v>
      </c>
      <c r="B30" s="6" t="s">
        <v>125</v>
      </c>
      <c r="D30" s="106">
        <f>SUM(D7:D28)</f>
        <v>23518981000</v>
      </c>
      <c r="E30" s="186">
        <f>SUM(E7:E28)</f>
        <v>2113711000</v>
      </c>
      <c r="F30" s="44"/>
      <c r="G30" s="24">
        <f>+G33/$D30</f>
        <v>2.2293069457388488E-4</v>
      </c>
      <c r="H30" s="24">
        <f t="shared" ref="H30:J30" si="36">+H33/$D30*100</f>
        <v>7.4306287164397121E-3</v>
      </c>
      <c r="I30" s="24">
        <f t="shared" si="36"/>
        <v>9.224491990533093E-2</v>
      </c>
      <c r="J30" s="24">
        <f t="shared" si="36"/>
        <v>0.12196861807915911</v>
      </c>
      <c r="K30" s="354"/>
      <c r="L30" s="24">
        <f t="shared" ref="L30:M30" si="37">+L33/$D30</f>
        <v>-3.8790359535741689E-4</v>
      </c>
      <c r="M30" s="24">
        <f t="shared" si="37"/>
        <v>1.0576374946769547E-3</v>
      </c>
      <c r="N30" s="51">
        <f>+N33/$D30</f>
        <v>6.6973389931953783E-4</v>
      </c>
      <c r="O30" s="354"/>
      <c r="P30" s="24">
        <f t="shared" ref="P30:Q30" si="38">+P33/$D30</f>
        <v>1.1217463379897283E-4</v>
      </c>
      <c r="Q30" s="24">
        <f t="shared" si="38"/>
        <v>9.6040825293408746E-4</v>
      </c>
      <c r="R30" s="24">
        <f>+R33/$D30</f>
        <v>1.0725828867330603E-3</v>
      </c>
      <c r="S30" s="354"/>
      <c r="T30" s="24">
        <f t="shared" ref="T30:U30" si="39">+T33/$D30</f>
        <v>-5.5978043096339938E-5</v>
      </c>
      <c r="U30" s="24">
        <f t="shared" si="39"/>
        <v>1.4173722096208162E-3</v>
      </c>
      <c r="V30" s="24">
        <f>+V33/$D30</f>
        <v>1.3613941665244764E-3</v>
      </c>
      <c r="W30" s="354"/>
      <c r="X30" s="24">
        <f t="shared" ref="X30:Y30" si="40">+X33/$D30</f>
        <v>-6.0023866007445237E-5</v>
      </c>
      <c r="Y30" s="24">
        <f t="shared" si="40"/>
        <v>1.5605458523391821E-3</v>
      </c>
      <c r="Z30" s="51">
        <f>+Z33/$D30</f>
        <v>1.5005219863317369E-3</v>
      </c>
      <c r="AA30" s="354"/>
      <c r="AB30" s="24">
        <f t="shared" ref="AB30:AC30" si="41">+AB33/$D30</f>
        <v>-6.0057218082705206E-5</v>
      </c>
      <c r="AC30" s="24">
        <f t="shared" si="41"/>
        <v>1.6430104482843026E-3</v>
      </c>
      <c r="AD30" s="24">
        <f>+AD33/$D30</f>
        <v>1.5829532302015974E-3</v>
      </c>
      <c r="AE30" s="354"/>
      <c r="AF30" s="24">
        <f t="shared" ref="AF30:AG30" si="42">+AF33/$D30</f>
        <v>6.3665817239275812E-5</v>
      </c>
      <c r="AG30" s="24">
        <f t="shared" si="42"/>
        <v>2.5822753949246357E-3</v>
      </c>
      <c r="AH30" s="24">
        <f>+AH33/$D30</f>
        <v>2.6459412121639112E-3</v>
      </c>
      <c r="AI30" s="354"/>
      <c r="AJ30" s="24">
        <f t="shared" ref="AJ30:AK30" si="43">+AJ33/$D30</f>
        <v>-7.3586787905479431E-4</v>
      </c>
      <c r="AK30" s="24">
        <f t="shared" si="43"/>
        <v>3.0829855609815745E-3</v>
      </c>
      <c r="AL30" s="51">
        <f>+AL33/$D30</f>
        <v>2.3471176819267799E-3</v>
      </c>
      <c r="AM30" s="354"/>
      <c r="AN30" s="24">
        <f t="shared" ref="AN30:AO30" si="44">+AN33/$D30</f>
        <v>1.4198995917382644E-4</v>
      </c>
      <c r="AO30" s="24">
        <f t="shared" si="44"/>
        <v>3.6933986597038372E-3</v>
      </c>
      <c r="AP30" s="24">
        <f>+AP33/$D30</f>
        <v>3.8353886188776634E-3</v>
      </c>
      <c r="AQ30" s="354"/>
      <c r="AR30" s="24">
        <f t="shared" ref="AR30:AS30" si="45">+AR33/$D30</f>
        <v>-1.192597192029706E-5</v>
      </c>
      <c r="AS30" s="24">
        <f t="shared" si="45"/>
        <v>3.8081062560491028E-3</v>
      </c>
      <c r="AT30" s="24">
        <f>+AT33/$D30</f>
        <v>3.7961802841288057E-3</v>
      </c>
      <c r="AU30" s="354"/>
      <c r="AV30" s="24">
        <f t="shared" ref="AV30:AX30" si="46">+AV33/$D30</f>
        <v>-4.9060242839602604E-4</v>
      </c>
      <c r="AW30" s="24">
        <f t="shared" si="46"/>
        <v>-4.4015696786517927E-5</v>
      </c>
      <c r="AX30" s="24">
        <f t="shared" si="46"/>
        <v>4.3614149125338376E-3</v>
      </c>
      <c r="AY30" s="51">
        <f>+AY33/$D30</f>
        <v>3.826796787351293E-3</v>
      </c>
      <c r="AZ30" s="354"/>
      <c r="BA30" s="24">
        <f t="shared" ref="BA30:BB30" si="47">+BA33/$D30</f>
        <v>-2.2672400045733272E-4</v>
      </c>
      <c r="BB30" s="24">
        <f t="shared" si="47"/>
        <v>4.2745383180929474E-3</v>
      </c>
      <c r="BC30" s="24">
        <f>+BC33/$D30</f>
        <v>4.0478143176356143E-3</v>
      </c>
      <c r="BD30" s="354"/>
      <c r="BE30" s="24">
        <f t="shared" ref="BE30:BF30" si="48">+BE33/$D30</f>
        <v>2.5024858075271199E-4</v>
      </c>
      <c r="BF30" s="24">
        <f t="shared" si="48"/>
        <v>4.3189352465142945E-3</v>
      </c>
      <c r="BG30" s="24">
        <f>+BG33/$D30</f>
        <v>4.5691838272670059E-3</v>
      </c>
      <c r="BH30" s="354"/>
      <c r="BI30" s="24">
        <f>+BI33/$D30</f>
        <v>2.342609489331192E-4</v>
      </c>
      <c r="BJ30" s="24">
        <f>+BJ33/$D30</f>
        <v>4.5187534107876525E-3</v>
      </c>
      <c r="BK30" s="24">
        <f>+BK33/$D30</f>
        <v>4.7530143597207721E-3</v>
      </c>
      <c r="BL30" s="354"/>
      <c r="BM30" s="24">
        <f>+BM33/$D30</f>
        <v>-1.5947128797799535E-4</v>
      </c>
      <c r="BN30" s="24">
        <f>+BN33/$D30</f>
        <v>4.4178145214709766E-3</v>
      </c>
      <c r="BO30" s="51">
        <f>+BO33/$D30</f>
        <v>4.2583432334929805E-3</v>
      </c>
      <c r="BP30" s="354"/>
      <c r="BQ30" s="24">
        <f>+BQ33/$D30</f>
        <v>3.415748556453189E-4</v>
      </c>
      <c r="BR30" s="24">
        <f>+BR33/$D30</f>
        <v>4.6285004026747597E-3</v>
      </c>
      <c r="BS30" s="51">
        <f>+BS33/$D30</f>
        <v>4.970075258320078E-3</v>
      </c>
      <c r="BT30" s="354"/>
      <c r="BU30" s="24">
        <f>+BU33/$D30</f>
        <v>-1.8190682240867493E-6</v>
      </c>
      <c r="BV30" s="24">
        <f>+BV33/$D30</f>
        <v>4.2074985714304547E-3</v>
      </c>
      <c r="BW30" s="51">
        <f>+BW33/$D30</f>
        <v>4.2056795032063684E-3</v>
      </c>
    </row>
    <row r="31" spans="1:75" ht="13.5" thickBot="1" x14ac:dyDescent="0.25">
      <c r="A31" s="194">
        <f t="shared" si="0"/>
        <v>25</v>
      </c>
      <c r="B31" s="109"/>
      <c r="C31" s="195"/>
      <c r="D31" s="195"/>
      <c r="E31" s="314"/>
      <c r="F31" s="181"/>
      <c r="N31" s="45"/>
      <c r="Z31" s="45"/>
      <c r="AL31" s="45"/>
      <c r="AY31" s="45"/>
      <c r="BO31" s="45"/>
      <c r="BS31" s="45"/>
      <c r="BW31" s="45"/>
    </row>
    <row r="32" spans="1:75" x14ac:dyDescent="0.2">
      <c r="A32" s="46">
        <f t="shared" si="0"/>
        <v>26</v>
      </c>
      <c r="E32" s="107"/>
      <c r="F32" s="365"/>
      <c r="G32" s="197"/>
      <c r="H32" s="197"/>
      <c r="I32" s="197"/>
      <c r="J32" s="197"/>
      <c r="K32" s="197"/>
      <c r="L32" s="197"/>
      <c r="M32" s="197"/>
      <c r="N32" s="185"/>
      <c r="O32" s="197"/>
      <c r="P32" s="197"/>
      <c r="Q32" s="197"/>
      <c r="R32" s="197"/>
      <c r="S32" s="197"/>
      <c r="T32" s="197"/>
      <c r="U32" s="197"/>
      <c r="V32" s="197"/>
      <c r="W32" s="197"/>
      <c r="X32" s="197"/>
      <c r="Y32" s="197"/>
      <c r="Z32" s="185"/>
      <c r="AA32" s="197"/>
      <c r="AB32" s="197"/>
      <c r="AC32" s="197"/>
      <c r="AD32" s="197"/>
      <c r="AE32" s="197"/>
      <c r="AF32" s="197"/>
      <c r="AG32" s="197"/>
      <c r="AH32" s="197"/>
      <c r="AI32" s="197"/>
      <c r="AJ32" s="197"/>
      <c r="AK32" s="197"/>
      <c r="AL32" s="185"/>
      <c r="AM32" s="197"/>
      <c r="AN32" s="197"/>
      <c r="AO32" s="197"/>
      <c r="AP32" s="197"/>
      <c r="AQ32" s="197"/>
      <c r="AR32" s="197"/>
      <c r="AS32" s="197"/>
      <c r="AT32" s="197"/>
      <c r="AU32" s="197"/>
      <c r="AV32" s="197"/>
      <c r="AW32" s="197"/>
      <c r="AX32" s="197"/>
      <c r="AY32" s="185"/>
      <c r="AZ32" s="197"/>
      <c r="BA32" s="197"/>
      <c r="BB32" s="197"/>
      <c r="BC32" s="197"/>
      <c r="BD32" s="197"/>
      <c r="BE32" s="197"/>
      <c r="BF32" s="197"/>
      <c r="BG32" s="197"/>
      <c r="BH32" s="197"/>
      <c r="BI32" s="197"/>
      <c r="BJ32" s="197"/>
      <c r="BK32" s="197"/>
      <c r="BL32" s="197"/>
      <c r="BM32" s="197"/>
      <c r="BN32" s="197"/>
      <c r="BO32" s="185"/>
      <c r="BP32" s="197"/>
      <c r="BQ32" s="197"/>
      <c r="BR32" s="197"/>
      <c r="BS32" s="185"/>
      <c r="BT32" s="197"/>
      <c r="BU32" s="197"/>
      <c r="BV32" s="197"/>
      <c r="BW32" s="185"/>
    </row>
    <row r="33" spans="1:75" x14ac:dyDescent="0.2">
      <c r="A33" s="46">
        <f t="shared" si="0"/>
        <v>27</v>
      </c>
      <c r="B33" s="43" t="s">
        <v>92</v>
      </c>
      <c r="E33" s="107"/>
      <c r="G33" s="44">
        <f>G7*$D7+$D9*G9+$D10*G10+$D11*G11+$D12*G12+$D14*G14+$D15*G15+$D16*G16+$D23*G23+$D24*G24+$D26*G26+$D28*G28+$D21*G21</f>
        <v>5243102.7700000014</v>
      </c>
      <c r="H33" s="44">
        <f t="shared" ref="H33:M33" si="49">H7*$D7+$D9*H9+$D10*H10+$D11*H11+$D12*H12+$D14*H14+$D15*H15+$D16*H16+$D23*H23+$D24*H24+$D26*H26+$D28*H28+$D21*H21</f>
        <v>1747608.1559999997</v>
      </c>
      <c r="I33" s="44">
        <f t="shared" si="49"/>
        <v>21695065.186000001</v>
      </c>
      <c r="J33" s="44">
        <f t="shared" si="49"/>
        <v>28685776.111999996</v>
      </c>
      <c r="K33" s="44"/>
      <c r="L33" s="44">
        <f t="shared" si="49"/>
        <v>-9123097.2890427765</v>
      </c>
      <c r="M33" s="44">
        <f t="shared" si="49"/>
        <v>24874556.142194901</v>
      </c>
      <c r="N33" s="186">
        <f>SUM(L33:M33)</f>
        <v>15751458.853152124</v>
      </c>
      <c r="O33" s="44"/>
      <c r="P33" s="44">
        <f t="shared" ref="P33:Q33" si="50">P7*$D7+$D9*P9+$D10*P10+$D11*P11+$D12*P12+$D14*P14+$D15*P15+$D16*P16+$D23*P23+$D24*P24+$D26*P26+$D28*P28+$D21*P21</f>
        <v>2638233.0809999998</v>
      </c>
      <c r="Q33" s="44">
        <f t="shared" si="50"/>
        <v>22587823.452999998</v>
      </c>
      <c r="R33" s="44">
        <f>SUM(P33:Q33)</f>
        <v>25226056.533999998</v>
      </c>
      <c r="S33" s="44"/>
      <c r="T33" s="44">
        <f t="shared" ref="T33:U33" si="51">T7*$D7+$D9*T9+$D10*T10+$D11*T11+$D12*T12+$D14*T14+$D15*T15+$D16*T16+$D23*T23+$D24*T24+$D26*T26+$D28*T28+$D21*T21</f>
        <v>-1316546.5320000001</v>
      </c>
      <c r="U33" s="44">
        <f t="shared" si="51"/>
        <v>33335150.067999996</v>
      </c>
      <c r="V33" s="44">
        <f>SUM(T33:U33)</f>
        <v>32018603.535999995</v>
      </c>
      <c r="W33" s="44"/>
      <c r="X33" s="44">
        <f t="shared" ref="X33:Y33" si="52">X7*$D7+$D9*X9+$D10*X10+$D11*X11+$D12*X12+$D14*X14+$D15*X15+$D16*X16+$D23*X23+$D24*X24+$D26*X26+$D28*X28+$D21*X21</f>
        <v>-1411700.1641756503</v>
      </c>
      <c r="Y33" s="44">
        <f t="shared" si="52"/>
        <v>36702448.250794031</v>
      </c>
      <c r="Z33" s="186">
        <f>SUM(X33:Y33)</f>
        <v>35290748.086618379</v>
      </c>
      <c r="AA33" s="44"/>
      <c r="AB33" s="44">
        <f t="shared" ref="AB33:AC33" si="53">AB7*$D7+$D9*AB9+$D10*AB10+$D11*AB11+$D12*AB12+$D14*AB14+$D15*AB15+$D16*AB16+$D23*AB23+$D24*AB24+$D26*AB26+$D28*AB28+$D21*AB21</f>
        <v>-1412484.5710000002</v>
      </c>
      <c r="AC33" s="44">
        <f t="shared" si="53"/>
        <v>38641931.515999995</v>
      </c>
      <c r="AD33" s="44">
        <f>SUM(AB33:AC33)</f>
        <v>37229446.944999993</v>
      </c>
      <c r="AE33" s="44"/>
      <c r="AF33" s="44">
        <f t="shared" ref="AF33:AG33" si="54">AF7*$D7+$D9*AF9+$D10*AF10+$D11*AF11+$D12*AF12+$D14*AF14+$D15*AF15+$D16*AF16+$D23*AF23+$D24*AF24+$D26*AF26+$D28*AF28+$D21*AF21</f>
        <v>1497355.1460000002</v>
      </c>
      <c r="AG33" s="44">
        <f t="shared" si="54"/>
        <v>60732485.950000003</v>
      </c>
      <c r="AH33" s="44">
        <f>SUM(AF33:AG33)</f>
        <v>62229841.096000001</v>
      </c>
      <c r="AI33" s="44"/>
      <c r="AJ33" s="44">
        <f t="shared" ref="AJ33:AK33" si="55">AJ7*$D7+$D9*AJ9+$D10*AJ10+$D11*AJ11+$D12*AJ12+$D14*AJ14+$D15*AJ15+$D16*AJ16+$D23*AJ23+$D24*AJ24+$D26*AJ26+$D28*AJ28+$D21*AJ21</f>
        <v>-17306862.666000005</v>
      </c>
      <c r="AK33" s="44">
        <f t="shared" si="55"/>
        <v>72508678.831999987</v>
      </c>
      <c r="AL33" s="186">
        <f>SUM(AJ33:AK33)</f>
        <v>55201816.165999979</v>
      </c>
      <c r="AM33" s="44"/>
      <c r="AN33" s="44">
        <f t="shared" ref="AN33:AO33" si="56">AN7*$D7+$D9*AN9+$D10*AN10+$D11*AN11+$D12*AN12+$D14*AN14+$D15*AN15+$D16*AN16+$D23*AN23+$D24*AN24+$D26*AN26+$D28*AN28+$D21*AN21</f>
        <v>3339459.1519999998</v>
      </c>
      <c r="AO33" s="44">
        <f t="shared" si="56"/>
        <v>86864972.903000012</v>
      </c>
      <c r="AP33" s="44">
        <f>SUM(AN33:AO33)</f>
        <v>90204432.055000007</v>
      </c>
      <c r="AQ33" s="44"/>
      <c r="AR33" s="44">
        <f t="shared" ref="AR33:AS33" si="57">AR7*$D7+$D9*AR9+$D10*AR10+$D11*AR11+$D12*AR12+$D14*AR14+$D15*AR15+$D16*AR16+$D23*AR23+$D24*AR24+$D26*AR26+$D28*AR28+$D21*AR21</f>
        <v>-280486.70700000005</v>
      </c>
      <c r="AS33" s="44">
        <f t="shared" si="57"/>
        <v>89562778.681999981</v>
      </c>
      <c r="AT33" s="44">
        <f>SUM(AR33:AS33)</f>
        <v>89282291.974999979</v>
      </c>
      <c r="AU33" s="44"/>
      <c r="AV33" s="44">
        <f t="shared" ref="AV33:AX33" si="58">AV7*$D7+$D9*AV9+$D10*AV10+$D11*AV11+$D12*AV12+$D14*AV14+$D15*AV15+$D16*AV16+$D23*AV23+$D24*AV24+$D26*AV26+$D28*AV28+$D21*AV21</f>
        <v>-11538469.191999998</v>
      </c>
      <c r="AW33" s="44">
        <f t="shared" si="58"/>
        <v>-1035204.3364238761</v>
      </c>
      <c r="AX33" s="44">
        <f t="shared" si="58"/>
        <v>102576034.46099998</v>
      </c>
      <c r="AY33" s="186">
        <f>SUM(AV33:AX33)</f>
        <v>90002360.932576105</v>
      </c>
      <c r="AZ33" s="44"/>
      <c r="BA33" s="44">
        <f t="shared" ref="BA33:BB33" si="59">BA7*$D7+$D9*BA9+$D10*BA10+$D11*BA11+$D12*BA12+$D14*BA14+$D15*BA15+$D16*BA16+$D23*BA23+$D24*BA24+$D26*BA26+$D28*BA28+$D21*BA21</f>
        <v>-5332317.4589999998</v>
      </c>
      <c r="BB33" s="44">
        <f t="shared" si="59"/>
        <v>100532785.48699999</v>
      </c>
      <c r="BC33" s="44">
        <f>SUM(BA33:BB33)</f>
        <v>95200468.027999982</v>
      </c>
      <c r="BD33" s="44"/>
      <c r="BE33" s="44">
        <f t="shared" ref="BE33:BF33" si="60">BE7*$D7+$D9*BE9+$D10*BE10+$D11*BE11+$D12*BE12+$D14*BE14+$D15*BE15+$D16*BE16+$D23*BE23+$D24*BE24+$D26*BE26+$D28*BE28+$D21*BE21</f>
        <v>5885591.6159999995</v>
      </c>
      <c r="BF33" s="44">
        <f t="shared" si="60"/>
        <v>101576956.00300001</v>
      </c>
      <c r="BG33" s="44">
        <f>SUM(BE33:BF33)</f>
        <v>107462547.619</v>
      </c>
      <c r="BH33" s="44"/>
      <c r="BI33" s="44">
        <f t="shared" ref="BI33:BJ33" si="61">BI7*$D7+$D9*BI9+$D10*BI10+$D11*BI11+$D12*BI12+$D14*BI14+$D15*BI15+$D16*BI16+$D23*BI23+$D24*BI24+$D26*BI26+$D28*BI28+$D21*BI21</f>
        <v>5509578.807000001</v>
      </c>
      <c r="BJ33" s="44">
        <f t="shared" si="61"/>
        <v>106276475.612</v>
      </c>
      <c r="BK33" s="44">
        <f>SUM(BI33:BJ33)</f>
        <v>111786054.419</v>
      </c>
      <c r="BL33" s="44"/>
      <c r="BM33" s="44">
        <f t="shared" ref="BM33:BN33" si="62">BM7*$D7+$D9*BM9+$D10*BM10+$D11*BM11+$D12*BM12+$D14*BM14+$D15*BM15+$D16*BM16+$D23*BM23+$D24*BM24+$D26*BM26+$D28*BM28+$D21*BM21</f>
        <v>-3750602.1920000012</v>
      </c>
      <c r="BN33" s="44">
        <f t="shared" si="62"/>
        <v>103902495.79199998</v>
      </c>
      <c r="BO33" s="186">
        <f>SUM(BM33:BN33)</f>
        <v>100151893.59999998</v>
      </c>
      <c r="BP33" s="44"/>
      <c r="BQ33" s="44">
        <f>BQ7*$D7+$D9*BQ9+$D10*BQ10+$D11*BQ11+$D12*BQ12+$D14*BQ14+$D15*BQ15+$D16*BQ16+$D23*BQ23+$D24*BQ24+$D26*BQ26+$D28*BQ28+$D21*BQ21</f>
        <v>8033492.5399999982</v>
      </c>
      <c r="BR33" s="44">
        <f t="shared" ref="BR33" si="63">BR7*$D7+$D9*BR9+$D10*BR10+$D11*BR11+$D12*BR12+$D14*BR14+$D15*BR15+$D16*BR16+$D23*BR23+$D24*BR24+$D26*BR26+$D28*BR28+$D21*BR21</f>
        <v>108857613.02900001</v>
      </c>
      <c r="BS33" s="186">
        <f>SUM(BQ33:BR33)</f>
        <v>116891105.56900001</v>
      </c>
      <c r="BT33" s="44"/>
      <c r="BU33" s="44">
        <f t="shared" ref="BU33:BV33" si="64">BU7*$D7+$D9*BU9+$D10*BU10+$D11*BU11+$D12*BU12+$D14*BU14+$D15*BU15+$D16*BU16+$D23*BU23+$D24*BU24+$D26*BU26+$D28*BU28+$D21*BU21</f>
        <v>-42782.631000000001</v>
      </c>
      <c r="BV33" s="44">
        <f t="shared" si="64"/>
        <v>98956078.959000006</v>
      </c>
      <c r="BW33" s="186">
        <f>SUM(BU33:BV33)</f>
        <v>98913296.328000009</v>
      </c>
    </row>
    <row r="34" spans="1:75" x14ac:dyDescent="0.2">
      <c r="A34" s="46">
        <f t="shared" si="0"/>
        <v>28</v>
      </c>
      <c r="E34" s="107"/>
      <c r="N34" s="45"/>
      <c r="Z34" s="45"/>
      <c r="AL34" s="45"/>
      <c r="AY34" s="45"/>
      <c r="BO34" s="45"/>
      <c r="BS34" s="45"/>
      <c r="BW34" s="45"/>
    </row>
    <row r="35" spans="1:75" x14ac:dyDescent="0.2">
      <c r="A35" s="46">
        <f t="shared" si="0"/>
        <v>29</v>
      </c>
      <c r="B35" s="6" t="s">
        <v>25</v>
      </c>
      <c r="E35" s="107"/>
      <c r="G35" s="215">
        <f>+G33/$E$30</f>
        <v>2.4805201704490355E-3</v>
      </c>
      <c r="H35" s="215">
        <f>+H33/$E$30</f>
        <v>8.2679616844497648E-4</v>
      </c>
      <c r="I35" s="215">
        <f>+I33/$E$30</f>
        <v>1.0263969476432683E-2</v>
      </c>
      <c r="J35" s="215">
        <f>+J33/$E$30</f>
        <v>1.357128581532669E-2</v>
      </c>
      <c r="K35" s="215"/>
      <c r="L35" s="215">
        <f t="shared" ref="L35:M35" si="65">+L33/$E$30</f>
        <v>-4.3161516825350188E-3</v>
      </c>
      <c r="M35" s="215">
        <f t="shared" si="65"/>
        <v>1.1768191650701018E-2</v>
      </c>
      <c r="N35" s="366">
        <f t="shared" ref="N35" si="66">+N33/$E$30</f>
        <v>7.4520399681660002E-3</v>
      </c>
      <c r="O35" s="215"/>
      <c r="P35" s="215">
        <f t="shared" ref="P35" si="67">+P33/$E$30</f>
        <v>1.2481522218505746E-3</v>
      </c>
      <c r="Q35" s="215">
        <f t="shared" ref="Q35:R35" si="68">+Q33/$E$30</f>
        <v>1.0686334817295268E-2</v>
      </c>
      <c r="R35" s="215">
        <f t="shared" si="68"/>
        <v>1.1934487039145843E-2</v>
      </c>
      <c r="S35" s="215"/>
      <c r="T35" s="215">
        <f t="shared" ref="T35:V35" si="69">+T33/$E$30</f>
        <v>-6.2286023586005852E-4</v>
      </c>
      <c r="U35" s="215">
        <f t="shared" si="69"/>
        <v>1.5770911949646853E-2</v>
      </c>
      <c r="V35" s="215">
        <f t="shared" si="69"/>
        <v>1.5148051713786793E-2</v>
      </c>
      <c r="W35" s="215"/>
      <c r="X35" s="215">
        <f t="shared" ref="X35:Y35" si="70">+X33/$E$30</f>
        <v>-6.6787756896550675E-4</v>
      </c>
      <c r="Y35" s="215">
        <f t="shared" si="70"/>
        <v>1.7363986018331754E-2</v>
      </c>
      <c r="Z35" s="366">
        <f t="shared" ref="Z35" si="71">+Z33/$E$30</f>
        <v>1.6696108449366247E-2</v>
      </c>
      <c r="AA35" s="215"/>
      <c r="AB35" s="215">
        <f t="shared" ref="AB35:AD35" si="72">+AB33/$E$30</f>
        <v>-6.6824867306836187E-4</v>
      </c>
      <c r="AC35" s="215">
        <f t="shared" si="72"/>
        <v>1.8281558602855356E-2</v>
      </c>
      <c r="AD35" s="215">
        <f t="shared" si="72"/>
        <v>1.7613309929786991E-2</v>
      </c>
      <c r="AE35" s="215"/>
      <c r="AF35" s="215">
        <f t="shared" ref="AF35:AH35" si="73">+AF33/$E$30</f>
        <v>7.0840107564373758E-4</v>
      </c>
      <c r="AG35" s="215">
        <f t="shared" si="73"/>
        <v>2.8732634664814634E-2</v>
      </c>
      <c r="AH35" s="215">
        <f t="shared" si="73"/>
        <v>2.9441035740458369E-2</v>
      </c>
      <c r="AI35" s="215"/>
      <c r="AJ35" s="215">
        <f t="shared" ref="AJ35:AL35" si="74">+AJ33/$E$30</f>
        <v>-8.1879039594343807E-3</v>
      </c>
      <c r="AK35" s="215">
        <f t="shared" si="74"/>
        <v>3.4303970046993176E-2</v>
      </c>
      <c r="AL35" s="366">
        <f t="shared" si="74"/>
        <v>2.611606608755879E-2</v>
      </c>
      <c r="AM35" s="215"/>
      <c r="AN35" s="215">
        <f t="shared" ref="AN35:AP35" si="75">+AN33/$E$30</f>
        <v>1.5799033794118495E-3</v>
      </c>
      <c r="AO35" s="215">
        <f t="shared" si="75"/>
        <v>4.1095955361447244E-2</v>
      </c>
      <c r="AP35" s="215">
        <f t="shared" si="75"/>
        <v>4.2675858740859086E-2</v>
      </c>
      <c r="AQ35" s="215"/>
      <c r="AR35" s="215">
        <f t="shared" ref="AR35:AT35" si="76">+AR33/$E$30</f>
        <v>-1.3269870242431443E-4</v>
      </c>
      <c r="AS35" s="215">
        <f t="shared" si="76"/>
        <v>4.2372291520458558E-2</v>
      </c>
      <c r="AT35" s="215">
        <f t="shared" si="76"/>
        <v>4.2239592818034244E-2</v>
      </c>
      <c r="AU35" s="215"/>
      <c r="AV35" s="215">
        <f t="shared" ref="AV35:AX35" si="77">+AV33/$E$30</f>
        <v>-5.4588679303840485E-3</v>
      </c>
      <c r="AW35" s="215">
        <f t="shared" si="77"/>
        <v>-4.897568004442784E-4</v>
      </c>
      <c r="AX35" s="215">
        <f t="shared" si="77"/>
        <v>4.8528883305712076E-2</v>
      </c>
      <c r="AY35" s="366">
        <f t="shared" ref="AY35" si="78">+AY33/$E$30</f>
        <v>4.2580258574883748E-2</v>
      </c>
      <c r="AZ35" s="215"/>
      <c r="BA35" s="215">
        <f t="shared" ref="BA35:BC35" si="79">+BA33/$E$30</f>
        <v>-2.522727780193224E-3</v>
      </c>
      <c r="BB35" s="215">
        <f t="shared" si="79"/>
        <v>4.7562219001083872E-2</v>
      </c>
      <c r="BC35" s="215">
        <f t="shared" si="79"/>
        <v>4.503949122089064E-2</v>
      </c>
      <c r="BD35" s="215"/>
      <c r="BE35" s="215">
        <f t="shared" ref="BE35:BG35" si="80">+BE33/$E$30</f>
        <v>2.7844826544404602E-3</v>
      </c>
      <c r="BF35" s="215">
        <f t="shared" si="80"/>
        <v>4.8056217715193805E-2</v>
      </c>
      <c r="BG35" s="215">
        <f t="shared" si="80"/>
        <v>5.0840700369634263E-2</v>
      </c>
      <c r="BH35" s="215"/>
      <c r="BI35" s="215">
        <f t="shared" ref="BI35:BK35" si="81">+BI33/$E$30</f>
        <v>2.6065904028507213E-3</v>
      </c>
      <c r="BJ35" s="215">
        <f t="shared" si="81"/>
        <v>5.027956783685187E-2</v>
      </c>
      <c r="BK35" s="215">
        <f t="shared" si="81"/>
        <v>5.2886158239702587E-2</v>
      </c>
      <c r="BL35" s="215"/>
      <c r="BM35" s="215">
        <f t="shared" ref="BM35:BO35" si="82">+BM33/$E$30</f>
        <v>-1.7744157985647049E-3</v>
      </c>
      <c r="BN35" s="215">
        <f t="shared" si="82"/>
        <v>4.9156434248579857E-2</v>
      </c>
      <c r="BO35" s="366">
        <f t="shared" si="82"/>
        <v>4.7382018450015155E-2</v>
      </c>
      <c r="BP35" s="215"/>
      <c r="BQ35" s="215">
        <f t="shared" ref="BQ35:BS35" si="83">+BQ33/$E$30</f>
        <v>3.8006579612823127E-3</v>
      </c>
      <c r="BR35" s="215">
        <f t="shared" si="83"/>
        <v>5.1500708010224674E-2</v>
      </c>
      <c r="BS35" s="366">
        <f t="shared" si="83"/>
        <v>5.5301365971506984E-2</v>
      </c>
      <c r="BT35" s="215"/>
      <c r="BU35" s="215">
        <f t="shared" ref="BU35:BW35" si="84">+BU33/$E$30</f>
        <v>-2.0240530044078875E-5</v>
      </c>
      <c r="BV35" s="215">
        <f t="shared" si="84"/>
        <v>4.6816276661757451E-2</v>
      </c>
      <c r="BW35" s="366">
        <f t="shared" si="84"/>
        <v>4.6796036131713376E-2</v>
      </c>
    </row>
    <row r="36" spans="1:75" x14ac:dyDescent="0.2">
      <c r="A36" s="54"/>
      <c r="E36" s="107"/>
      <c r="N36" s="45"/>
      <c r="Z36" s="45"/>
      <c r="AL36" s="45"/>
      <c r="AY36" s="45"/>
      <c r="BO36" s="45"/>
      <c r="BS36" s="45"/>
      <c r="BW36" s="45"/>
    </row>
    <row r="37" spans="1:75" ht="31.15" customHeight="1" thickBot="1" x14ac:dyDescent="0.25">
      <c r="A37" s="108"/>
      <c r="B37" s="405" t="str">
        <f>+'Proforma - Proposed vs. no 120 '!B36</f>
        <v>Note 1 - Projected Revenue Includes Base Revenue plus Rider Schedules 95, 95A, 129, 132, 137, 140, 141, 142 &amp; 194</v>
      </c>
      <c r="C37" s="405"/>
      <c r="D37" s="405"/>
      <c r="E37" s="406"/>
      <c r="F37" s="367"/>
      <c r="G37" s="367"/>
      <c r="H37" s="367"/>
      <c r="I37" s="367"/>
      <c r="J37" s="109"/>
      <c r="K37" s="109"/>
      <c r="L37" s="109"/>
      <c r="M37" s="109"/>
      <c r="N37" s="110"/>
      <c r="O37" s="109"/>
      <c r="P37" s="109"/>
      <c r="Q37" s="109"/>
      <c r="R37" s="109"/>
      <c r="S37" s="109"/>
      <c r="T37" s="109"/>
      <c r="U37" s="109"/>
      <c r="V37" s="109"/>
      <c r="W37" s="109"/>
      <c r="X37" s="109"/>
      <c r="Y37" s="109"/>
      <c r="Z37" s="110"/>
      <c r="AA37" s="109"/>
      <c r="AB37" s="109"/>
      <c r="AC37" s="109"/>
      <c r="AD37" s="109"/>
      <c r="AE37" s="109"/>
      <c r="AF37" s="109"/>
      <c r="AG37" s="109"/>
      <c r="AH37" s="109"/>
      <c r="AI37" s="109"/>
      <c r="AJ37" s="109"/>
      <c r="AK37" s="109"/>
      <c r="AL37" s="110"/>
      <c r="AM37" s="109"/>
      <c r="AN37" s="109"/>
      <c r="AO37" s="109"/>
      <c r="AP37" s="109"/>
      <c r="AQ37" s="109"/>
      <c r="AR37" s="109"/>
      <c r="AS37" s="109"/>
      <c r="AT37" s="109"/>
      <c r="AU37" s="109"/>
      <c r="AV37" s="109"/>
      <c r="AW37" s="109"/>
      <c r="AX37" s="109"/>
      <c r="AY37" s="110"/>
      <c r="AZ37" s="109"/>
      <c r="BA37" s="109"/>
      <c r="BB37" s="109"/>
      <c r="BC37" s="109"/>
      <c r="BD37" s="109"/>
      <c r="BE37" s="109"/>
      <c r="BF37" s="109"/>
      <c r="BG37" s="109"/>
      <c r="BH37" s="109"/>
      <c r="BI37" s="109"/>
      <c r="BJ37" s="109"/>
      <c r="BK37" s="109"/>
      <c r="BL37" s="109"/>
      <c r="BM37" s="109"/>
      <c r="BN37" s="109"/>
      <c r="BO37" s="110"/>
      <c r="BP37" s="109"/>
      <c r="BQ37" s="109"/>
      <c r="BR37" s="109"/>
      <c r="BS37" s="110"/>
      <c r="BT37" s="109"/>
      <c r="BU37" s="109"/>
      <c r="BV37" s="109"/>
      <c r="BW37" s="110"/>
    </row>
    <row r="40" spans="1:75" x14ac:dyDescent="0.2">
      <c r="D40" s="106">
        <f>+'Projected Revenue on F2017'!C37</f>
        <v>23518981000</v>
      </c>
      <c r="E40" s="106">
        <f>+'Projected Revenue on F2017'!M37</f>
        <v>2113711000</v>
      </c>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row>
    <row r="41" spans="1:75" x14ac:dyDescent="0.2">
      <c r="D41" s="106">
        <f>+D40-D30</f>
        <v>0</v>
      </c>
      <c r="E41" s="106">
        <f>+E40-E30</f>
        <v>0</v>
      </c>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row>
  </sheetData>
  <mergeCells count="19">
    <mergeCell ref="B37:E37"/>
    <mergeCell ref="B1:E1"/>
    <mergeCell ref="X3:Z3"/>
    <mergeCell ref="AB3:AD3"/>
    <mergeCell ref="AF3:AH3"/>
    <mergeCell ref="P3:R3"/>
    <mergeCell ref="L3:N3"/>
    <mergeCell ref="G3:J3"/>
    <mergeCell ref="BE3:BG3"/>
    <mergeCell ref="BU3:BW3"/>
    <mergeCell ref="BA3:BC3"/>
    <mergeCell ref="AV3:AY3"/>
    <mergeCell ref="T3:V3"/>
    <mergeCell ref="AR3:AT3"/>
    <mergeCell ref="AJ3:AL3"/>
    <mergeCell ref="AN3:AP3"/>
    <mergeCell ref="BI3:BK3"/>
    <mergeCell ref="BM3:BO3"/>
    <mergeCell ref="BQ3:BS3"/>
  </mergeCells>
  <printOptions horizontalCentered="1"/>
  <pageMargins left="0.7" right="0.7" top="0.75" bottom="0.75" header="0.3" footer="0.3"/>
  <pageSetup scale="55" orientation="landscape" r:id="rId1"/>
  <headerFooter alignWithMargins="0">
    <oddHeader>&amp;RAdvice No. 2018-xx
Electric Schedule 120 Rate Design Workpapers
Page &amp;P of &amp;N</oddHeader>
    <oddFooter>&amp;L&amp;F
&amp;A&amp;R&amp;D</oddFooter>
  </headerFooter>
  <colBreaks count="5" manualBreakCount="5">
    <brk id="14" max="36" man="1"/>
    <brk id="26" max="36" man="1"/>
    <brk id="38" max="36" man="1"/>
    <brk id="51" max="36" man="1"/>
    <brk id="63"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workbookViewId="0">
      <pane xSplit="4" ySplit="8" topLeftCell="E186" activePane="bottomRight" state="frozen"/>
      <selection sqref="A1:XFD1048576"/>
      <selection pane="topRight" sqref="A1:XFD1048576"/>
      <selection pane="bottomLeft" sqref="A1:XFD1048576"/>
      <selection pane="bottomRight" sqref="A1:XFD1048576"/>
    </sheetView>
  </sheetViews>
  <sheetFormatPr defaultColWidth="8.85546875" defaultRowHeight="12.75" x14ac:dyDescent="0.2"/>
  <cols>
    <col min="1" max="1" width="7.7109375" style="23" bestFit="1" customWidth="1"/>
    <col min="2" max="2" width="31.140625" style="23" bestFit="1" customWidth="1"/>
    <col min="3" max="3" width="18.7109375" style="23" bestFit="1" customWidth="1"/>
    <col min="4" max="4" width="12.28515625" style="23" bestFit="1" customWidth="1"/>
    <col min="5" max="5" width="14.140625" style="23" bestFit="1" customWidth="1"/>
    <col min="6" max="6" width="12.7109375" style="23" bestFit="1" customWidth="1"/>
    <col min="7" max="7" width="9.7109375" style="23" bestFit="1" customWidth="1"/>
    <col min="8" max="16384" width="8.85546875" style="23"/>
  </cols>
  <sheetData>
    <row r="1" spans="1:7" x14ac:dyDescent="0.2">
      <c r="A1" s="409" t="s">
        <v>31</v>
      </c>
      <c r="B1" s="409"/>
      <c r="C1" s="409"/>
      <c r="D1" s="409"/>
      <c r="E1" s="409"/>
      <c r="F1" s="409"/>
      <c r="G1" s="409"/>
    </row>
    <row r="2" spans="1:7" x14ac:dyDescent="0.2">
      <c r="A2" s="409" t="s">
        <v>574</v>
      </c>
      <c r="B2" s="409"/>
      <c r="C2" s="409"/>
      <c r="D2" s="409"/>
      <c r="E2" s="409"/>
      <c r="F2" s="409"/>
      <c r="G2" s="409"/>
    </row>
    <row r="3" spans="1:7" x14ac:dyDescent="0.2">
      <c r="A3" s="409" t="s">
        <v>575</v>
      </c>
      <c r="B3" s="409"/>
      <c r="C3" s="409"/>
      <c r="D3" s="409"/>
      <c r="E3" s="409"/>
      <c r="F3" s="409"/>
      <c r="G3" s="409"/>
    </row>
    <row r="4" spans="1:7" x14ac:dyDescent="0.2">
      <c r="A4" s="409" t="s">
        <v>576</v>
      </c>
      <c r="B4" s="409"/>
      <c r="C4" s="409"/>
      <c r="D4" s="409"/>
      <c r="E4" s="409"/>
      <c r="F4" s="409"/>
      <c r="G4" s="409"/>
    </row>
    <row r="5" spans="1:7" x14ac:dyDescent="0.2">
      <c r="A5" s="211"/>
      <c r="B5" s="410"/>
      <c r="C5" s="410"/>
      <c r="D5" s="410"/>
      <c r="E5" s="410"/>
      <c r="F5" s="145"/>
      <c r="G5" s="145"/>
    </row>
    <row r="6" spans="1:7" ht="63.75" x14ac:dyDescent="0.2">
      <c r="A6" s="146" t="s">
        <v>77</v>
      </c>
      <c r="B6" s="146" t="s">
        <v>32</v>
      </c>
      <c r="C6" s="146" t="s">
        <v>33</v>
      </c>
      <c r="D6" s="146" t="s">
        <v>577</v>
      </c>
      <c r="E6" s="146" t="s">
        <v>635</v>
      </c>
      <c r="F6" s="146" t="s">
        <v>578</v>
      </c>
      <c r="G6" s="146" t="s">
        <v>579</v>
      </c>
    </row>
    <row r="7" spans="1:7" x14ac:dyDescent="0.2">
      <c r="A7" s="211"/>
      <c r="B7" s="148" t="s">
        <v>580</v>
      </c>
      <c r="C7" s="148" t="s">
        <v>581</v>
      </c>
      <c r="D7" s="156" t="s">
        <v>582</v>
      </c>
      <c r="E7" s="168" t="s">
        <v>583</v>
      </c>
      <c r="F7" s="150" t="s">
        <v>633</v>
      </c>
      <c r="G7" s="150" t="s">
        <v>584</v>
      </c>
    </row>
    <row r="8" spans="1:7" ht="25.5" x14ac:dyDescent="0.2">
      <c r="A8" s="211" t="s">
        <v>585</v>
      </c>
      <c r="B8" s="148"/>
      <c r="C8" s="148"/>
      <c r="D8" s="156"/>
      <c r="E8" s="149"/>
      <c r="F8" s="145"/>
      <c r="G8" s="151" t="s">
        <v>634</v>
      </c>
    </row>
    <row r="9" spans="1:7" x14ac:dyDescent="0.2">
      <c r="A9" s="211">
        <v>1</v>
      </c>
      <c r="B9" s="152" t="s">
        <v>586</v>
      </c>
      <c r="C9" s="152"/>
      <c r="D9" s="152"/>
      <c r="E9" s="169"/>
      <c r="F9" s="145"/>
      <c r="G9" s="145"/>
    </row>
    <row r="10" spans="1:7" x14ac:dyDescent="0.2">
      <c r="A10" s="211">
        <f>A9+1</f>
        <v>2</v>
      </c>
      <c r="B10" s="153" t="s">
        <v>587</v>
      </c>
      <c r="C10" s="154" t="s">
        <v>588</v>
      </c>
      <c r="D10" s="170">
        <v>22</v>
      </c>
      <c r="E10" s="171">
        <v>0.04</v>
      </c>
      <c r="F10" s="155">
        <v>59</v>
      </c>
      <c r="G10" s="166">
        <f>ROUND(F10*E10*12,0)</f>
        <v>28</v>
      </c>
    </row>
    <row r="11" spans="1:7" x14ac:dyDescent="0.2">
      <c r="A11" s="211">
        <f t="shared" ref="A11:A74" si="0">A10+1</f>
        <v>3</v>
      </c>
      <c r="B11" s="147"/>
      <c r="C11" s="156"/>
      <c r="D11" s="149"/>
      <c r="E11" s="169"/>
      <c r="F11" s="155"/>
      <c r="G11" s="145"/>
    </row>
    <row r="12" spans="1:7" x14ac:dyDescent="0.2">
      <c r="A12" s="211">
        <f t="shared" si="0"/>
        <v>4</v>
      </c>
      <c r="B12" s="153" t="s">
        <v>589</v>
      </c>
      <c r="C12" s="159" t="s">
        <v>34</v>
      </c>
      <c r="D12" s="172">
        <v>100</v>
      </c>
      <c r="E12" s="171">
        <v>0.18</v>
      </c>
      <c r="F12" s="155">
        <v>3</v>
      </c>
      <c r="G12" s="166">
        <f t="shared" ref="G12:G18" si="1">ROUND(F12*E12*12,0)</f>
        <v>6</v>
      </c>
    </row>
    <row r="13" spans="1:7" x14ac:dyDescent="0.2">
      <c r="A13" s="211">
        <f t="shared" si="0"/>
        <v>5</v>
      </c>
      <c r="B13" s="153" t="str">
        <f>+B12</f>
        <v>50E-A</v>
      </c>
      <c r="C13" s="159" t="str">
        <f>+C12</f>
        <v>Mercury Vapor</v>
      </c>
      <c r="D13" s="172">
        <v>175</v>
      </c>
      <c r="E13" s="171">
        <v>0.31</v>
      </c>
      <c r="F13" s="155">
        <v>19</v>
      </c>
      <c r="G13" s="166">
        <f t="shared" si="1"/>
        <v>71</v>
      </c>
    </row>
    <row r="14" spans="1:7" x14ac:dyDescent="0.2">
      <c r="A14" s="211">
        <f t="shared" si="0"/>
        <v>6</v>
      </c>
      <c r="B14" s="153" t="str">
        <f>+B13</f>
        <v>50E-A</v>
      </c>
      <c r="C14" s="159" t="str">
        <f>+C13</f>
        <v>Mercury Vapor</v>
      </c>
      <c r="D14" s="172">
        <v>400</v>
      </c>
      <c r="E14" s="171">
        <v>0.7</v>
      </c>
      <c r="F14" s="155">
        <v>20</v>
      </c>
      <c r="G14" s="166">
        <f t="shared" si="1"/>
        <v>168</v>
      </c>
    </row>
    <row r="15" spans="1:7" x14ac:dyDescent="0.2">
      <c r="A15" s="211">
        <f t="shared" si="0"/>
        <v>7</v>
      </c>
      <c r="B15" s="153" t="s">
        <v>590</v>
      </c>
      <c r="C15" s="159" t="str">
        <f>+C14</f>
        <v>Mercury Vapor</v>
      </c>
      <c r="D15" s="172">
        <v>100</v>
      </c>
      <c r="E15" s="171">
        <v>0.18</v>
      </c>
      <c r="F15" s="155">
        <v>0</v>
      </c>
      <c r="G15" s="166">
        <f t="shared" si="1"/>
        <v>0</v>
      </c>
    </row>
    <row r="16" spans="1:7" x14ac:dyDescent="0.2">
      <c r="A16" s="211">
        <f t="shared" si="0"/>
        <v>8</v>
      </c>
      <c r="B16" s="153" t="str">
        <f t="shared" ref="B16:C18" si="2">+B15</f>
        <v>50E-B</v>
      </c>
      <c r="C16" s="159" t="str">
        <f t="shared" si="2"/>
        <v>Mercury Vapor</v>
      </c>
      <c r="D16" s="172">
        <v>175</v>
      </c>
      <c r="E16" s="171">
        <v>0.31</v>
      </c>
      <c r="F16" s="155">
        <v>1</v>
      </c>
      <c r="G16" s="166">
        <f t="shared" si="1"/>
        <v>4</v>
      </c>
    </row>
    <row r="17" spans="1:7" x14ac:dyDescent="0.2">
      <c r="A17" s="211">
        <f t="shared" si="0"/>
        <v>9</v>
      </c>
      <c r="B17" s="153" t="str">
        <f t="shared" si="2"/>
        <v>50E-B</v>
      </c>
      <c r="C17" s="159" t="str">
        <f t="shared" si="2"/>
        <v>Mercury Vapor</v>
      </c>
      <c r="D17" s="172">
        <v>400</v>
      </c>
      <c r="E17" s="171">
        <v>0.7</v>
      </c>
      <c r="F17" s="155">
        <v>0</v>
      </c>
      <c r="G17" s="166">
        <f t="shared" si="1"/>
        <v>0</v>
      </c>
    </row>
    <row r="18" spans="1:7" x14ac:dyDescent="0.2">
      <c r="A18" s="211">
        <f t="shared" si="0"/>
        <v>10</v>
      </c>
      <c r="B18" s="153" t="str">
        <f t="shared" si="2"/>
        <v>50E-B</v>
      </c>
      <c r="C18" s="159" t="str">
        <f t="shared" si="2"/>
        <v>Mercury Vapor</v>
      </c>
      <c r="D18" s="172">
        <v>700</v>
      </c>
      <c r="E18" s="171">
        <v>1.23</v>
      </c>
      <c r="F18" s="155">
        <v>0</v>
      </c>
      <c r="G18" s="166">
        <f t="shared" si="1"/>
        <v>0</v>
      </c>
    </row>
    <row r="19" spans="1:7" x14ac:dyDescent="0.2">
      <c r="A19" s="211">
        <f t="shared" si="0"/>
        <v>11</v>
      </c>
      <c r="B19" s="157"/>
      <c r="C19" s="158"/>
      <c r="D19" s="152"/>
      <c r="E19" s="169"/>
      <c r="F19" s="155"/>
      <c r="G19" s="145"/>
    </row>
    <row r="20" spans="1:7" x14ac:dyDescent="0.2">
      <c r="A20" s="211">
        <f t="shared" si="0"/>
        <v>12</v>
      </c>
      <c r="B20" s="157" t="s">
        <v>591</v>
      </c>
      <c r="C20" s="158"/>
      <c r="D20" s="152"/>
      <c r="E20" s="169"/>
      <c r="F20" s="155"/>
      <c r="G20" s="145"/>
    </row>
    <row r="21" spans="1:7" x14ac:dyDescent="0.2">
      <c r="A21" s="211">
        <f t="shared" si="0"/>
        <v>13</v>
      </c>
      <c r="B21" s="153" t="s">
        <v>592</v>
      </c>
      <c r="C21" s="159" t="s">
        <v>593</v>
      </c>
      <c r="D21" s="172" t="s">
        <v>594</v>
      </c>
      <c r="E21" s="171">
        <v>0.08</v>
      </c>
      <c r="F21" s="155">
        <v>1604</v>
      </c>
      <c r="G21" s="166">
        <f t="shared" ref="G21:G29" si="3">ROUND(F21*E21*12,0)</f>
        <v>1540</v>
      </c>
    </row>
    <row r="22" spans="1:7" x14ac:dyDescent="0.2">
      <c r="A22" s="211">
        <f t="shared" si="0"/>
        <v>14</v>
      </c>
      <c r="B22" s="153" t="s">
        <v>592</v>
      </c>
      <c r="C22" s="159" t="s">
        <v>593</v>
      </c>
      <c r="D22" s="172" t="s">
        <v>595</v>
      </c>
      <c r="E22" s="171">
        <v>0.13</v>
      </c>
      <c r="F22" s="155">
        <v>818</v>
      </c>
      <c r="G22" s="166">
        <f t="shared" si="3"/>
        <v>1276</v>
      </c>
    </row>
    <row r="23" spans="1:7" x14ac:dyDescent="0.2">
      <c r="A23" s="211">
        <f t="shared" si="0"/>
        <v>15</v>
      </c>
      <c r="B23" s="153" t="s">
        <v>592</v>
      </c>
      <c r="C23" s="159" t="s">
        <v>593</v>
      </c>
      <c r="D23" s="172" t="s">
        <v>596</v>
      </c>
      <c r="E23" s="171">
        <v>0.18</v>
      </c>
      <c r="F23" s="155">
        <v>551</v>
      </c>
      <c r="G23" s="166">
        <f t="shared" si="3"/>
        <v>1190</v>
      </c>
    </row>
    <row r="24" spans="1:7" x14ac:dyDescent="0.2">
      <c r="A24" s="211">
        <f t="shared" si="0"/>
        <v>16</v>
      </c>
      <c r="B24" s="153" t="s">
        <v>592</v>
      </c>
      <c r="C24" s="159" t="s">
        <v>593</v>
      </c>
      <c r="D24" s="172" t="s">
        <v>597</v>
      </c>
      <c r="E24" s="171">
        <v>0.24</v>
      </c>
      <c r="F24" s="155">
        <v>240</v>
      </c>
      <c r="G24" s="166">
        <f t="shared" si="3"/>
        <v>691</v>
      </c>
    </row>
    <row r="25" spans="1:7" x14ac:dyDescent="0.2">
      <c r="A25" s="211">
        <f t="shared" si="0"/>
        <v>17</v>
      </c>
      <c r="B25" s="153" t="s">
        <v>592</v>
      </c>
      <c r="C25" s="159" t="s">
        <v>593</v>
      </c>
      <c r="D25" s="172" t="s">
        <v>598</v>
      </c>
      <c r="E25" s="171">
        <v>0.28999999999999998</v>
      </c>
      <c r="F25" s="155">
        <v>49</v>
      </c>
      <c r="G25" s="166">
        <f t="shared" si="3"/>
        <v>171</v>
      </c>
    </row>
    <row r="26" spans="1:7" x14ac:dyDescent="0.2">
      <c r="A26" s="211">
        <f t="shared" si="0"/>
        <v>18</v>
      </c>
      <c r="B26" s="153" t="s">
        <v>592</v>
      </c>
      <c r="C26" s="159" t="s">
        <v>593</v>
      </c>
      <c r="D26" s="172" t="s">
        <v>599</v>
      </c>
      <c r="E26" s="171">
        <v>0.34</v>
      </c>
      <c r="F26" s="155">
        <v>169</v>
      </c>
      <c r="G26" s="166">
        <f t="shared" si="3"/>
        <v>690</v>
      </c>
    </row>
    <row r="27" spans="1:7" x14ac:dyDescent="0.2">
      <c r="A27" s="211">
        <f t="shared" si="0"/>
        <v>19</v>
      </c>
      <c r="B27" s="153" t="s">
        <v>592</v>
      </c>
      <c r="C27" s="159" t="s">
        <v>593</v>
      </c>
      <c r="D27" s="172" t="s">
        <v>600</v>
      </c>
      <c r="E27" s="171">
        <v>0.39</v>
      </c>
      <c r="F27" s="155">
        <v>0</v>
      </c>
      <c r="G27" s="166">
        <f t="shared" si="3"/>
        <v>0</v>
      </c>
    </row>
    <row r="28" spans="1:7" x14ac:dyDescent="0.2">
      <c r="A28" s="211">
        <f t="shared" si="0"/>
        <v>20</v>
      </c>
      <c r="B28" s="153" t="s">
        <v>592</v>
      </c>
      <c r="C28" s="159" t="s">
        <v>593</v>
      </c>
      <c r="D28" s="172" t="s">
        <v>601</v>
      </c>
      <c r="E28" s="171">
        <v>0.45</v>
      </c>
      <c r="F28" s="155">
        <v>10</v>
      </c>
      <c r="G28" s="166">
        <f t="shared" si="3"/>
        <v>54</v>
      </c>
    </row>
    <row r="29" spans="1:7" x14ac:dyDescent="0.2">
      <c r="A29" s="211">
        <f t="shared" si="0"/>
        <v>21</v>
      </c>
      <c r="B29" s="153" t="s">
        <v>592</v>
      </c>
      <c r="C29" s="159" t="s">
        <v>593</v>
      </c>
      <c r="D29" s="172" t="s">
        <v>602</v>
      </c>
      <c r="E29" s="171">
        <v>0.5</v>
      </c>
      <c r="F29" s="155">
        <v>49</v>
      </c>
      <c r="G29" s="166">
        <f t="shared" si="3"/>
        <v>294</v>
      </c>
    </row>
    <row r="30" spans="1:7" x14ac:dyDescent="0.2">
      <c r="A30" s="211">
        <f t="shared" si="0"/>
        <v>22</v>
      </c>
      <c r="B30" s="157"/>
      <c r="C30" s="152"/>
      <c r="D30" s="152"/>
      <c r="E30" s="169"/>
      <c r="F30" s="155"/>
      <c r="G30" s="145"/>
    </row>
    <row r="31" spans="1:7" x14ac:dyDescent="0.2">
      <c r="A31" s="211">
        <f t="shared" si="0"/>
        <v>23</v>
      </c>
      <c r="B31" s="157" t="s">
        <v>603</v>
      </c>
      <c r="C31" s="152"/>
      <c r="D31" s="152"/>
      <c r="E31" s="169"/>
      <c r="F31" s="155"/>
      <c r="G31" s="145"/>
    </row>
    <row r="32" spans="1:7" x14ac:dyDescent="0.2">
      <c r="A32" s="211">
        <f t="shared" si="0"/>
        <v>24</v>
      </c>
      <c r="B32" s="153" t="s">
        <v>604</v>
      </c>
      <c r="C32" s="161" t="s">
        <v>35</v>
      </c>
      <c r="D32" s="161">
        <v>50</v>
      </c>
      <c r="E32" s="171">
        <v>0.09</v>
      </c>
      <c r="F32" s="155">
        <v>0</v>
      </c>
      <c r="G32" s="166">
        <f t="shared" ref="G32:G39" si="4">ROUND(F32*E32*12,0)</f>
        <v>0</v>
      </c>
    </row>
    <row r="33" spans="1:7" x14ac:dyDescent="0.2">
      <c r="A33" s="211">
        <f t="shared" si="0"/>
        <v>25</v>
      </c>
      <c r="B33" s="153" t="str">
        <f t="shared" ref="B33:B39" si="5">+B32</f>
        <v xml:space="preserve">52E </v>
      </c>
      <c r="C33" s="161" t="s">
        <v>35</v>
      </c>
      <c r="D33" s="161">
        <v>70</v>
      </c>
      <c r="E33" s="171">
        <v>0.12</v>
      </c>
      <c r="F33" s="155">
        <v>710</v>
      </c>
      <c r="G33" s="166">
        <f t="shared" si="4"/>
        <v>1022</v>
      </c>
    </row>
    <row r="34" spans="1:7" x14ac:dyDescent="0.2">
      <c r="A34" s="211">
        <f t="shared" si="0"/>
        <v>26</v>
      </c>
      <c r="B34" s="153" t="str">
        <f t="shared" si="5"/>
        <v xml:space="preserve">52E </v>
      </c>
      <c r="C34" s="161" t="s">
        <v>35</v>
      </c>
      <c r="D34" s="161">
        <v>100</v>
      </c>
      <c r="E34" s="171">
        <v>0.18</v>
      </c>
      <c r="F34" s="155">
        <v>10440</v>
      </c>
      <c r="G34" s="166">
        <f t="shared" si="4"/>
        <v>22550</v>
      </c>
    </row>
    <row r="35" spans="1:7" x14ac:dyDescent="0.2">
      <c r="A35" s="211">
        <f t="shared" si="0"/>
        <v>27</v>
      </c>
      <c r="B35" s="153" t="str">
        <f t="shared" si="5"/>
        <v xml:space="preserve">52E </v>
      </c>
      <c r="C35" s="161" t="s">
        <v>35</v>
      </c>
      <c r="D35" s="161">
        <v>150</v>
      </c>
      <c r="E35" s="171">
        <v>0.26</v>
      </c>
      <c r="F35" s="155">
        <v>4649</v>
      </c>
      <c r="G35" s="166">
        <f t="shared" si="4"/>
        <v>14505</v>
      </c>
    </row>
    <row r="36" spans="1:7" x14ac:dyDescent="0.2">
      <c r="A36" s="211">
        <f t="shared" si="0"/>
        <v>28</v>
      </c>
      <c r="B36" s="153" t="str">
        <f t="shared" si="5"/>
        <v xml:space="preserve">52E </v>
      </c>
      <c r="C36" s="161" t="s">
        <v>35</v>
      </c>
      <c r="D36" s="161">
        <v>200</v>
      </c>
      <c r="E36" s="171">
        <v>0.35</v>
      </c>
      <c r="F36" s="155">
        <v>1013</v>
      </c>
      <c r="G36" s="166">
        <f t="shared" si="4"/>
        <v>4255</v>
      </c>
    </row>
    <row r="37" spans="1:7" x14ac:dyDescent="0.2">
      <c r="A37" s="211">
        <f t="shared" si="0"/>
        <v>29</v>
      </c>
      <c r="B37" s="153" t="str">
        <f t="shared" si="5"/>
        <v xml:space="preserve">52E </v>
      </c>
      <c r="C37" s="161" t="s">
        <v>35</v>
      </c>
      <c r="D37" s="161">
        <v>250</v>
      </c>
      <c r="E37" s="171">
        <v>0.44</v>
      </c>
      <c r="F37" s="155">
        <v>1491</v>
      </c>
      <c r="G37" s="166">
        <f t="shared" si="4"/>
        <v>7872</v>
      </c>
    </row>
    <row r="38" spans="1:7" x14ac:dyDescent="0.2">
      <c r="A38" s="211">
        <f t="shared" si="0"/>
        <v>30</v>
      </c>
      <c r="B38" s="153" t="str">
        <f t="shared" si="5"/>
        <v xml:space="preserve">52E </v>
      </c>
      <c r="C38" s="161" t="s">
        <v>35</v>
      </c>
      <c r="D38" s="161">
        <v>310</v>
      </c>
      <c r="E38" s="171">
        <v>0.54</v>
      </c>
      <c r="F38" s="155">
        <v>149</v>
      </c>
      <c r="G38" s="166">
        <f t="shared" si="4"/>
        <v>966</v>
      </c>
    </row>
    <row r="39" spans="1:7" x14ac:dyDescent="0.2">
      <c r="A39" s="211">
        <f t="shared" si="0"/>
        <v>31</v>
      </c>
      <c r="B39" s="153" t="str">
        <f t="shared" si="5"/>
        <v xml:space="preserve">52E </v>
      </c>
      <c r="C39" s="161" t="s">
        <v>35</v>
      </c>
      <c r="D39" s="161">
        <v>400</v>
      </c>
      <c r="E39" s="171">
        <v>0.7</v>
      </c>
      <c r="F39" s="155">
        <v>607</v>
      </c>
      <c r="G39" s="166">
        <f t="shared" si="4"/>
        <v>5099</v>
      </c>
    </row>
    <row r="40" spans="1:7" x14ac:dyDescent="0.2">
      <c r="A40" s="211">
        <f t="shared" si="0"/>
        <v>32</v>
      </c>
      <c r="B40" s="160"/>
      <c r="C40" s="161"/>
      <c r="D40" s="161"/>
      <c r="E40" s="169"/>
      <c r="F40" s="155"/>
      <c r="G40" s="145"/>
    </row>
    <row r="41" spans="1:7" x14ac:dyDescent="0.2">
      <c r="A41" s="211">
        <f t="shared" si="0"/>
        <v>33</v>
      </c>
      <c r="B41" s="153" t="str">
        <f>+B36</f>
        <v xml:space="preserve">52E </v>
      </c>
      <c r="C41" s="161" t="s">
        <v>605</v>
      </c>
      <c r="D41" s="161">
        <v>70</v>
      </c>
      <c r="E41" s="171">
        <v>0.12</v>
      </c>
      <c r="F41" s="155">
        <v>68</v>
      </c>
      <c r="G41" s="166">
        <f t="shared" ref="G41:G47" si="6">ROUND(F41*E41*12,0)</f>
        <v>98</v>
      </c>
    </row>
    <row r="42" spans="1:7" x14ac:dyDescent="0.2">
      <c r="A42" s="211">
        <f t="shared" si="0"/>
        <v>34</v>
      </c>
      <c r="B42" s="153" t="str">
        <f>+B37</f>
        <v xml:space="preserve">52E </v>
      </c>
      <c r="C42" s="161" t="s">
        <v>605</v>
      </c>
      <c r="D42" s="161">
        <v>100</v>
      </c>
      <c r="E42" s="171">
        <v>0.18</v>
      </c>
      <c r="F42" s="155">
        <v>4</v>
      </c>
      <c r="G42" s="166">
        <f t="shared" si="6"/>
        <v>9</v>
      </c>
    </row>
    <row r="43" spans="1:7" x14ac:dyDescent="0.2">
      <c r="A43" s="211">
        <f t="shared" si="0"/>
        <v>35</v>
      </c>
      <c r="B43" s="153" t="str">
        <f>+B38</f>
        <v xml:space="preserve">52E </v>
      </c>
      <c r="C43" s="161" t="s">
        <v>605</v>
      </c>
      <c r="D43" s="161">
        <v>150</v>
      </c>
      <c r="E43" s="171">
        <v>0.26</v>
      </c>
      <c r="F43" s="155">
        <v>205</v>
      </c>
      <c r="G43" s="166">
        <f t="shared" si="6"/>
        <v>640</v>
      </c>
    </row>
    <row r="44" spans="1:7" x14ac:dyDescent="0.2">
      <c r="A44" s="211">
        <f t="shared" si="0"/>
        <v>36</v>
      </c>
      <c r="B44" s="153" t="str">
        <f>+B39</f>
        <v xml:space="preserve">52E </v>
      </c>
      <c r="C44" s="161" t="s">
        <v>605</v>
      </c>
      <c r="D44" s="161">
        <v>175</v>
      </c>
      <c r="E44" s="171">
        <v>0.31</v>
      </c>
      <c r="F44" s="155">
        <v>222</v>
      </c>
      <c r="G44" s="166">
        <f t="shared" si="6"/>
        <v>826</v>
      </c>
    </row>
    <row r="45" spans="1:7" x14ac:dyDescent="0.2">
      <c r="A45" s="211">
        <f t="shared" si="0"/>
        <v>37</v>
      </c>
      <c r="B45" s="153" t="str">
        <f t="shared" ref="B45:C47" si="7">+B44</f>
        <v xml:space="preserve">52E </v>
      </c>
      <c r="C45" s="161" t="str">
        <f t="shared" si="7"/>
        <v>Metal Halide</v>
      </c>
      <c r="D45" s="161">
        <v>250</v>
      </c>
      <c r="E45" s="171">
        <v>0.44</v>
      </c>
      <c r="F45" s="155">
        <v>61</v>
      </c>
      <c r="G45" s="166">
        <f t="shared" si="6"/>
        <v>322</v>
      </c>
    </row>
    <row r="46" spans="1:7" x14ac:dyDescent="0.2">
      <c r="A46" s="211">
        <f t="shared" si="0"/>
        <v>38</v>
      </c>
      <c r="B46" s="153" t="str">
        <f t="shared" si="7"/>
        <v xml:space="preserve">52E </v>
      </c>
      <c r="C46" s="161" t="str">
        <f t="shared" si="7"/>
        <v>Metal Halide</v>
      </c>
      <c r="D46" s="161">
        <v>400</v>
      </c>
      <c r="E46" s="171">
        <v>0.7</v>
      </c>
      <c r="F46" s="155">
        <v>57</v>
      </c>
      <c r="G46" s="166">
        <f t="shared" si="6"/>
        <v>479</v>
      </c>
    </row>
    <row r="47" spans="1:7" x14ac:dyDescent="0.2">
      <c r="A47" s="211">
        <f t="shared" si="0"/>
        <v>39</v>
      </c>
      <c r="B47" s="153" t="str">
        <f t="shared" si="7"/>
        <v xml:space="preserve">52E </v>
      </c>
      <c r="C47" s="161" t="str">
        <f t="shared" si="7"/>
        <v>Metal Halide</v>
      </c>
      <c r="D47" s="161">
        <v>1000</v>
      </c>
      <c r="E47" s="171">
        <v>1.75</v>
      </c>
      <c r="F47" s="155">
        <v>18</v>
      </c>
      <c r="G47" s="166">
        <f t="shared" si="6"/>
        <v>378</v>
      </c>
    </row>
    <row r="48" spans="1:7" x14ac:dyDescent="0.2">
      <c r="A48" s="211">
        <f t="shared" si="0"/>
        <v>40</v>
      </c>
      <c r="B48" s="157"/>
      <c r="C48" s="152"/>
      <c r="D48" s="152"/>
      <c r="E48" s="169"/>
      <c r="F48" s="155"/>
      <c r="G48" s="145"/>
    </row>
    <row r="49" spans="1:7" x14ac:dyDescent="0.2">
      <c r="A49" s="211">
        <f t="shared" si="0"/>
        <v>41</v>
      </c>
      <c r="B49" s="157" t="s">
        <v>606</v>
      </c>
      <c r="C49" s="152"/>
      <c r="D49" s="152"/>
      <c r="E49" s="169"/>
      <c r="F49" s="155"/>
      <c r="G49" s="145"/>
    </row>
    <row r="50" spans="1:7" x14ac:dyDescent="0.2">
      <c r="A50" s="211">
        <f t="shared" si="0"/>
        <v>42</v>
      </c>
      <c r="B50" s="153" t="s">
        <v>607</v>
      </c>
      <c r="C50" s="161" t="s">
        <v>35</v>
      </c>
      <c r="D50" s="161">
        <v>50</v>
      </c>
      <c r="E50" s="171">
        <v>0.09</v>
      </c>
      <c r="F50" s="155">
        <v>0</v>
      </c>
      <c r="G50" s="166">
        <f t="shared" ref="G50:G58" si="8">ROUND(F50*E50*12,0)</f>
        <v>0</v>
      </c>
    </row>
    <row r="51" spans="1:7" x14ac:dyDescent="0.2">
      <c r="A51" s="211">
        <f t="shared" si="0"/>
        <v>43</v>
      </c>
      <c r="B51" s="153" t="str">
        <f t="shared" ref="B51:B58" si="9">+B50</f>
        <v>53E - Company Owned</v>
      </c>
      <c r="C51" s="161" t="s">
        <v>35</v>
      </c>
      <c r="D51" s="161">
        <v>70</v>
      </c>
      <c r="E51" s="171">
        <v>0.12</v>
      </c>
      <c r="F51" s="155">
        <v>4920</v>
      </c>
      <c r="G51" s="166">
        <f t="shared" si="8"/>
        <v>7085</v>
      </c>
    </row>
    <row r="52" spans="1:7" x14ac:dyDescent="0.2">
      <c r="A52" s="211">
        <f t="shared" si="0"/>
        <v>44</v>
      </c>
      <c r="B52" s="153" t="str">
        <f t="shared" si="9"/>
        <v>53E - Company Owned</v>
      </c>
      <c r="C52" s="161" t="s">
        <v>35</v>
      </c>
      <c r="D52" s="161">
        <v>100</v>
      </c>
      <c r="E52" s="171">
        <v>0.18</v>
      </c>
      <c r="F52" s="155">
        <v>35437</v>
      </c>
      <c r="G52" s="166">
        <f t="shared" si="8"/>
        <v>76544</v>
      </c>
    </row>
    <row r="53" spans="1:7" x14ac:dyDescent="0.2">
      <c r="A53" s="211">
        <f t="shared" si="0"/>
        <v>45</v>
      </c>
      <c r="B53" s="153" t="str">
        <f t="shared" si="9"/>
        <v>53E - Company Owned</v>
      </c>
      <c r="C53" s="161" t="s">
        <v>35</v>
      </c>
      <c r="D53" s="161">
        <v>150</v>
      </c>
      <c r="E53" s="171">
        <v>0.26</v>
      </c>
      <c r="F53" s="155">
        <v>4240</v>
      </c>
      <c r="G53" s="166">
        <f t="shared" si="8"/>
        <v>13229</v>
      </c>
    </row>
    <row r="54" spans="1:7" x14ac:dyDescent="0.2">
      <c r="A54" s="211">
        <f t="shared" si="0"/>
        <v>46</v>
      </c>
      <c r="B54" s="153" t="str">
        <f t="shared" si="9"/>
        <v>53E - Company Owned</v>
      </c>
      <c r="C54" s="161" t="s">
        <v>35</v>
      </c>
      <c r="D54" s="161">
        <v>200</v>
      </c>
      <c r="E54" s="171">
        <v>0.35</v>
      </c>
      <c r="F54" s="155">
        <v>5668</v>
      </c>
      <c r="G54" s="166">
        <f t="shared" si="8"/>
        <v>23806</v>
      </c>
    </row>
    <row r="55" spans="1:7" x14ac:dyDescent="0.2">
      <c r="A55" s="211">
        <f t="shared" si="0"/>
        <v>47</v>
      </c>
      <c r="B55" s="153" t="str">
        <f t="shared" si="9"/>
        <v>53E - Company Owned</v>
      </c>
      <c r="C55" s="161" t="s">
        <v>35</v>
      </c>
      <c r="D55" s="161">
        <v>250</v>
      </c>
      <c r="E55" s="171">
        <v>0.44</v>
      </c>
      <c r="F55" s="155">
        <v>1798</v>
      </c>
      <c r="G55" s="166">
        <f t="shared" si="8"/>
        <v>9493</v>
      </c>
    </row>
    <row r="56" spans="1:7" x14ac:dyDescent="0.2">
      <c r="A56" s="211">
        <f t="shared" si="0"/>
        <v>48</v>
      </c>
      <c r="B56" s="153" t="str">
        <f t="shared" si="9"/>
        <v>53E - Company Owned</v>
      </c>
      <c r="C56" s="161" t="s">
        <v>35</v>
      </c>
      <c r="D56" s="161">
        <v>310</v>
      </c>
      <c r="E56" s="171">
        <v>0.54</v>
      </c>
      <c r="F56" s="155">
        <v>18</v>
      </c>
      <c r="G56" s="166">
        <f t="shared" si="8"/>
        <v>117</v>
      </c>
    </row>
    <row r="57" spans="1:7" x14ac:dyDescent="0.2">
      <c r="A57" s="211">
        <f t="shared" si="0"/>
        <v>49</v>
      </c>
      <c r="B57" s="153" t="str">
        <f t="shared" si="9"/>
        <v>53E - Company Owned</v>
      </c>
      <c r="C57" s="161" t="s">
        <v>35</v>
      </c>
      <c r="D57" s="161">
        <v>400</v>
      </c>
      <c r="E57" s="171">
        <v>0.7</v>
      </c>
      <c r="F57" s="155">
        <v>1097</v>
      </c>
      <c r="G57" s="166">
        <f t="shared" si="8"/>
        <v>9215</v>
      </c>
    </row>
    <row r="58" spans="1:7" x14ac:dyDescent="0.2">
      <c r="A58" s="211">
        <f t="shared" si="0"/>
        <v>50</v>
      </c>
      <c r="B58" s="153" t="str">
        <f t="shared" si="9"/>
        <v>53E - Company Owned</v>
      </c>
      <c r="C58" s="161" t="s">
        <v>35</v>
      </c>
      <c r="D58" s="161">
        <v>1000</v>
      </c>
      <c r="E58" s="171">
        <v>1.75</v>
      </c>
      <c r="F58" s="155">
        <v>0</v>
      </c>
      <c r="G58" s="166">
        <f t="shared" si="8"/>
        <v>0</v>
      </c>
    </row>
    <row r="59" spans="1:7" x14ac:dyDescent="0.2">
      <c r="A59" s="211">
        <f t="shared" si="0"/>
        <v>51</v>
      </c>
      <c r="B59" s="153"/>
      <c r="C59" s="161"/>
      <c r="D59" s="161"/>
      <c r="E59" s="169"/>
      <c r="F59" s="155"/>
      <c r="G59" s="145"/>
    </row>
    <row r="60" spans="1:7" x14ac:dyDescent="0.2">
      <c r="A60" s="211">
        <f t="shared" si="0"/>
        <v>52</v>
      </c>
      <c r="B60" s="153" t="str">
        <f>+B58</f>
        <v>53E - Company Owned</v>
      </c>
      <c r="C60" s="161" t="s">
        <v>605</v>
      </c>
      <c r="D60" s="161">
        <v>70</v>
      </c>
      <c r="E60" s="171">
        <v>0.12</v>
      </c>
      <c r="F60" s="155">
        <v>0</v>
      </c>
      <c r="G60" s="166">
        <f>ROUND(F60*E60*12,0)</f>
        <v>0</v>
      </c>
    </row>
    <row r="61" spans="1:7" x14ac:dyDescent="0.2">
      <c r="A61" s="211">
        <f t="shared" si="0"/>
        <v>53</v>
      </c>
      <c r="B61" s="153" t="str">
        <f>+B60</f>
        <v>53E - Company Owned</v>
      </c>
      <c r="C61" s="161" t="s">
        <v>605</v>
      </c>
      <c r="D61" s="161">
        <v>100</v>
      </c>
      <c r="E61" s="171">
        <v>0.18</v>
      </c>
      <c r="F61" s="155">
        <v>0</v>
      </c>
      <c r="G61" s="166">
        <f>ROUND(F61*E61*12,0)</f>
        <v>0</v>
      </c>
    </row>
    <row r="62" spans="1:7" x14ac:dyDescent="0.2">
      <c r="A62" s="211">
        <f t="shared" si="0"/>
        <v>54</v>
      </c>
      <c r="B62" s="153" t="str">
        <f>+B61</f>
        <v>53E - Company Owned</v>
      </c>
      <c r="C62" s="161" t="s">
        <v>605</v>
      </c>
      <c r="D62" s="161">
        <v>150</v>
      </c>
      <c r="E62" s="171">
        <v>0.26</v>
      </c>
      <c r="F62" s="155">
        <v>0</v>
      </c>
      <c r="G62" s="166">
        <f>ROUND(F62*E62*12,0)</f>
        <v>0</v>
      </c>
    </row>
    <row r="63" spans="1:7" x14ac:dyDescent="0.2">
      <c r="A63" s="211">
        <f t="shared" si="0"/>
        <v>55</v>
      </c>
      <c r="B63" s="153" t="str">
        <f>B62</f>
        <v>53E - Company Owned</v>
      </c>
      <c r="C63" s="161" t="s">
        <v>605</v>
      </c>
      <c r="D63" s="161">
        <v>250</v>
      </c>
      <c r="E63" s="171">
        <v>0.44</v>
      </c>
      <c r="F63" s="155">
        <v>0</v>
      </c>
      <c r="G63" s="166">
        <f>ROUND(F63*E63*12,0)</f>
        <v>0</v>
      </c>
    </row>
    <row r="64" spans="1:7" x14ac:dyDescent="0.2">
      <c r="A64" s="211">
        <f t="shared" si="0"/>
        <v>56</v>
      </c>
      <c r="B64" s="153" t="str">
        <f>B63</f>
        <v>53E - Company Owned</v>
      </c>
      <c r="C64" s="161" t="s">
        <v>605</v>
      </c>
      <c r="D64" s="161">
        <v>400</v>
      </c>
      <c r="E64" s="171">
        <v>0.7</v>
      </c>
      <c r="F64" s="155">
        <v>0</v>
      </c>
      <c r="G64" s="166">
        <f>ROUND(F64*E64*12,0)</f>
        <v>0</v>
      </c>
    </row>
    <row r="65" spans="1:7" x14ac:dyDescent="0.2">
      <c r="A65" s="211">
        <f t="shared" si="0"/>
        <v>57</v>
      </c>
      <c r="B65" s="153"/>
      <c r="C65" s="161"/>
      <c r="D65" s="161"/>
      <c r="E65" s="169"/>
      <c r="F65" s="155"/>
      <c r="G65" s="145"/>
    </row>
    <row r="66" spans="1:7" x14ac:dyDescent="0.2">
      <c r="A66" s="211">
        <f t="shared" si="0"/>
        <v>58</v>
      </c>
      <c r="B66" s="153" t="str">
        <f>+B64</f>
        <v>53E - Company Owned</v>
      </c>
      <c r="C66" s="161" t="s">
        <v>593</v>
      </c>
      <c r="D66" s="172" t="s">
        <v>594</v>
      </c>
      <c r="E66" s="171">
        <v>0.08</v>
      </c>
      <c r="F66" s="155">
        <v>16838</v>
      </c>
      <c r="G66" s="166">
        <f t="shared" ref="G66:G74" si="10">ROUND(F66*E66*12,0)</f>
        <v>16164</v>
      </c>
    </row>
    <row r="67" spans="1:7" x14ac:dyDescent="0.2">
      <c r="A67" s="211">
        <f t="shared" si="0"/>
        <v>59</v>
      </c>
      <c r="B67" s="153" t="str">
        <f>B66</f>
        <v>53E - Company Owned</v>
      </c>
      <c r="C67" s="161" t="s">
        <v>593</v>
      </c>
      <c r="D67" s="172" t="s">
        <v>595</v>
      </c>
      <c r="E67" s="171">
        <v>0.13</v>
      </c>
      <c r="F67" s="155">
        <v>10</v>
      </c>
      <c r="G67" s="166">
        <f t="shared" si="10"/>
        <v>16</v>
      </c>
    </row>
    <row r="68" spans="1:7" x14ac:dyDescent="0.2">
      <c r="A68" s="211">
        <f t="shared" si="0"/>
        <v>60</v>
      </c>
      <c r="B68" s="153" t="str">
        <f t="shared" ref="B68:B74" si="11">B67</f>
        <v>53E - Company Owned</v>
      </c>
      <c r="C68" s="161" t="s">
        <v>593</v>
      </c>
      <c r="D68" s="172" t="s">
        <v>596</v>
      </c>
      <c r="E68" s="171">
        <v>0.18</v>
      </c>
      <c r="F68" s="155">
        <v>1841</v>
      </c>
      <c r="G68" s="166">
        <f t="shared" si="10"/>
        <v>3977</v>
      </c>
    </row>
    <row r="69" spans="1:7" x14ac:dyDescent="0.2">
      <c r="A69" s="211">
        <f t="shared" si="0"/>
        <v>61</v>
      </c>
      <c r="B69" s="153" t="str">
        <f t="shared" si="11"/>
        <v>53E - Company Owned</v>
      </c>
      <c r="C69" s="161" t="s">
        <v>593</v>
      </c>
      <c r="D69" s="172" t="s">
        <v>597</v>
      </c>
      <c r="E69" s="171">
        <v>0.24</v>
      </c>
      <c r="F69" s="155">
        <v>1674</v>
      </c>
      <c r="G69" s="166">
        <f t="shared" si="10"/>
        <v>4821</v>
      </c>
    </row>
    <row r="70" spans="1:7" x14ac:dyDescent="0.2">
      <c r="A70" s="211">
        <f t="shared" si="0"/>
        <v>62</v>
      </c>
      <c r="B70" s="153" t="str">
        <f t="shared" si="11"/>
        <v>53E - Company Owned</v>
      </c>
      <c r="C70" s="161" t="s">
        <v>593</v>
      </c>
      <c r="D70" s="172" t="s">
        <v>598</v>
      </c>
      <c r="E70" s="171">
        <v>0.28999999999999998</v>
      </c>
      <c r="F70" s="155">
        <v>71</v>
      </c>
      <c r="G70" s="166">
        <f t="shared" si="10"/>
        <v>247</v>
      </c>
    </row>
    <row r="71" spans="1:7" x14ac:dyDescent="0.2">
      <c r="A71" s="211">
        <f t="shared" si="0"/>
        <v>63</v>
      </c>
      <c r="B71" s="153" t="str">
        <f t="shared" si="11"/>
        <v>53E - Company Owned</v>
      </c>
      <c r="C71" s="161" t="s">
        <v>593</v>
      </c>
      <c r="D71" s="172" t="s">
        <v>599</v>
      </c>
      <c r="E71" s="171">
        <v>0.34</v>
      </c>
      <c r="F71" s="155">
        <v>360</v>
      </c>
      <c r="G71" s="166">
        <f t="shared" si="10"/>
        <v>1469</v>
      </c>
    </row>
    <row r="72" spans="1:7" x14ac:dyDescent="0.2">
      <c r="A72" s="211">
        <f t="shared" si="0"/>
        <v>64</v>
      </c>
      <c r="B72" s="153" t="str">
        <f t="shared" si="11"/>
        <v>53E - Company Owned</v>
      </c>
      <c r="C72" s="161" t="s">
        <v>593</v>
      </c>
      <c r="D72" s="172" t="s">
        <v>600</v>
      </c>
      <c r="E72" s="171">
        <v>0.39</v>
      </c>
      <c r="F72" s="155">
        <v>0</v>
      </c>
      <c r="G72" s="166">
        <f t="shared" si="10"/>
        <v>0</v>
      </c>
    </row>
    <row r="73" spans="1:7" x14ac:dyDescent="0.2">
      <c r="A73" s="211">
        <f t="shared" si="0"/>
        <v>65</v>
      </c>
      <c r="B73" s="153" t="str">
        <f t="shared" si="11"/>
        <v>53E - Company Owned</v>
      </c>
      <c r="C73" s="161" t="s">
        <v>593</v>
      </c>
      <c r="D73" s="172" t="s">
        <v>601</v>
      </c>
      <c r="E73" s="171">
        <v>0.45</v>
      </c>
      <c r="F73" s="155">
        <v>24</v>
      </c>
      <c r="G73" s="166">
        <f t="shared" si="10"/>
        <v>130</v>
      </c>
    </row>
    <row r="74" spans="1:7" x14ac:dyDescent="0.2">
      <c r="A74" s="211">
        <f t="shared" si="0"/>
        <v>66</v>
      </c>
      <c r="B74" s="153" t="str">
        <f t="shared" si="11"/>
        <v>53E - Company Owned</v>
      </c>
      <c r="C74" s="161" t="s">
        <v>593</v>
      </c>
      <c r="D74" s="172" t="s">
        <v>602</v>
      </c>
      <c r="E74" s="171">
        <v>0.5</v>
      </c>
      <c r="F74" s="155">
        <v>97</v>
      </c>
      <c r="G74" s="166">
        <f t="shared" si="10"/>
        <v>582</v>
      </c>
    </row>
    <row r="75" spans="1:7" x14ac:dyDescent="0.2">
      <c r="A75" s="211">
        <f t="shared" ref="A75:A138" si="12">A74+1</f>
        <v>67</v>
      </c>
      <c r="B75" s="153"/>
      <c r="C75" s="161"/>
      <c r="D75" s="161"/>
      <c r="E75" s="169"/>
      <c r="F75" s="155"/>
      <c r="G75" s="145"/>
    </row>
    <row r="76" spans="1:7" x14ac:dyDescent="0.2">
      <c r="A76" s="211">
        <f t="shared" si="12"/>
        <v>68</v>
      </c>
      <c r="B76" s="153" t="s">
        <v>608</v>
      </c>
      <c r="C76" s="161" t="s">
        <v>35</v>
      </c>
      <c r="D76" s="161">
        <v>50</v>
      </c>
      <c r="E76" s="171">
        <v>0.09</v>
      </c>
      <c r="F76" s="155">
        <v>0</v>
      </c>
      <c r="G76" s="166">
        <f t="shared" ref="G76:G84" si="13">ROUND(F76*E76*12,0)</f>
        <v>0</v>
      </c>
    </row>
    <row r="77" spans="1:7" x14ac:dyDescent="0.2">
      <c r="A77" s="211">
        <f t="shared" si="12"/>
        <v>69</v>
      </c>
      <c r="B77" s="153" t="str">
        <f t="shared" ref="B77:B84" si="14">+B76</f>
        <v>53E - Customer Owned</v>
      </c>
      <c r="C77" s="161" t="s">
        <v>35</v>
      </c>
      <c r="D77" s="161">
        <v>70</v>
      </c>
      <c r="E77" s="171">
        <v>0.12</v>
      </c>
      <c r="F77" s="155">
        <v>57</v>
      </c>
      <c r="G77" s="166">
        <f t="shared" si="13"/>
        <v>82</v>
      </c>
    </row>
    <row r="78" spans="1:7" x14ac:dyDescent="0.2">
      <c r="A78" s="211">
        <f t="shared" si="12"/>
        <v>70</v>
      </c>
      <c r="B78" s="153" t="str">
        <f t="shared" si="14"/>
        <v>53E - Customer Owned</v>
      </c>
      <c r="C78" s="161" t="s">
        <v>35</v>
      </c>
      <c r="D78" s="161">
        <v>100</v>
      </c>
      <c r="E78" s="171">
        <v>0.18</v>
      </c>
      <c r="F78" s="155">
        <v>284</v>
      </c>
      <c r="G78" s="166">
        <f t="shared" si="13"/>
        <v>613</v>
      </c>
    </row>
    <row r="79" spans="1:7" x14ac:dyDescent="0.2">
      <c r="A79" s="211">
        <f t="shared" si="12"/>
        <v>71</v>
      </c>
      <c r="B79" s="153" t="str">
        <f t="shared" si="14"/>
        <v>53E - Customer Owned</v>
      </c>
      <c r="C79" s="161" t="s">
        <v>35</v>
      </c>
      <c r="D79" s="161">
        <v>150</v>
      </c>
      <c r="E79" s="171">
        <v>0.26</v>
      </c>
      <c r="F79" s="155">
        <v>156</v>
      </c>
      <c r="G79" s="166">
        <f t="shared" si="13"/>
        <v>487</v>
      </c>
    </row>
    <row r="80" spans="1:7" x14ac:dyDescent="0.2">
      <c r="A80" s="211">
        <f t="shared" si="12"/>
        <v>72</v>
      </c>
      <c r="B80" s="153" t="str">
        <f t="shared" si="14"/>
        <v>53E - Customer Owned</v>
      </c>
      <c r="C80" s="161" t="s">
        <v>35</v>
      </c>
      <c r="D80" s="161">
        <v>200</v>
      </c>
      <c r="E80" s="171">
        <v>0.35</v>
      </c>
      <c r="F80" s="155">
        <v>438</v>
      </c>
      <c r="G80" s="166">
        <f t="shared" si="13"/>
        <v>1840</v>
      </c>
    </row>
    <row r="81" spans="1:7" x14ac:dyDescent="0.2">
      <c r="A81" s="211">
        <f t="shared" si="12"/>
        <v>73</v>
      </c>
      <c r="B81" s="153" t="str">
        <f t="shared" si="14"/>
        <v>53E - Customer Owned</v>
      </c>
      <c r="C81" s="161" t="s">
        <v>35</v>
      </c>
      <c r="D81" s="161">
        <v>250</v>
      </c>
      <c r="E81" s="171">
        <v>0.44</v>
      </c>
      <c r="F81" s="155">
        <v>353</v>
      </c>
      <c r="G81" s="166">
        <f t="shared" si="13"/>
        <v>1864</v>
      </c>
    </row>
    <row r="82" spans="1:7" x14ac:dyDescent="0.2">
      <c r="A82" s="211">
        <f t="shared" si="12"/>
        <v>74</v>
      </c>
      <c r="B82" s="153" t="str">
        <f t="shared" si="14"/>
        <v>53E - Customer Owned</v>
      </c>
      <c r="C82" s="161" t="s">
        <v>35</v>
      </c>
      <c r="D82" s="161">
        <v>310</v>
      </c>
      <c r="E82" s="171">
        <v>0.54</v>
      </c>
      <c r="F82" s="155">
        <v>7</v>
      </c>
      <c r="G82" s="166">
        <f t="shared" si="13"/>
        <v>45</v>
      </c>
    </row>
    <row r="83" spans="1:7" x14ac:dyDescent="0.2">
      <c r="A83" s="211">
        <f t="shared" si="12"/>
        <v>75</v>
      </c>
      <c r="B83" s="153" t="str">
        <f t="shared" si="14"/>
        <v>53E - Customer Owned</v>
      </c>
      <c r="C83" s="161" t="s">
        <v>35</v>
      </c>
      <c r="D83" s="161">
        <v>400</v>
      </c>
      <c r="E83" s="171">
        <v>0.7</v>
      </c>
      <c r="F83" s="155">
        <v>537</v>
      </c>
      <c r="G83" s="166">
        <f t="shared" si="13"/>
        <v>4511</v>
      </c>
    </row>
    <row r="84" spans="1:7" x14ac:dyDescent="0.2">
      <c r="A84" s="211">
        <f t="shared" si="12"/>
        <v>76</v>
      </c>
      <c r="B84" s="153" t="str">
        <f t="shared" si="14"/>
        <v>53E - Customer Owned</v>
      </c>
      <c r="C84" s="161" t="s">
        <v>35</v>
      </c>
      <c r="D84" s="161">
        <v>1000</v>
      </c>
      <c r="E84" s="171">
        <v>1.75</v>
      </c>
      <c r="F84" s="155">
        <v>0</v>
      </c>
      <c r="G84" s="166">
        <f t="shared" si="13"/>
        <v>0</v>
      </c>
    </row>
    <row r="85" spans="1:7" x14ac:dyDescent="0.2">
      <c r="A85" s="211">
        <f t="shared" si="12"/>
        <v>77</v>
      </c>
      <c r="B85" s="153"/>
      <c r="C85" s="161"/>
      <c r="D85" s="161"/>
      <c r="E85" s="169"/>
      <c r="F85" s="155"/>
      <c r="G85" s="145"/>
    </row>
    <row r="86" spans="1:7" x14ac:dyDescent="0.2">
      <c r="A86" s="211">
        <f t="shared" si="12"/>
        <v>78</v>
      </c>
      <c r="B86" s="153" t="str">
        <f>+B84</f>
        <v>53E - Customer Owned</v>
      </c>
      <c r="C86" s="161" t="s">
        <v>605</v>
      </c>
      <c r="D86" s="161">
        <v>70</v>
      </c>
      <c r="E86" s="171">
        <v>0.12</v>
      </c>
      <c r="F86" s="155">
        <v>0</v>
      </c>
      <c r="G86" s="166">
        <f t="shared" ref="G86:G91" si="15">ROUND(F86*E86*12,0)</f>
        <v>0</v>
      </c>
    </row>
    <row r="87" spans="1:7" x14ac:dyDescent="0.2">
      <c r="A87" s="211">
        <f t="shared" si="12"/>
        <v>79</v>
      </c>
      <c r="B87" s="153" t="str">
        <f>+B86</f>
        <v>53E - Customer Owned</v>
      </c>
      <c r="C87" s="161" t="s">
        <v>605</v>
      </c>
      <c r="D87" s="161">
        <v>100</v>
      </c>
      <c r="E87" s="171">
        <v>0.18</v>
      </c>
      <c r="F87" s="155">
        <v>0</v>
      </c>
      <c r="G87" s="166">
        <f t="shared" si="15"/>
        <v>0</v>
      </c>
    </row>
    <row r="88" spans="1:7" x14ac:dyDescent="0.2">
      <c r="A88" s="211">
        <f t="shared" si="12"/>
        <v>80</v>
      </c>
      <c r="B88" s="153" t="str">
        <f>+B87</f>
        <v>53E - Customer Owned</v>
      </c>
      <c r="C88" s="161" t="s">
        <v>605</v>
      </c>
      <c r="D88" s="161">
        <v>150</v>
      </c>
      <c r="E88" s="171">
        <v>0.26</v>
      </c>
      <c r="F88" s="155">
        <v>0</v>
      </c>
      <c r="G88" s="166">
        <f t="shared" si="15"/>
        <v>0</v>
      </c>
    </row>
    <row r="89" spans="1:7" x14ac:dyDescent="0.2">
      <c r="A89" s="211">
        <f t="shared" si="12"/>
        <v>81</v>
      </c>
      <c r="B89" s="153" t="str">
        <f>+B88</f>
        <v>53E - Customer Owned</v>
      </c>
      <c r="C89" s="161" t="s">
        <v>605</v>
      </c>
      <c r="D89" s="161">
        <v>175</v>
      </c>
      <c r="E89" s="171">
        <v>0.31</v>
      </c>
      <c r="F89" s="155">
        <v>4</v>
      </c>
      <c r="G89" s="166">
        <f t="shared" si="15"/>
        <v>15</v>
      </c>
    </row>
    <row r="90" spans="1:7" x14ac:dyDescent="0.2">
      <c r="A90" s="211">
        <f t="shared" si="12"/>
        <v>82</v>
      </c>
      <c r="B90" s="153" t="str">
        <f>+B89</f>
        <v>53E - Customer Owned</v>
      </c>
      <c r="C90" s="161" t="s">
        <v>605</v>
      </c>
      <c r="D90" s="161">
        <v>250</v>
      </c>
      <c r="E90" s="171">
        <v>0.44</v>
      </c>
      <c r="F90" s="155">
        <v>0</v>
      </c>
      <c r="G90" s="166">
        <f t="shared" si="15"/>
        <v>0</v>
      </c>
    </row>
    <row r="91" spans="1:7" x14ac:dyDescent="0.2">
      <c r="A91" s="211">
        <f t="shared" si="12"/>
        <v>83</v>
      </c>
      <c r="B91" s="153" t="str">
        <f>+B90</f>
        <v>53E - Customer Owned</v>
      </c>
      <c r="C91" s="161" t="s">
        <v>605</v>
      </c>
      <c r="D91" s="161">
        <v>400</v>
      </c>
      <c r="E91" s="171">
        <v>0.7</v>
      </c>
      <c r="F91" s="155">
        <v>0</v>
      </c>
      <c r="G91" s="166">
        <f t="shared" si="15"/>
        <v>0</v>
      </c>
    </row>
    <row r="92" spans="1:7" x14ac:dyDescent="0.2">
      <c r="A92" s="211">
        <f t="shared" si="12"/>
        <v>84</v>
      </c>
      <c r="B92" s="153"/>
      <c r="C92" s="161"/>
      <c r="D92" s="161"/>
      <c r="E92" s="169"/>
      <c r="F92" s="155"/>
      <c r="G92" s="145"/>
    </row>
    <row r="93" spans="1:7" x14ac:dyDescent="0.2">
      <c r="A93" s="211">
        <f t="shared" si="12"/>
        <v>85</v>
      </c>
      <c r="B93" s="153" t="str">
        <f>+B91</f>
        <v>53E - Customer Owned</v>
      </c>
      <c r="C93" s="161" t="s">
        <v>593</v>
      </c>
      <c r="D93" s="172" t="s">
        <v>594</v>
      </c>
      <c r="E93" s="171">
        <v>0.08</v>
      </c>
      <c r="F93" s="155">
        <v>630</v>
      </c>
      <c r="G93" s="166">
        <f t="shared" ref="G93:G101" si="16">ROUND(F93*E93*12,0)</f>
        <v>605</v>
      </c>
    </row>
    <row r="94" spans="1:7" x14ac:dyDescent="0.2">
      <c r="A94" s="211">
        <f t="shared" si="12"/>
        <v>86</v>
      </c>
      <c r="B94" s="153" t="str">
        <f>B93</f>
        <v>53E - Customer Owned</v>
      </c>
      <c r="C94" s="161" t="s">
        <v>593</v>
      </c>
      <c r="D94" s="172" t="s">
        <v>595</v>
      </c>
      <c r="E94" s="171">
        <v>0.13</v>
      </c>
      <c r="F94" s="155">
        <v>612</v>
      </c>
      <c r="G94" s="166">
        <f t="shared" si="16"/>
        <v>955</v>
      </c>
    </row>
    <row r="95" spans="1:7" x14ac:dyDescent="0.2">
      <c r="A95" s="211">
        <f t="shared" si="12"/>
        <v>87</v>
      </c>
      <c r="B95" s="153" t="str">
        <f t="shared" ref="B95:B101" si="17">B94</f>
        <v>53E - Customer Owned</v>
      </c>
      <c r="C95" s="161" t="s">
        <v>593</v>
      </c>
      <c r="D95" s="172" t="s">
        <v>596</v>
      </c>
      <c r="E95" s="171">
        <v>0.18</v>
      </c>
      <c r="F95" s="155">
        <v>863</v>
      </c>
      <c r="G95" s="166">
        <f t="shared" si="16"/>
        <v>1864</v>
      </c>
    </row>
    <row r="96" spans="1:7" x14ac:dyDescent="0.2">
      <c r="A96" s="211">
        <f t="shared" si="12"/>
        <v>88</v>
      </c>
      <c r="B96" s="153" t="str">
        <f t="shared" si="17"/>
        <v>53E - Customer Owned</v>
      </c>
      <c r="C96" s="161" t="s">
        <v>593</v>
      </c>
      <c r="D96" s="172" t="s">
        <v>597</v>
      </c>
      <c r="E96" s="171">
        <v>0.24</v>
      </c>
      <c r="F96" s="155">
        <v>64</v>
      </c>
      <c r="G96" s="166">
        <f t="shared" si="16"/>
        <v>184</v>
      </c>
    </row>
    <row r="97" spans="1:7" x14ac:dyDescent="0.2">
      <c r="A97" s="211">
        <f t="shared" si="12"/>
        <v>89</v>
      </c>
      <c r="B97" s="153" t="str">
        <f t="shared" si="17"/>
        <v>53E - Customer Owned</v>
      </c>
      <c r="C97" s="161" t="s">
        <v>593</v>
      </c>
      <c r="D97" s="172" t="s">
        <v>598</v>
      </c>
      <c r="E97" s="171">
        <v>0.28999999999999998</v>
      </c>
      <c r="F97" s="155">
        <v>1315</v>
      </c>
      <c r="G97" s="166">
        <f t="shared" si="16"/>
        <v>4576</v>
      </c>
    </row>
    <row r="98" spans="1:7" x14ac:dyDescent="0.2">
      <c r="A98" s="211">
        <f t="shared" si="12"/>
        <v>90</v>
      </c>
      <c r="B98" s="153" t="str">
        <f t="shared" si="17"/>
        <v>53E - Customer Owned</v>
      </c>
      <c r="C98" s="161" t="s">
        <v>593</v>
      </c>
      <c r="D98" s="172" t="s">
        <v>599</v>
      </c>
      <c r="E98" s="171">
        <v>0.34</v>
      </c>
      <c r="F98" s="155">
        <v>90</v>
      </c>
      <c r="G98" s="166">
        <f t="shared" si="16"/>
        <v>367</v>
      </c>
    </row>
    <row r="99" spans="1:7" x14ac:dyDescent="0.2">
      <c r="A99" s="211">
        <f t="shared" si="12"/>
        <v>91</v>
      </c>
      <c r="B99" s="153" t="str">
        <f t="shared" si="17"/>
        <v>53E - Customer Owned</v>
      </c>
      <c r="C99" s="161" t="s">
        <v>593</v>
      </c>
      <c r="D99" s="172" t="s">
        <v>600</v>
      </c>
      <c r="E99" s="171">
        <v>0.39</v>
      </c>
      <c r="F99" s="155">
        <v>0</v>
      </c>
      <c r="G99" s="166">
        <f t="shared" si="16"/>
        <v>0</v>
      </c>
    </row>
    <row r="100" spans="1:7" x14ac:dyDescent="0.2">
      <c r="A100" s="211">
        <f t="shared" si="12"/>
        <v>92</v>
      </c>
      <c r="B100" s="153" t="str">
        <f t="shared" si="17"/>
        <v>53E - Customer Owned</v>
      </c>
      <c r="C100" s="161" t="s">
        <v>593</v>
      </c>
      <c r="D100" s="172" t="s">
        <v>601</v>
      </c>
      <c r="E100" s="171">
        <v>0.45</v>
      </c>
      <c r="F100" s="155">
        <v>0</v>
      </c>
      <c r="G100" s="166">
        <f t="shared" si="16"/>
        <v>0</v>
      </c>
    </row>
    <row r="101" spans="1:7" x14ac:dyDescent="0.2">
      <c r="A101" s="211">
        <f t="shared" si="12"/>
        <v>93</v>
      </c>
      <c r="B101" s="153" t="str">
        <f t="shared" si="17"/>
        <v>53E - Customer Owned</v>
      </c>
      <c r="C101" s="161" t="s">
        <v>593</v>
      </c>
      <c r="D101" s="172" t="s">
        <v>602</v>
      </c>
      <c r="E101" s="171">
        <v>0.5</v>
      </c>
      <c r="F101" s="155">
        <v>0</v>
      </c>
      <c r="G101" s="166">
        <f t="shared" si="16"/>
        <v>0</v>
      </c>
    </row>
    <row r="102" spans="1:7" x14ac:dyDescent="0.2">
      <c r="A102" s="211">
        <f t="shared" si="12"/>
        <v>94</v>
      </c>
      <c r="B102" s="162"/>
      <c r="C102" s="161"/>
      <c r="D102" s="161"/>
      <c r="E102" s="169"/>
      <c r="F102" s="155"/>
      <c r="G102" s="145"/>
    </row>
    <row r="103" spans="1:7" x14ac:dyDescent="0.2">
      <c r="A103" s="211">
        <f t="shared" si="12"/>
        <v>95</v>
      </c>
      <c r="B103" s="152" t="s">
        <v>609</v>
      </c>
      <c r="C103" s="152"/>
      <c r="D103" s="152"/>
      <c r="E103" s="169"/>
      <c r="F103" s="155"/>
      <c r="G103" s="145"/>
    </row>
    <row r="104" spans="1:7" x14ac:dyDescent="0.2">
      <c r="A104" s="211">
        <f t="shared" si="12"/>
        <v>96</v>
      </c>
      <c r="B104" s="153" t="s">
        <v>610</v>
      </c>
      <c r="C104" s="161" t="s">
        <v>35</v>
      </c>
      <c r="D104" s="161">
        <v>50</v>
      </c>
      <c r="E104" s="171">
        <v>0.09</v>
      </c>
      <c r="F104" s="155">
        <v>38</v>
      </c>
      <c r="G104" s="166">
        <f t="shared" ref="G104:G112" si="18">ROUND(F104*E104*12,0)</f>
        <v>41</v>
      </c>
    </row>
    <row r="105" spans="1:7" x14ac:dyDescent="0.2">
      <c r="A105" s="211">
        <f t="shared" si="12"/>
        <v>97</v>
      </c>
      <c r="B105" s="153" t="str">
        <f t="shared" ref="B105:B112" si="19">+B104</f>
        <v>54E</v>
      </c>
      <c r="C105" s="161" t="s">
        <v>35</v>
      </c>
      <c r="D105" s="161">
        <v>70</v>
      </c>
      <c r="E105" s="171">
        <v>0.12</v>
      </c>
      <c r="F105" s="155">
        <v>761</v>
      </c>
      <c r="G105" s="166">
        <f t="shared" si="18"/>
        <v>1096</v>
      </c>
    </row>
    <row r="106" spans="1:7" x14ac:dyDescent="0.2">
      <c r="A106" s="211">
        <f t="shared" si="12"/>
        <v>98</v>
      </c>
      <c r="B106" s="153" t="str">
        <f t="shared" si="19"/>
        <v>54E</v>
      </c>
      <c r="C106" s="161" t="s">
        <v>35</v>
      </c>
      <c r="D106" s="161">
        <v>100</v>
      </c>
      <c r="E106" s="171">
        <v>0.18</v>
      </c>
      <c r="F106" s="155">
        <v>1718</v>
      </c>
      <c r="G106" s="166">
        <f t="shared" si="18"/>
        <v>3711</v>
      </c>
    </row>
    <row r="107" spans="1:7" x14ac:dyDescent="0.2">
      <c r="A107" s="211">
        <f t="shared" si="12"/>
        <v>99</v>
      </c>
      <c r="B107" s="153" t="str">
        <f t="shared" si="19"/>
        <v>54E</v>
      </c>
      <c r="C107" s="161" t="s">
        <v>35</v>
      </c>
      <c r="D107" s="161">
        <v>150</v>
      </c>
      <c r="E107" s="171">
        <v>0.26</v>
      </c>
      <c r="F107" s="155">
        <v>516</v>
      </c>
      <c r="G107" s="166">
        <f t="shared" si="18"/>
        <v>1610</v>
      </c>
    </row>
    <row r="108" spans="1:7" x14ac:dyDescent="0.2">
      <c r="A108" s="211">
        <f t="shared" si="12"/>
        <v>100</v>
      </c>
      <c r="B108" s="153" t="str">
        <f t="shared" si="19"/>
        <v>54E</v>
      </c>
      <c r="C108" s="161" t="s">
        <v>35</v>
      </c>
      <c r="D108" s="161">
        <v>200</v>
      </c>
      <c r="E108" s="171">
        <v>0.35</v>
      </c>
      <c r="F108" s="155">
        <v>680</v>
      </c>
      <c r="G108" s="166">
        <f t="shared" si="18"/>
        <v>2856</v>
      </c>
    </row>
    <row r="109" spans="1:7" x14ac:dyDescent="0.2">
      <c r="A109" s="211">
        <f t="shared" si="12"/>
        <v>101</v>
      </c>
      <c r="B109" s="153" t="str">
        <f t="shared" si="19"/>
        <v>54E</v>
      </c>
      <c r="C109" s="161" t="s">
        <v>35</v>
      </c>
      <c r="D109" s="161">
        <v>250</v>
      </c>
      <c r="E109" s="171">
        <v>0.44</v>
      </c>
      <c r="F109" s="155">
        <v>1535</v>
      </c>
      <c r="G109" s="166">
        <f t="shared" si="18"/>
        <v>8105</v>
      </c>
    </row>
    <row r="110" spans="1:7" x14ac:dyDescent="0.2">
      <c r="A110" s="211">
        <f t="shared" si="12"/>
        <v>102</v>
      </c>
      <c r="B110" s="153" t="str">
        <f t="shared" si="19"/>
        <v>54E</v>
      </c>
      <c r="C110" s="161" t="s">
        <v>35</v>
      </c>
      <c r="D110" s="161">
        <v>310</v>
      </c>
      <c r="E110" s="171">
        <v>0.54</v>
      </c>
      <c r="F110" s="155">
        <v>77</v>
      </c>
      <c r="G110" s="166">
        <f t="shared" si="18"/>
        <v>499</v>
      </c>
    </row>
    <row r="111" spans="1:7" x14ac:dyDescent="0.2">
      <c r="A111" s="211">
        <f t="shared" si="12"/>
        <v>103</v>
      </c>
      <c r="B111" s="153" t="str">
        <f t="shared" si="19"/>
        <v>54E</v>
      </c>
      <c r="C111" s="161" t="s">
        <v>35</v>
      </c>
      <c r="D111" s="161">
        <v>400</v>
      </c>
      <c r="E111" s="171">
        <v>0.7</v>
      </c>
      <c r="F111" s="155">
        <v>755</v>
      </c>
      <c r="G111" s="166">
        <f t="shared" si="18"/>
        <v>6342</v>
      </c>
    </row>
    <row r="112" spans="1:7" x14ac:dyDescent="0.2">
      <c r="A112" s="211">
        <f t="shared" si="12"/>
        <v>104</v>
      </c>
      <c r="B112" s="153" t="str">
        <f t="shared" si="19"/>
        <v>54E</v>
      </c>
      <c r="C112" s="161" t="s">
        <v>35</v>
      </c>
      <c r="D112" s="161">
        <v>1000</v>
      </c>
      <c r="E112" s="171">
        <v>1.75</v>
      </c>
      <c r="F112" s="155">
        <v>11</v>
      </c>
      <c r="G112" s="166">
        <f t="shared" si="18"/>
        <v>231</v>
      </c>
    </row>
    <row r="113" spans="1:7" x14ac:dyDescent="0.2">
      <c r="A113" s="211">
        <f t="shared" si="12"/>
        <v>105</v>
      </c>
      <c r="B113" s="162"/>
      <c r="C113" s="161"/>
      <c r="D113" s="161"/>
      <c r="E113" s="169"/>
      <c r="F113" s="155"/>
      <c r="G113" s="145"/>
    </row>
    <row r="114" spans="1:7" x14ac:dyDescent="0.2">
      <c r="A114" s="211">
        <f t="shared" si="12"/>
        <v>106</v>
      </c>
      <c r="B114" s="162"/>
      <c r="C114" s="161"/>
      <c r="D114" s="161"/>
      <c r="E114" s="169"/>
      <c r="F114" s="155"/>
      <c r="G114" s="145"/>
    </row>
    <row r="115" spans="1:7" x14ac:dyDescent="0.2">
      <c r="A115" s="211">
        <f t="shared" si="12"/>
        <v>107</v>
      </c>
      <c r="B115" s="153" t="str">
        <f>+B112</f>
        <v>54E</v>
      </c>
      <c r="C115" s="161" t="s">
        <v>593</v>
      </c>
      <c r="D115" s="172" t="s">
        <v>594</v>
      </c>
      <c r="E115" s="171">
        <v>0.08</v>
      </c>
      <c r="F115" s="155">
        <v>1451</v>
      </c>
      <c r="G115" s="166">
        <f t="shared" ref="G115:G123" si="20">ROUND(F115*E115*12,0)</f>
        <v>1393</v>
      </c>
    </row>
    <row r="116" spans="1:7" x14ac:dyDescent="0.2">
      <c r="A116" s="211">
        <f t="shared" si="12"/>
        <v>108</v>
      </c>
      <c r="B116" s="153" t="str">
        <f t="shared" ref="B116:B123" si="21">+B115</f>
        <v>54E</v>
      </c>
      <c r="C116" s="161" t="s">
        <v>593</v>
      </c>
      <c r="D116" s="172" t="s">
        <v>595</v>
      </c>
      <c r="E116" s="171">
        <v>0.13</v>
      </c>
      <c r="F116" s="155">
        <v>0</v>
      </c>
      <c r="G116" s="166">
        <f t="shared" si="20"/>
        <v>0</v>
      </c>
    </row>
    <row r="117" spans="1:7" x14ac:dyDescent="0.2">
      <c r="A117" s="211">
        <f t="shared" si="12"/>
        <v>109</v>
      </c>
      <c r="B117" s="153" t="str">
        <f t="shared" si="21"/>
        <v>54E</v>
      </c>
      <c r="C117" s="161" t="s">
        <v>593</v>
      </c>
      <c r="D117" s="172" t="s">
        <v>596</v>
      </c>
      <c r="E117" s="171">
        <v>0.18</v>
      </c>
      <c r="F117" s="155">
        <v>1702</v>
      </c>
      <c r="G117" s="166">
        <f t="shared" si="20"/>
        <v>3676</v>
      </c>
    </row>
    <row r="118" spans="1:7" x14ac:dyDescent="0.2">
      <c r="A118" s="211">
        <f t="shared" si="12"/>
        <v>110</v>
      </c>
      <c r="B118" s="153" t="str">
        <f t="shared" si="21"/>
        <v>54E</v>
      </c>
      <c r="C118" s="161" t="s">
        <v>593</v>
      </c>
      <c r="D118" s="172" t="s">
        <v>597</v>
      </c>
      <c r="E118" s="171">
        <v>0.24</v>
      </c>
      <c r="F118" s="155">
        <v>796</v>
      </c>
      <c r="G118" s="166">
        <f t="shared" si="20"/>
        <v>2292</v>
      </c>
    </row>
    <row r="119" spans="1:7" x14ac:dyDescent="0.2">
      <c r="A119" s="211">
        <f t="shared" si="12"/>
        <v>111</v>
      </c>
      <c r="B119" s="153" t="str">
        <f t="shared" si="21"/>
        <v>54E</v>
      </c>
      <c r="C119" s="161" t="s">
        <v>593</v>
      </c>
      <c r="D119" s="172" t="s">
        <v>598</v>
      </c>
      <c r="E119" s="171">
        <v>0.28999999999999998</v>
      </c>
      <c r="F119" s="155">
        <v>316</v>
      </c>
      <c r="G119" s="166">
        <f t="shared" si="20"/>
        <v>1100</v>
      </c>
    </row>
    <row r="120" spans="1:7" x14ac:dyDescent="0.2">
      <c r="A120" s="211">
        <f t="shared" si="12"/>
        <v>112</v>
      </c>
      <c r="B120" s="153" t="str">
        <f t="shared" si="21"/>
        <v>54E</v>
      </c>
      <c r="C120" s="161" t="s">
        <v>593</v>
      </c>
      <c r="D120" s="172" t="s">
        <v>599</v>
      </c>
      <c r="E120" s="171">
        <v>0.34</v>
      </c>
      <c r="F120" s="155">
        <v>4</v>
      </c>
      <c r="G120" s="166">
        <f t="shared" si="20"/>
        <v>16</v>
      </c>
    </row>
    <row r="121" spans="1:7" x14ac:dyDescent="0.2">
      <c r="A121" s="211">
        <f t="shared" si="12"/>
        <v>113</v>
      </c>
      <c r="B121" s="153" t="str">
        <f t="shared" si="21"/>
        <v>54E</v>
      </c>
      <c r="C121" s="161" t="s">
        <v>593</v>
      </c>
      <c r="D121" s="172" t="s">
        <v>600</v>
      </c>
      <c r="E121" s="171">
        <v>0.39</v>
      </c>
      <c r="F121" s="155">
        <v>0</v>
      </c>
      <c r="G121" s="166">
        <f t="shared" si="20"/>
        <v>0</v>
      </c>
    </row>
    <row r="122" spans="1:7" x14ac:dyDescent="0.2">
      <c r="A122" s="211">
        <f t="shared" si="12"/>
        <v>114</v>
      </c>
      <c r="B122" s="153" t="str">
        <f t="shared" si="21"/>
        <v>54E</v>
      </c>
      <c r="C122" s="161" t="s">
        <v>593</v>
      </c>
      <c r="D122" s="172" t="s">
        <v>601</v>
      </c>
      <c r="E122" s="171">
        <v>0.45</v>
      </c>
      <c r="F122" s="155">
        <v>0</v>
      </c>
      <c r="G122" s="166">
        <f t="shared" si="20"/>
        <v>0</v>
      </c>
    </row>
    <row r="123" spans="1:7" x14ac:dyDescent="0.2">
      <c r="A123" s="211">
        <f t="shared" si="12"/>
        <v>115</v>
      </c>
      <c r="B123" s="153" t="str">
        <f t="shared" si="21"/>
        <v>54E</v>
      </c>
      <c r="C123" s="161" t="s">
        <v>593</v>
      </c>
      <c r="D123" s="172" t="s">
        <v>602</v>
      </c>
      <c r="E123" s="171">
        <v>0.5</v>
      </c>
      <c r="F123" s="155">
        <v>0</v>
      </c>
      <c r="G123" s="166">
        <f t="shared" si="20"/>
        <v>0</v>
      </c>
    </row>
    <row r="124" spans="1:7" x14ac:dyDescent="0.2">
      <c r="A124" s="211">
        <f t="shared" si="12"/>
        <v>116</v>
      </c>
      <c r="B124" s="162"/>
      <c r="C124" s="161"/>
      <c r="D124" s="161"/>
      <c r="E124" s="169"/>
      <c r="F124" s="155"/>
      <c r="G124" s="145"/>
    </row>
    <row r="125" spans="1:7" x14ac:dyDescent="0.2">
      <c r="A125" s="211">
        <f t="shared" si="12"/>
        <v>117</v>
      </c>
      <c r="B125" s="152" t="s">
        <v>611</v>
      </c>
      <c r="C125" s="161"/>
      <c r="D125" s="161"/>
      <c r="E125" s="169"/>
      <c r="F125" s="155"/>
      <c r="G125" s="145"/>
    </row>
    <row r="126" spans="1:7" x14ac:dyDescent="0.2">
      <c r="A126" s="211">
        <f t="shared" si="12"/>
        <v>118</v>
      </c>
      <c r="B126" s="153" t="s">
        <v>612</v>
      </c>
      <c r="C126" s="161" t="s">
        <v>35</v>
      </c>
      <c r="D126" s="161">
        <v>70</v>
      </c>
      <c r="E126" s="171">
        <v>0.12</v>
      </c>
      <c r="F126" s="155">
        <v>17</v>
      </c>
      <c r="G126" s="166">
        <f t="shared" ref="G126:G131" si="22">ROUND(F126*E126*12,0)</f>
        <v>24</v>
      </c>
    </row>
    <row r="127" spans="1:7" x14ac:dyDescent="0.2">
      <c r="A127" s="211">
        <f t="shared" si="12"/>
        <v>119</v>
      </c>
      <c r="B127" s="162" t="str">
        <f>+B126</f>
        <v>55E &amp; 56E</v>
      </c>
      <c r="C127" s="161" t="s">
        <v>35</v>
      </c>
      <c r="D127" s="161">
        <v>100</v>
      </c>
      <c r="E127" s="171">
        <v>0.18</v>
      </c>
      <c r="F127" s="155">
        <v>4030</v>
      </c>
      <c r="G127" s="166">
        <f t="shared" si="22"/>
        <v>8705</v>
      </c>
    </row>
    <row r="128" spans="1:7" x14ac:dyDescent="0.2">
      <c r="A128" s="211">
        <f t="shared" si="12"/>
        <v>120</v>
      </c>
      <c r="B128" s="162" t="str">
        <f>+B127</f>
        <v>55E &amp; 56E</v>
      </c>
      <c r="C128" s="161" t="s">
        <v>35</v>
      </c>
      <c r="D128" s="161">
        <v>150</v>
      </c>
      <c r="E128" s="171">
        <v>0.27</v>
      </c>
      <c r="F128" s="155">
        <v>532</v>
      </c>
      <c r="G128" s="166">
        <f t="shared" si="22"/>
        <v>1724</v>
      </c>
    </row>
    <row r="129" spans="1:7" x14ac:dyDescent="0.2">
      <c r="A129" s="211">
        <f t="shared" si="12"/>
        <v>121</v>
      </c>
      <c r="B129" s="162" t="str">
        <f>+B128</f>
        <v>55E &amp; 56E</v>
      </c>
      <c r="C129" s="161" t="s">
        <v>35</v>
      </c>
      <c r="D129" s="161">
        <v>200</v>
      </c>
      <c r="E129" s="171">
        <v>0.35</v>
      </c>
      <c r="F129" s="155">
        <v>1143</v>
      </c>
      <c r="G129" s="166">
        <f t="shared" si="22"/>
        <v>4801</v>
      </c>
    </row>
    <row r="130" spans="1:7" x14ac:dyDescent="0.2">
      <c r="A130" s="211">
        <f t="shared" si="12"/>
        <v>122</v>
      </c>
      <c r="B130" s="162" t="str">
        <f>+B129</f>
        <v>55E &amp; 56E</v>
      </c>
      <c r="C130" s="161" t="s">
        <v>35</v>
      </c>
      <c r="D130" s="161">
        <v>250</v>
      </c>
      <c r="E130" s="171">
        <v>0.44</v>
      </c>
      <c r="F130" s="155">
        <v>120</v>
      </c>
      <c r="G130" s="166">
        <f t="shared" si="22"/>
        <v>634</v>
      </c>
    </row>
    <row r="131" spans="1:7" x14ac:dyDescent="0.2">
      <c r="A131" s="211">
        <f t="shared" si="12"/>
        <v>123</v>
      </c>
      <c r="B131" s="162" t="str">
        <f>+B130</f>
        <v>55E &amp; 56E</v>
      </c>
      <c r="C131" s="161" t="s">
        <v>35</v>
      </c>
      <c r="D131" s="161">
        <v>400</v>
      </c>
      <c r="E131" s="171">
        <v>0.71</v>
      </c>
      <c r="F131" s="155">
        <v>50</v>
      </c>
      <c r="G131" s="166">
        <f t="shared" si="22"/>
        <v>426</v>
      </c>
    </row>
    <row r="132" spans="1:7" x14ac:dyDescent="0.2">
      <c r="A132" s="211">
        <f t="shared" si="12"/>
        <v>124</v>
      </c>
      <c r="B132" s="162"/>
      <c r="C132" s="161"/>
      <c r="D132" s="161"/>
      <c r="E132" s="169"/>
      <c r="F132" s="155"/>
      <c r="G132" s="145"/>
    </row>
    <row r="133" spans="1:7" x14ac:dyDescent="0.2">
      <c r="A133" s="211">
        <f t="shared" si="12"/>
        <v>125</v>
      </c>
      <c r="B133" s="162" t="str">
        <f>+B131</f>
        <v>55E &amp; 56E</v>
      </c>
      <c r="C133" s="161" t="s">
        <v>605</v>
      </c>
      <c r="D133" s="161">
        <v>250</v>
      </c>
      <c r="E133" s="171">
        <v>0.44</v>
      </c>
      <c r="F133" s="155">
        <v>6</v>
      </c>
      <c r="G133" s="166">
        <f>ROUND(F133*E133*12,0)</f>
        <v>32</v>
      </c>
    </row>
    <row r="134" spans="1:7" x14ac:dyDescent="0.2">
      <c r="A134" s="211">
        <f t="shared" si="12"/>
        <v>126</v>
      </c>
      <c r="B134" s="162"/>
      <c r="C134" s="161"/>
      <c r="D134" s="161"/>
      <c r="E134" s="169"/>
      <c r="F134" s="155"/>
      <c r="G134" s="145"/>
    </row>
    <row r="135" spans="1:7" x14ac:dyDescent="0.2">
      <c r="A135" s="211">
        <f t="shared" si="12"/>
        <v>127</v>
      </c>
      <c r="B135" s="162" t="s">
        <v>612</v>
      </c>
      <c r="C135" s="161" t="s">
        <v>593</v>
      </c>
      <c r="D135" s="172" t="s">
        <v>594</v>
      </c>
      <c r="E135" s="171">
        <v>0.08</v>
      </c>
      <c r="F135" s="155">
        <v>310</v>
      </c>
      <c r="G135" s="166">
        <f t="shared" ref="G135:G143" si="23">ROUND(F135*E135*12,0)</f>
        <v>298</v>
      </c>
    </row>
    <row r="136" spans="1:7" x14ac:dyDescent="0.2">
      <c r="A136" s="211">
        <f t="shared" si="12"/>
        <v>128</v>
      </c>
      <c r="B136" s="162" t="s">
        <v>612</v>
      </c>
      <c r="C136" s="161" t="s">
        <v>593</v>
      </c>
      <c r="D136" s="172" t="s">
        <v>595</v>
      </c>
      <c r="E136" s="171">
        <v>0.13</v>
      </c>
      <c r="F136" s="155">
        <v>0</v>
      </c>
      <c r="G136" s="166">
        <f t="shared" si="23"/>
        <v>0</v>
      </c>
    </row>
    <row r="137" spans="1:7" x14ac:dyDescent="0.2">
      <c r="A137" s="211">
        <f t="shared" si="12"/>
        <v>129</v>
      </c>
      <c r="B137" s="162" t="s">
        <v>612</v>
      </c>
      <c r="C137" s="161" t="s">
        <v>593</v>
      </c>
      <c r="D137" s="172" t="s">
        <v>596</v>
      </c>
      <c r="E137" s="171">
        <v>0.19</v>
      </c>
      <c r="F137" s="155">
        <v>91</v>
      </c>
      <c r="G137" s="166">
        <f t="shared" si="23"/>
        <v>207</v>
      </c>
    </row>
    <row r="138" spans="1:7" x14ac:dyDescent="0.2">
      <c r="A138" s="211">
        <f t="shared" si="12"/>
        <v>130</v>
      </c>
      <c r="B138" s="162" t="s">
        <v>612</v>
      </c>
      <c r="C138" s="161" t="s">
        <v>593</v>
      </c>
      <c r="D138" s="172" t="s">
        <v>597</v>
      </c>
      <c r="E138" s="171">
        <v>0.24</v>
      </c>
      <c r="F138" s="155">
        <v>0</v>
      </c>
      <c r="G138" s="166">
        <f t="shared" si="23"/>
        <v>0</v>
      </c>
    </row>
    <row r="139" spans="1:7" x14ac:dyDescent="0.2">
      <c r="A139" s="211">
        <f t="shared" ref="A139:A195" si="24">A138+1</f>
        <v>131</v>
      </c>
      <c r="B139" s="162" t="s">
        <v>612</v>
      </c>
      <c r="C139" s="161" t="s">
        <v>593</v>
      </c>
      <c r="D139" s="172" t="s">
        <v>598</v>
      </c>
      <c r="E139" s="171">
        <v>0.28999999999999998</v>
      </c>
      <c r="F139" s="155">
        <v>0</v>
      </c>
      <c r="G139" s="166">
        <f t="shared" si="23"/>
        <v>0</v>
      </c>
    </row>
    <row r="140" spans="1:7" x14ac:dyDescent="0.2">
      <c r="A140" s="211">
        <f t="shared" si="24"/>
        <v>132</v>
      </c>
      <c r="B140" s="162" t="s">
        <v>612</v>
      </c>
      <c r="C140" s="161" t="s">
        <v>593</v>
      </c>
      <c r="D140" s="172" t="s">
        <v>599</v>
      </c>
      <c r="E140" s="171">
        <v>0.35</v>
      </c>
      <c r="F140" s="155">
        <v>0</v>
      </c>
      <c r="G140" s="166">
        <f t="shared" si="23"/>
        <v>0</v>
      </c>
    </row>
    <row r="141" spans="1:7" x14ac:dyDescent="0.2">
      <c r="A141" s="211">
        <f t="shared" si="24"/>
        <v>133</v>
      </c>
      <c r="B141" s="162" t="s">
        <v>612</v>
      </c>
      <c r="C141" s="161" t="s">
        <v>593</v>
      </c>
      <c r="D141" s="172" t="s">
        <v>600</v>
      </c>
      <c r="E141" s="171">
        <v>0.4</v>
      </c>
      <c r="F141" s="155">
        <v>0</v>
      </c>
      <c r="G141" s="166">
        <f t="shared" si="23"/>
        <v>0</v>
      </c>
    </row>
    <row r="142" spans="1:7" x14ac:dyDescent="0.2">
      <c r="A142" s="211">
        <f t="shared" si="24"/>
        <v>134</v>
      </c>
      <c r="B142" s="162" t="s">
        <v>612</v>
      </c>
      <c r="C142" s="161" t="s">
        <v>593</v>
      </c>
      <c r="D142" s="172" t="s">
        <v>601</v>
      </c>
      <c r="E142" s="171">
        <v>0.45</v>
      </c>
      <c r="F142" s="155">
        <v>0</v>
      </c>
      <c r="G142" s="166">
        <f t="shared" si="23"/>
        <v>0</v>
      </c>
    </row>
    <row r="143" spans="1:7" x14ac:dyDescent="0.2">
      <c r="A143" s="211">
        <f t="shared" si="24"/>
        <v>135</v>
      </c>
      <c r="B143" s="162" t="s">
        <v>612</v>
      </c>
      <c r="C143" s="161" t="s">
        <v>593</v>
      </c>
      <c r="D143" s="172" t="s">
        <v>602</v>
      </c>
      <c r="E143" s="171">
        <v>0.5</v>
      </c>
      <c r="F143" s="155">
        <v>0</v>
      </c>
      <c r="G143" s="166">
        <f t="shared" si="23"/>
        <v>0</v>
      </c>
    </row>
    <row r="144" spans="1:7" x14ac:dyDescent="0.2">
      <c r="A144" s="211">
        <f t="shared" si="24"/>
        <v>136</v>
      </c>
      <c r="B144" s="162"/>
      <c r="C144" s="161"/>
      <c r="D144" s="161"/>
      <c r="E144" s="169"/>
      <c r="F144" s="155"/>
      <c r="G144" s="145"/>
    </row>
    <row r="145" spans="1:7" x14ac:dyDescent="0.2">
      <c r="A145" s="211">
        <f t="shared" si="24"/>
        <v>137</v>
      </c>
      <c r="B145" s="152" t="s">
        <v>613</v>
      </c>
      <c r="C145" s="161"/>
      <c r="D145" s="161"/>
      <c r="E145" s="169"/>
      <c r="F145" s="155"/>
      <c r="G145" s="145"/>
    </row>
    <row r="146" spans="1:7" x14ac:dyDescent="0.2">
      <c r="A146" s="211">
        <f t="shared" si="24"/>
        <v>138</v>
      </c>
      <c r="B146" s="153" t="s">
        <v>614</v>
      </c>
      <c r="C146" s="161" t="s">
        <v>35</v>
      </c>
      <c r="D146" s="173">
        <v>70</v>
      </c>
      <c r="E146" s="171">
        <v>0.12</v>
      </c>
      <c r="F146" s="155">
        <v>48</v>
      </c>
      <c r="G146" s="166">
        <f t="shared" ref="G146:G151" si="25">ROUND(F146*E146*12,0)</f>
        <v>69</v>
      </c>
    </row>
    <row r="147" spans="1:7" x14ac:dyDescent="0.2">
      <c r="A147" s="211">
        <f t="shared" si="24"/>
        <v>139</v>
      </c>
      <c r="B147" s="162" t="str">
        <f t="shared" ref="B147:B151" si="26">+B146</f>
        <v>58E &amp; 59E - Directional</v>
      </c>
      <c r="C147" s="161" t="s">
        <v>35</v>
      </c>
      <c r="D147" s="173">
        <v>100</v>
      </c>
      <c r="E147" s="171">
        <v>0.18</v>
      </c>
      <c r="F147" s="155">
        <v>6</v>
      </c>
      <c r="G147" s="166">
        <f t="shared" si="25"/>
        <v>13</v>
      </c>
    </row>
    <row r="148" spans="1:7" x14ac:dyDescent="0.2">
      <c r="A148" s="211">
        <f t="shared" si="24"/>
        <v>140</v>
      </c>
      <c r="B148" s="162" t="str">
        <f t="shared" si="26"/>
        <v>58E &amp; 59E - Directional</v>
      </c>
      <c r="C148" s="161" t="s">
        <v>35</v>
      </c>
      <c r="D148" s="173">
        <v>150</v>
      </c>
      <c r="E148" s="171">
        <v>0.27</v>
      </c>
      <c r="F148" s="155">
        <v>158</v>
      </c>
      <c r="G148" s="166">
        <f t="shared" si="25"/>
        <v>512</v>
      </c>
    </row>
    <row r="149" spans="1:7" x14ac:dyDescent="0.2">
      <c r="A149" s="211">
        <f t="shared" si="24"/>
        <v>141</v>
      </c>
      <c r="B149" s="162" t="str">
        <f t="shared" si="26"/>
        <v>58E &amp; 59E - Directional</v>
      </c>
      <c r="C149" s="161" t="s">
        <v>35</v>
      </c>
      <c r="D149" s="161">
        <v>200</v>
      </c>
      <c r="E149" s="171">
        <v>0.35</v>
      </c>
      <c r="F149" s="155">
        <v>298</v>
      </c>
      <c r="G149" s="166">
        <f t="shared" si="25"/>
        <v>1252</v>
      </c>
    </row>
    <row r="150" spans="1:7" x14ac:dyDescent="0.2">
      <c r="A150" s="211">
        <f t="shared" si="24"/>
        <v>142</v>
      </c>
      <c r="B150" s="162" t="str">
        <f t="shared" si="26"/>
        <v>58E &amp; 59E - Directional</v>
      </c>
      <c r="C150" s="161" t="s">
        <v>35</v>
      </c>
      <c r="D150" s="161">
        <v>250</v>
      </c>
      <c r="E150" s="171">
        <v>0.44</v>
      </c>
      <c r="F150" s="155">
        <v>40</v>
      </c>
      <c r="G150" s="166">
        <f t="shared" si="25"/>
        <v>211</v>
      </c>
    </row>
    <row r="151" spans="1:7" x14ac:dyDescent="0.2">
      <c r="A151" s="211">
        <f t="shared" si="24"/>
        <v>143</v>
      </c>
      <c r="B151" s="162" t="str">
        <f t="shared" si="26"/>
        <v>58E &amp; 59E - Directional</v>
      </c>
      <c r="C151" s="161" t="s">
        <v>35</v>
      </c>
      <c r="D151" s="161">
        <v>400</v>
      </c>
      <c r="E151" s="171">
        <v>0.71</v>
      </c>
      <c r="F151" s="155">
        <v>393</v>
      </c>
      <c r="G151" s="166">
        <f t="shared" si="25"/>
        <v>3348</v>
      </c>
    </row>
    <row r="152" spans="1:7" x14ac:dyDescent="0.2">
      <c r="A152" s="211">
        <f t="shared" si="24"/>
        <v>144</v>
      </c>
      <c r="B152" s="162"/>
      <c r="C152" s="161"/>
      <c r="D152" s="161"/>
      <c r="E152" s="169"/>
      <c r="F152" s="155"/>
      <c r="G152" s="145"/>
    </row>
    <row r="153" spans="1:7" x14ac:dyDescent="0.2">
      <c r="A153" s="211">
        <f t="shared" si="24"/>
        <v>145</v>
      </c>
      <c r="B153" s="153" t="s">
        <v>615</v>
      </c>
      <c r="C153" s="161" t="s">
        <v>35</v>
      </c>
      <c r="D153" s="161">
        <v>100</v>
      </c>
      <c r="E153" s="171">
        <v>0.18</v>
      </c>
      <c r="F153" s="155">
        <v>1</v>
      </c>
      <c r="G153" s="166">
        <f>ROUND(F153*E153*12,0)</f>
        <v>2</v>
      </c>
    </row>
    <row r="154" spans="1:7" x14ac:dyDescent="0.2">
      <c r="A154" s="211">
        <f t="shared" si="24"/>
        <v>146</v>
      </c>
      <c r="B154" s="162" t="str">
        <f>B153</f>
        <v>58E &amp; 59E - Horizontal</v>
      </c>
      <c r="C154" s="161" t="s">
        <v>35</v>
      </c>
      <c r="D154" s="161">
        <v>150</v>
      </c>
      <c r="E154" s="171">
        <v>0.27</v>
      </c>
      <c r="F154" s="155">
        <v>27</v>
      </c>
      <c r="G154" s="166">
        <f>ROUND(F154*E154*12,0)</f>
        <v>87</v>
      </c>
    </row>
    <row r="155" spans="1:7" x14ac:dyDescent="0.2">
      <c r="A155" s="211">
        <f t="shared" si="24"/>
        <v>147</v>
      </c>
      <c r="B155" s="162" t="str">
        <f t="shared" ref="B155:B157" si="27">B154</f>
        <v>58E &amp; 59E - Horizontal</v>
      </c>
      <c r="C155" s="161" t="s">
        <v>35</v>
      </c>
      <c r="D155" s="161">
        <v>200</v>
      </c>
      <c r="E155" s="171">
        <v>0.35</v>
      </c>
      <c r="F155" s="155">
        <v>13</v>
      </c>
      <c r="G155" s="166">
        <f>ROUND(F155*E155*12,0)</f>
        <v>55</v>
      </c>
    </row>
    <row r="156" spans="1:7" x14ac:dyDescent="0.2">
      <c r="A156" s="211">
        <f t="shared" si="24"/>
        <v>148</v>
      </c>
      <c r="B156" s="162" t="str">
        <f t="shared" si="27"/>
        <v>58E &amp; 59E - Horizontal</v>
      </c>
      <c r="C156" s="161" t="s">
        <v>35</v>
      </c>
      <c r="D156" s="161">
        <v>250</v>
      </c>
      <c r="E156" s="171">
        <v>0.44</v>
      </c>
      <c r="F156" s="155">
        <v>36</v>
      </c>
      <c r="G156" s="166">
        <f>ROUND(F156*E156*12,0)</f>
        <v>190</v>
      </c>
    </row>
    <row r="157" spans="1:7" x14ac:dyDescent="0.2">
      <c r="A157" s="211">
        <f t="shared" si="24"/>
        <v>149</v>
      </c>
      <c r="B157" s="162" t="str">
        <f t="shared" si="27"/>
        <v>58E &amp; 59E - Horizontal</v>
      </c>
      <c r="C157" s="161" t="s">
        <v>35</v>
      </c>
      <c r="D157" s="161">
        <v>400</v>
      </c>
      <c r="E157" s="171">
        <v>0.71</v>
      </c>
      <c r="F157" s="155">
        <v>48</v>
      </c>
      <c r="G157" s="166">
        <f>ROUND(F157*E157*12,0)</f>
        <v>409</v>
      </c>
    </row>
    <row r="158" spans="1:7" x14ac:dyDescent="0.2">
      <c r="A158" s="211">
        <f t="shared" si="24"/>
        <v>150</v>
      </c>
      <c r="B158" s="162"/>
      <c r="C158" s="161"/>
      <c r="D158" s="161"/>
      <c r="E158" s="169"/>
      <c r="F158" s="155"/>
      <c r="G158" s="145"/>
    </row>
    <row r="159" spans="1:7" x14ac:dyDescent="0.2">
      <c r="A159" s="211">
        <f t="shared" si="24"/>
        <v>151</v>
      </c>
      <c r="B159" s="162" t="str">
        <f>B147</f>
        <v>58E &amp; 59E - Directional</v>
      </c>
      <c r="C159" s="161" t="s">
        <v>605</v>
      </c>
      <c r="D159" s="161">
        <v>175</v>
      </c>
      <c r="E159" s="171">
        <v>0.31</v>
      </c>
      <c r="F159" s="155">
        <v>3</v>
      </c>
      <c r="G159" s="166">
        <f>ROUND(F159*E159*12,0)</f>
        <v>11</v>
      </c>
    </row>
    <row r="160" spans="1:7" x14ac:dyDescent="0.2">
      <c r="A160" s="211">
        <f t="shared" si="24"/>
        <v>152</v>
      </c>
      <c r="B160" s="162" t="str">
        <f>B159</f>
        <v>58E &amp; 59E - Directional</v>
      </c>
      <c r="C160" s="161" t="s">
        <v>605</v>
      </c>
      <c r="D160" s="161">
        <v>250</v>
      </c>
      <c r="E160" s="171">
        <v>0.44</v>
      </c>
      <c r="F160" s="155">
        <v>21</v>
      </c>
      <c r="G160" s="166">
        <f>ROUND(F160*E160*12,0)</f>
        <v>111</v>
      </c>
    </row>
    <row r="161" spans="1:7" x14ac:dyDescent="0.2">
      <c r="A161" s="211">
        <f t="shared" si="24"/>
        <v>153</v>
      </c>
      <c r="B161" s="162" t="str">
        <f t="shared" ref="B161:B162" si="28">B160</f>
        <v>58E &amp; 59E - Directional</v>
      </c>
      <c r="C161" s="161" t="s">
        <v>605</v>
      </c>
      <c r="D161" s="161">
        <v>400</v>
      </c>
      <c r="E161" s="171">
        <v>0.71</v>
      </c>
      <c r="F161" s="155">
        <v>87</v>
      </c>
      <c r="G161" s="166">
        <f>ROUND(F161*E161*12,0)</f>
        <v>741</v>
      </c>
    </row>
    <row r="162" spans="1:7" x14ac:dyDescent="0.2">
      <c r="A162" s="211">
        <f t="shared" si="24"/>
        <v>154</v>
      </c>
      <c r="B162" s="162" t="str">
        <f t="shared" si="28"/>
        <v>58E &amp; 59E - Directional</v>
      </c>
      <c r="C162" s="161" t="s">
        <v>605</v>
      </c>
      <c r="D162" s="161">
        <v>1000</v>
      </c>
      <c r="E162" s="171">
        <v>1.77</v>
      </c>
      <c r="F162" s="155">
        <v>141</v>
      </c>
      <c r="G162" s="166">
        <f>ROUND(F162*E162*12,0)</f>
        <v>2995</v>
      </c>
    </row>
    <row r="163" spans="1:7" x14ac:dyDescent="0.2">
      <c r="A163" s="211">
        <f t="shared" si="24"/>
        <v>155</v>
      </c>
      <c r="B163" s="162"/>
      <c r="C163" s="161"/>
      <c r="D163" s="161"/>
      <c r="E163" s="169"/>
      <c r="F163" s="155"/>
      <c r="G163" s="145"/>
    </row>
    <row r="164" spans="1:7" x14ac:dyDescent="0.2">
      <c r="A164" s="211">
        <f t="shared" si="24"/>
        <v>156</v>
      </c>
      <c r="B164" s="162" t="str">
        <f>B153</f>
        <v>58E &amp; 59E - Horizontal</v>
      </c>
      <c r="C164" s="161" t="s">
        <v>605</v>
      </c>
      <c r="D164" s="161">
        <v>250</v>
      </c>
      <c r="E164" s="171">
        <v>0.44</v>
      </c>
      <c r="F164" s="155">
        <v>11</v>
      </c>
      <c r="G164" s="166">
        <f>ROUND(F164*E164*12,0)</f>
        <v>58</v>
      </c>
    </row>
    <row r="165" spans="1:7" x14ac:dyDescent="0.2">
      <c r="A165" s="211">
        <f t="shared" si="24"/>
        <v>157</v>
      </c>
      <c r="B165" s="162" t="str">
        <f>B164</f>
        <v>58E &amp; 59E - Horizontal</v>
      </c>
      <c r="C165" s="161" t="s">
        <v>605</v>
      </c>
      <c r="D165" s="161">
        <v>400</v>
      </c>
      <c r="E165" s="171">
        <v>0.71</v>
      </c>
      <c r="F165" s="155">
        <v>40</v>
      </c>
      <c r="G165" s="166">
        <f>ROUND(F165*E165*12,0)</f>
        <v>341</v>
      </c>
    </row>
    <row r="166" spans="1:7" x14ac:dyDescent="0.2">
      <c r="A166" s="211">
        <f t="shared" si="24"/>
        <v>158</v>
      </c>
      <c r="B166" s="162"/>
      <c r="C166" s="161"/>
      <c r="D166" s="161"/>
      <c r="E166" s="169"/>
      <c r="F166" s="155"/>
      <c r="G166" s="145"/>
    </row>
    <row r="167" spans="1:7" x14ac:dyDescent="0.2">
      <c r="A167" s="211">
        <f t="shared" si="24"/>
        <v>159</v>
      </c>
      <c r="B167" s="162"/>
      <c r="C167" s="161"/>
      <c r="D167" s="161"/>
      <c r="E167" s="169"/>
      <c r="F167" s="155"/>
      <c r="G167" s="145"/>
    </row>
    <row r="168" spans="1:7" x14ac:dyDescent="0.2">
      <c r="A168" s="211">
        <f t="shared" si="24"/>
        <v>160</v>
      </c>
      <c r="B168" s="162" t="s">
        <v>616</v>
      </c>
      <c r="C168" s="161" t="s">
        <v>593</v>
      </c>
      <c r="D168" s="172" t="s">
        <v>594</v>
      </c>
      <c r="E168" s="171">
        <v>0.08</v>
      </c>
      <c r="F168" s="155">
        <v>1</v>
      </c>
      <c r="G168" s="166">
        <f t="shared" ref="G168:G182" si="29">ROUND(F168*E168*12,0)</f>
        <v>1</v>
      </c>
    </row>
    <row r="169" spans="1:7" x14ac:dyDescent="0.2">
      <c r="A169" s="211">
        <f t="shared" si="24"/>
        <v>161</v>
      </c>
      <c r="B169" s="162" t="str">
        <f>B168</f>
        <v>58E &amp; 59E</v>
      </c>
      <c r="C169" s="161" t="s">
        <v>593</v>
      </c>
      <c r="D169" s="172" t="s">
        <v>595</v>
      </c>
      <c r="E169" s="171">
        <v>0.13</v>
      </c>
      <c r="F169" s="155">
        <v>3</v>
      </c>
      <c r="G169" s="166">
        <f t="shared" si="29"/>
        <v>5</v>
      </c>
    </row>
    <row r="170" spans="1:7" x14ac:dyDescent="0.2">
      <c r="A170" s="211">
        <f t="shared" si="24"/>
        <v>162</v>
      </c>
      <c r="B170" s="162" t="str">
        <f t="shared" ref="B170:B182" si="30">B169</f>
        <v>58E &amp; 59E</v>
      </c>
      <c r="C170" s="161" t="s">
        <v>593</v>
      </c>
      <c r="D170" s="172" t="s">
        <v>596</v>
      </c>
      <c r="E170" s="171">
        <v>0.19</v>
      </c>
      <c r="F170" s="155">
        <v>23</v>
      </c>
      <c r="G170" s="166">
        <f t="shared" si="29"/>
        <v>52</v>
      </c>
    </row>
    <row r="171" spans="1:7" x14ac:dyDescent="0.2">
      <c r="A171" s="211">
        <f t="shared" si="24"/>
        <v>163</v>
      </c>
      <c r="B171" s="162" t="str">
        <f t="shared" si="30"/>
        <v>58E &amp; 59E</v>
      </c>
      <c r="C171" s="161" t="s">
        <v>593</v>
      </c>
      <c r="D171" s="172" t="s">
        <v>597</v>
      </c>
      <c r="E171" s="171">
        <v>0.24</v>
      </c>
      <c r="F171" s="155">
        <v>42</v>
      </c>
      <c r="G171" s="166">
        <f t="shared" si="29"/>
        <v>121</v>
      </c>
    </row>
    <row r="172" spans="1:7" x14ac:dyDescent="0.2">
      <c r="A172" s="211">
        <f t="shared" si="24"/>
        <v>164</v>
      </c>
      <c r="B172" s="162" t="str">
        <f t="shared" si="30"/>
        <v>58E &amp; 59E</v>
      </c>
      <c r="C172" s="161" t="s">
        <v>593</v>
      </c>
      <c r="D172" s="172" t="s">
        <v>598</v>
      </c>
      <c r="E172" s="171">
        <v>0.28999999999999998</v>
      </c>
      <c r="F172" s="155">
        <v>4</v>
      </c>
      <c r="G172" s="166">
        <f t="shared" si="29"/>
        <v>14</v>
      </c>
    </row>
    <row r="173" spans="1:7" x14ac:dyDescent="0.2">
      <c r="A173" s="211">
        <f t="shared" si="24"/>
        <v>165</v>
      </c>
      <c r="B173" s="162" t="str">
        <f t="shared" si="30"/>
        <v>58E &amp; 59E</v>
      </c>
      <c r="C173" s="161" t="s">
        <v>593</v>
      </c>
      <c r="D173" s="172" t="s">
        <v>599</v>
      </c>
      <c r="E173" s="171">
        <v>0.35</v>
      </c>
      <c r="F173" s="155">
        <v>0</v>
      </c>
      <c r="G173" s="166">
        <f t="shared" si="29"/>
        <v>0</v>
      </c>
    </row>
    <row r="174" spans="1:7" x14ac:dyDescent="0.2">
      <c r="A174" s="211">
        <f t="shared" si="24"/>
        <v>166</v>
      </c>
      <c r="B174" s="162" t="str">
        <f t="shared" si="30"/>
        <v>58E &amp; 59E</v>
      </c>
      <c r="C174" s="161" t="s">
        <v>593</v>
      </c>
      <c r="D174" s="172" t="s">
        <v>600</v>
      </c>
      <c r="E174" s="171">
        <v>0.4</v>
      </c>
      <c r="F174" s="155">
        <v>1</v>
      </c>
      <c r="G174" s="166">
        <f t="shared" si="29"/>
        <v>5</v>
      </c>
    </row>
    <row r="175" spans="1:7" x14ac:dyDescent="0.2">
      <c r="A175" s="211">
        <f t="shared" si="24"/>
        <v>167</v>
      </c>
      <c r="B175" s="162" t="str">
        <f t="shared" si="30"/>
        <v>58E &amp; 59E</v>
      </c>
      <c r="C175" s="161" t="s">
        <v>593</v>
      </c>
      <c r="D175" s="172" t="s">
        <v>601</v>
      </c>
      <c r="E175" s="171">
        <v>0.45</v>
      </c>
      <c r="F175" s="155">
        <v>7</v>
      </c>
      <c r="G175" s="166">
        <f t="shared" si="29"/>
        <v>38</v>
      </c>
    </row>
    <row r="176" spans="1:7" x14ac:dyDescent="0.2">
      <c r="A176" s="211">
        <f t="shared" si="24"/>
        <v>168</v>
      </c>
      <c r="B176" s="162" t="str">
        <f t="shared" si="30"/>
        <v>58E &amp; 59E</v>
      </c>
      <c r="C176" s="161" t="s">
        <v>593</v>
      </c>
      <c r="D176" s="172" t="s">
        <v>602</v>
      </c>
      <c r="E176" s="171">
        <v>0.5</v>
      </c>
      <c r="F176" s="155">
        <v>0</v>
      </c>
      <c r="G176" s="166">
        <f t="shared" si="29"/>
        <v>0</v>
      </c>
    </row>
    <row r="177" spans="1:7" x14ac:dyDescent="0.2">
      <c r="A177" s="211">
        <f t="shared" si="24"/>
        <v>169</v>
      </c>
      <c r="B177" s="162" t="str">
        <f t="shared" si="30"/>
        <v>58E &amp; 59E</v>
      </c>
      <c r="C177" s="161" t="s">
        <v>593</v>
      </c>
      <c r="D177" s="172" t="s">
        <v>617</v>
      </c>
      <c r="E177" s="171">
        <v>0.62</v>
      </c>
      <c r="F177" s="155">
        <v>0</v>
      </c>
      <c r="G177" s="166">
        <f t="shared" si="29"/>
        <v>0</v>
      </c>
    </row>
    <row r="178" spans="1:7" x14ac:dyDescent="0.2">
      <c r="A178" s="211">
        <f t="shared" si="24"/>
        <v>170</v>
      </c>
      <c r="B178" s="162" t="str">
        <f t="shared" si="30"/>
        <v>58E &amp; 59E</v>
      </c>
      <c r="C178" s="161" t="s">
        <v>593</v>
      </c>
      <c r="D178" s="172" t="s">
        <v>618</v>
      </c>
      <c r="E178" s="171">
        <v>0.8</v>
      </c>
      <c r="F178" s="155">
        <v>0</v>
      </c>
      <c r="G178" s="166">
        <f t="shared" si="29"/>
        <v>0</v>
      </c>
    </row>
    <row r="179" spans="1:7" x14ac:dyDescent="0.2">
      <c r="A179" s="211">
        <f t="shared" si="24"/>
        <v>171</v>
      </c>
      <c r="B179" s="162" t="str">
        <f t="shared" si="30"/>
        <v>58E &amp; 59E</v>
      </c>
      <c r="C179" s="161" t="s">
        <v>593</v>
      </c>
      <c r="D179" s="172" t="s">
        <v>619</v>
      </c>
      <c r="E179" s="171">
        <v>0.97</v>
      </c>
      <c r="F179" s="155">
        <v>0</v>
      </c>
      <c r="G179" s="166">
        <f t="shared" si="29"/>
        <v>0</v>
      </c>
    </row>
    <row r="180" spans="1:7" x14ac:dyDescent="0.2">
      <c r="A180" s="211">
        <f t="shared" si="24"/>
        <v>172</v>
      </c>
      <c r="B180" s="162" t="str">
        <f t="shared" si="30"/>
        <v>58E &amp; 59E</v>
      </c>
      <c r="C180" s="161" t="s">
        <v>593</v>
      </c>
      <c r="D180" s="172" t="s">
        <v>620</v>
      </c>
      <c r="E180" s="171">
        <v>1.1499999999999999</v>
      </c>
      <c r="F180" s="155">
        <v>0</v>
      </c>
      <c r="G180" s="166">
        <f t="shared" si="29"/>
        <v>0</v>
      </c>
    </row>
    <row r="181" spans="1:7" x14ac:dyDescent="0.2">
      <c r="A181" s="211">
        <f t="shared" si="24"/>
        <v>173</v>
      </c>
      <c r="B181" s="162" t="str">
        <f t="shared" si="30"/>
        <v>58E &amp; 59E</v>
      </c>
      <c r="C181" s="161" t="s">
        <v>593</v>
      </c>
      <c r="D181" s="172" t="s">
        <v>621</v>
      </c>
      <c r="E181" s="171">
        <v>1.33</v>
      </c>
      <c r="F181" s="155">
        <v>0</v>
      </c>
      <c r="G181" s="166">
        <f t="shared" si="29"/>
        <v>0</v>
      </c>
    </row>
    <row r="182" spans="1:7" x14ac:dyDescent="0.2">
      <c r="A182" s="211">
        <f t="shared" si="24"/>
        <v>174</v>
      </c>
      <c r="B182" s="162" t="str">
        <f t="shared" si="30"/>
        <v>58E &amp; 59E</v>
      </c>
      <c r="C182" s="161" t="s">
        <v>593</v>
      </c>
      <c r="D182" s="172" t="s">
        <v>622</v>
      </c>
      <c r="E182" s="171">
        <v>1.5</v>
      </c>
      <c r="F182" s="155">
        <v>0</v>
      </c>
      <c r="G182" s="166">
        <f t="shared" si="29"/>
        <v>0</v>
      </c>
    </row>
    <row r="183" spans="1:7" x14ac:dyDescent="0.2">
      <c r="A183" s="211">
        <f t="shared" si="24"/>
        <v>175</v>
      </c>
      <c r="B183" s="162"/>
      <c r="C183" s="161"/>
      <c r="D183" s="161"/>
      <c r="E183" s="169"/>
      <c r="F183" s="155"/>
      <c r="G183" s="145"/>
    </row>
    <row r="184" spans="1:7" x14ac:dyDescent="0.2">
      <c r="A184" s="211">
        <f t="shared" si="24"/>
        <v>176</v>
      </c>
      <c r="B184" s="152" t="s">
        <v>623</v>
      </c>
      <c r="C184" s="161"/>
      <c r="D184" s="161"/>
      <c r="E184" s="169"/>
      <c r="F184" s="155"/>
      <c r="G184" s="145"/>
    </row>
    <row r="185" spans="1:7" x14ac:dyDescent="0.2">
      <c r="A185" s="211">
        <f t="shared" si="24"/>
        <v>177</v>
      </c>
      <c r="B185" s="162" t="s">
        <v>624</v>
      </c>
      <c r="C185" s="161" t="s">
        <v>625</v>
      </c>
      <c r="D185" s="161">
        <v>0</v>
      </c>
      <c r="E185" s="174">
        <v>2.96E-3</v>
      </c>
      <c r="F185" s="155">
        <v>1157433</v>
      </c>
      <c r="G185" s="166">
        <f>ROUND(F185*E185*12,0)</f>
        <v>41112</v>
      </c>
    </row>
    <row r="186" spans="1:7" x14ac:dyDescent="0.2">
      <c r="A186" s="211">
        <f t="shared" si="24"/>
        <v>178</v>
      </c>
      <c r="B186" s="152"/>
      <c r="C186" s="152"/>
      <c r="D186" s="152"/>
      <c r="E186" s="169"/>
      <c r="F186" s="155"/>
      <c r="G186" s="145"/>
    </row>
    <row r="187" spans="1:7" x14ac:dyDescent="0.2">
      <c r="A187" s="211">
        <f t="shared" si="24"/>
        <v>179</v>
      </c>
      <c r="B187" s="152" t="s">
        <v>626</v>
      </c>
      <c r="C187" s="161"/>
      <c r="D187" s="161"/>
      <c r="E187" s="169"/>
      <c r="F187" s="155"/>
      <c r="G187" s="145"/>
    </row>
    <row r="188" spans="1:7" x14ac:dyDescent="0.2">
      <c r="A188" s="211">
        <f t="shared" si="24"/>
        <v>180</v>
      </c>
      <c r="B188" s="153" t="s">
        <v>627</v>
      </c>
      <c r="C188" s="161" t="s">
        <v>628</v>
      </c>
      <c r="D188" s="161">
        <v>0</v>
      </c>
      <c r="E188" s="171">
        <v>0</v>
      </c>
      <c r="F188" s="155">
        <v>639</v>
      </c>
      <c r="G188" s="166">
        <f>ROUND(F188*E188*12,0)</f>
        <v>0</v>
      </c>
    </row>
    <row r="189" spans="1:7" x14ac:dyDescent="0.2">
      <c r="A189" s="211">
        <f t="shared" si="24"/>
        <v>181</v>
      </c>
      <c r="B189" s="153" t="s">
        <v>629</v>
      </c>
      <c r="C189" s="161" t="s">
        <v>628</v>
      </c>
      <c r="D189" s="161">
        <v>0</v>
      </c>
      <c r="E189" s="171">
        <v>0</v>
      </c>
      <c r="F189" s="155">
        <v>332</v>
      </c>
      <c r="G189" s="166">
        <f>ROUND(F189*E189*12,0)</f>
        <v>0</v>
      </c>
    </row>
    <row r="190" spans="1:7" x14ac:dyDescent="0.2">
      <c r="A190" s="211">
        <f t="shared" si="24"/>
        <v>182</v>
      </c>
      <c r="B190" s="153"/>
      <c r="C190" s="152"/>
      <c r="D190" s="152"/>
      <c r="E190" s="169"/>
      <c r="F190" s="155"/>
      <c r="G190" s="145"/>
    </row>
    <row r="191" spans="1:7" x14ac:dyDescent="0.2">
      <c r="A191" s="211">
        <f t="shared" si="24"/>
        <v>183</v>
      </c>
      <c r="B191" s="153" t="s">
        <v>630</v>
      </c>
      <c r="C191" s="161" t="s">
        <v>628</v>
      </c>
      <c r="D191" s="161">
        <v>0</v>
      </c>
      <c r="E191" s="171">
        <v>0</v>
      </c>
      <c r="F191" s="155">
        <v>159</v>
      </c>
      <c r="G191" s="166">
        <f>ROUND(F191*E191*12,0)</f>
        <v>0</v>
      </c>
    </row>
    <row r="192" spans="1:7" x14ac:dyDescent="0.2">
      <c r="A192" s="211">
        <f t="shared" si="24"/>
        <v>184</v>
      </c>
      <c r="B192" s="152"/>
      <c r="C192" s="152"/>
      <c r="D192" s="152"/>
      <c r="E192" s="145"/>
      <c r="F192" s="145"/>
      <c r="G192" s="145"/>
    </row>
    <row r="193" spans="1:7" x14ac:dyDescent="0.2">
      <c r="A193" s="211">
        <f t="shared" si="24"/>
        <v>185</v>
      </c>
      <c r="B193" s="163" t="s">
        <v>631</v>
      </c>
      <c r="C193" s="152"/>
      <c r="D193" s="152"/>
      <c r="E193" s="145"/>
      <c r="F193" s="164">
        <f>SUM(F10:F191)</f>
        <v>1279463</v>
      </c>
      <c r="G193" s="166">
        <f>SUM(G10:G191)</f>
        <v>351679</v>
      </c>
    </row>
    <row r="194" spans="1:7" x14ac:dyDescent="0.2">
      <c r="A194" s="211">
        <f t="shared" si="24"/>
        <v>186</v>
      </c>
      <c r="B194" s="165" t="s">
        <v>632</v>
      </c>
      <c r="C194" s="152"/>
      <c r="D194" s="152"/>
      <c r="E194" s="145"/>
      <c r="F194" s="164">
        <v>1279463</v>
      </c>
      <c r="G194" s="166">
        <f>+'Proforma - Proposed vs. no 120 '!$H$31</f>
        <v>349708.92599999905</v>
      </c>
    </row>
    <row r="195" spans="1:7" x14ac:dyDescent="0.2">
      <c r="A195" s="211">
        <f t="shared" si="24"/>
        <v>187</v>
      </c>
      <c r="B195" s="152" t="s">
        <v>491</v>
      </c>
      <c r="C195" s="152"/>
      <c r="D195" s="152"/>
      <c r="E195" s="145"/>
      <c r="F195" s="164">
        <f>+F193-F194</f>
        <v>0</v>
      </c>
      <c r="G195" s="166">
        <f>+G193-G194</f>
        <v>1970.0740000009537</v>
      </c>
    </row>
    <row r="196" spans="1:7" x14ac:dyDescent="0.2">
      <c r="A196" s="211"/>
      <c r="B196" s="152"/>
      <c r="C196" s="152"/>
      <c r="D196" s="152"/>
      <c r="E196" s="145"/>
      <c r="F196" s="145"/>
      <c r="G196" s="145"/>
    </row>
    <row r="197" spans="1:7" x14ac:dyDescent="0.2">
      <c r="A197" s="211"/>
      <c r="B197" s="163"/>
      <c r="C197" s="152"/>
      <c r="D197" s="152"/>
      <c r="E197" s="145"/>
      <c r="F197" s="145"/>
      <c r="G197" s="166"/>
    </row>
    <row r="198" spans="1:7" x14ac:dyDescent="0.2">
      <c r="A198" s="211"/>
      <c r="B198" s="163"/>
      <c r="C198" s="152"/>
      <c r="D198" s="152"/>
      <c r="E198" s="145"/>
      <c r="F198" s="145"/>
      <c r="G198" s="145"/>
    </row>
    <row r="199" spans="1:7" x14ac:dyDescent="0.2">
      <c r="A199" s="211"/>
      <c r="B199" s="152"/>
      <c r="C199" s="152"/>
      <c r="D199" s="152"/>
      <c r="E199" s="145"/>
      <c r="F199" s="145"/>
      <c r="G199" s="145"/>
    </row>
    <row r="200" spans="1:7" x14ac:dyDescent="0.2">
      <c r="A200" s="211"/>
      <c r="B200" s="154"/>
      <c r="C200" s="152"/>
      <c r="D200" s="152"/>
      <c r="E200" s="145"/>
      <c r="F200" s="167"/>
      <c r="G200" s="166"/>
    </row>
    <row r="201" spans="1:7" x14ac:dyDescent="0.2">
      <c r="A201" s="211"/>
      <c r="B201" s="152"/>
      <c r="C201" s="152"/>
      <c r="D201" s="152"/>
      <c r="E201" s="145"/>
      <c r="F201" s="167"/>
      <c r="G201" s="166"/>
    </row>
  </sheetData>
  <mergeCells count="5">
    <mergeCell ref="A1:G1"/>
    <mergeCell ref="A2:G2"/>
    <mergeCell ref="A3:G3"/>
    <mergeCell ref="A4:G4"/>
    <mergeCell ref="B5:E5"/>
  </mergeCells>
  <printOptions horizontalCentered="1"/>
  <pageMargins left="0.7" right="0.7" top="0.75" bottom="0.75" header="0.3" footer="0.3"/>
  <pageSetup scale="90" fitToHeight="0" orientation="landscape" r:id="rId1"/>
  <headerFooter>
    <oddHeader>&amp;RAdvice No. 2018-xx
Electric Schedule 120 Rate Design Workpapers
Page &amp;P of &amp;N</oddHeader>
    <oddFooter>&amp;L&amp;F
&amp;A&amp;R&amp;D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pane xSplit="2" ySplit="3" topLeftCell="C4" activePane="bottomRight" state="frozen"/>
      <selection sqref="A1:XFD1048576"/>
      <selection pane="topRight" sqref="A1:XFD1048576"/>
      <selection pane="bottomLeft" sqref="A1:XFD1048576"/>
      <selection pane="bottomRight" sqref="A1:XFD1048576"/>
    </sheetView>
  </sheetViews>
  <sheetFormatPr defaultColWidth="9.140625" defaultRowHeight="12.75" x14ac:dyDescent="0.2"/>
  <cols>
    <col min="1" max="1" width="4.42578125" style="181" bestFit="1" customWidth="1"/>
    <col min="2" max="2" width="30.28515625" style="6" bestFit="1" customWidth="1"/>
    <col min="3" max="3" width="8.5703125" style="6" bestFit="1" customWidth="1"/>
    <col min="4" max="4" width="15.140625" style="106" bestFit="1" customWidth="1"/>
    <col min="5" max="5" width="11.28515625" style="6" bestFit="1" customWidth="1"/>
    <col min="6" max="6" width="11.85546875" style="106" bestFit="1" customWidth="1"/>
    <col min="7" max="7" width="11.28515625" style="6" bestFit="1" customWidth="1"/>
    <col min="8" max="8" width="10.7109375" style="6" bestFit="1" customWidth="1"/>
    <col min="9" max="9" width="12.5703125" style="6" bestFit="1" customWidth="1"/>
    <col min="10" max="10" width="13.5703125" style="6" bestFit="1" customWidth="1"/>
    <col min="11" max="11" width="15.140625" style="6" bestFit="1" customWidth="1"/>
    <col min="12" max="12" width="10.85546875" style="6" bestFit="1" customWidth="1"/>
    <col min="13" max="13" width="4.28515625" style="6" customWidth="1"/>
    <col min="14" max="14" width="14.85546875" style="6" bestFit="1" customWidth="1"/>
    <col min="15" max="15" width="19.7109375" style="6" customWidth="1"/>
    <col min="16" max="16" width="10.28515625" style="6" bestFit="1" customWidth="1"/>
    <col min="17" max="17" width="11" style="6" bestFit="1" customWidth="1"/>
    <col min="18" max="18" width="13.85546875" style="6" bestFit="1" customWidth="1"/>
    <col min="19" max="19" width="8.42578125" style="6" bestFit="1" customWidth="1"/>
    <col min="20" max="16384" width="9.140625" style="6"/>
  </cols>
  <sheetData>
    <row r="1" spans="1:17" x14ac:dyDescent="0.2">
      <c r="A1" s="196"/>
      <c r="B1" s="411" t="s">
        <v>378</v>
      </c>
      <c r="C1" s="411"/>
      <c r="D1" s="411"/>
      <c r="E1" s="411"/>
      <c r="F1" s="411"/>
      <c r="G1" s="411"/>
      <c r="H1" s="411"/>
      <c r="I1" s="411"/>
      <c r="J1" s="411"/>
      <c r="K1" s="411"/>
      <c r="L1" s="412"/>
    </row>
    <row r="2" spans="1:17" x14ac:dyDescent="0.2">
      <c r="A2" s="46"/>
      <c r="L2" s="45"/>
    </row>
    <row r="3" spans="1:17" s="5" customFormat="1" ht="102" x14ac:dyDescent="0.2">
      <c r="A3" s="308" t="s">
        <v>77</v>
      </c>
      <c r="B3" s="97" t="s">
        <v>20</v>
      </c>
      <c r="C3" s="97"/>
      <c r="D3" s="93" t="s">
        <v>367</v>
      </c>
      <c r="E3" s="93" t="s">
        <v>368</v>
      </c>
      <c r="F3" s="93" t="s">
        <v>369</v>
      </c>
      <c r="G3" s="93" t="s">
        <v>370</v>
      </c>
      <c r="H3" s="94" t="s">
        <v>371</v>
      </c>
      <c r="I3" s="94" t="s">
        <v>372</v>
      </c>
      <c r="J3" s="94" t="s">
        <v>270</v>
      </c>
      <c r="K3" s="94" t="s">
        <v>373</v>
      </c>
      <c r="L3" s="309" t="s">
        <v>374</v>
      </c>
    </row>
    <row r="4" spans="1:17" s="5" customFormat="1" ht="38.25" x14ac:dyDescent="0.2">
      <c r="A4" s="310"/>
      <c r="C4" s="5" t="s">
        <v>32</v>
      </c>
      <c r="D4" s="4" t="s">
        <v>37</v>
      </c>
      <c r="E4" s="13" t="s">
        <v>225</v>
      </c>
      <c r="F4" s="4" t="s">
        <v>46</v>
      </c>
      <c r="G4" s="13" t="s">
        <v>226</v>
      </c>
      <c r="H4" s="5" t="s">
        <v>58</v>
      </c>
      <c r="I4" s="5" t="s">
        <v>41</v>
      </c>
      <c r="J4" s="3" t="s">
        <v>157</v>
      </c>
      <c r="K4" s="5" t="s">
        <v>78</v>
      </c>
      <c r="L4" s="311" t="s">
        <v>197</v>
      </c>
    </row>
    <row r="5" spans="1:17" s="5" customFormat="1" x14ac:dyDescent="0.2">
      <c r="A5" s="310"/>
      <c r="D5" s="4"/>
      <c r="E5" s="3"/>
      <c r="F5" s="4"/>
      <c r="G5" s="3"/>
      <c r="L5" s="11"/>
    </row>
    <row r="6" spans="1:17" x14ac:dyDescent="0.2">
      <c r="A6" s="46">
        <v>1</v>
      </c>
      <c r="B6" s="6" t="s">
        <v>4</v>
      </c>
      <c r="C6" s="181">
        <v>7</v>
      </c>
      <c r="D6" s="106">
        <f>+'UE-170033 LR Data Summary'!D9</f>
        <v>11362694034.5944</v>
      </c>
      <c r="E6" s="12">
        <f t="shared" ref="E6:E13" si="0">+D6/D$25*0.75</f>
        <v>0.38207455016480379</v>
      </c>
      <c r="F6" s="106">
        <f>+'UE-170033 LR Data Summary'!I9</f>
        <v>2401760.8159533199</v>
      </c>
      <c r="G6" s="12">
        <f t="shared" ref="G6:G13" si="1">+F6/F$25*0.25</f>
        <v>0.15239106359042526</v>
      </c>
      <c r="H6" s="12">
        <f t="shared" ref="H6:H11" si="2">+G6+E6</f>
        <v>0.53446561375522905</v>
      </c>
      <c r="I6" s="12"/>
      <c r="J6" s="44">
        <f>+H6*(SUM('Table 1'!$F$24))</f>
        <v>51721354.118301123</v>
      </c>
      <c r="K6" s="106">
        <f>+'Peak Credit Budget 2017'!K6</f>
        <v>10637302000</v>
      </c>
      <c r="L6" s="53">
        <f>J6/K6</f>
        <v>4.8622624532330778E-3</v>
      </c>
      <c r="N6" s="354"/>
      <c r="O6" s="24"/>
      <c r="Q6" s="44"/>
    </row>
    <row r="7" spans="1:17" x14ac:dyDescent="0.2">
      <c r="A7" s="46">
        <f>+A6+1</f>
        <v>2</v>
      </c>
      <c r="B7" s="43" t="s">
        <v>5</v>
      </c>
      <c r="C7" s="187" t="s">
        <v>244</v>
      </c>
      <c r="D7" s="106">
        <f>+'UE-170033 LR Data Summary'!D10</f>
        <v>2983833723.3713889</v>
      </c>
      <c r="E7" s="12">
        <f t="shared" si="0"/>
        <v>0.10033244969483066</v>
      </c>
      <c r="F7" s="106">
        <f>+'UE-170033 LR Data Summary'!I10</f>
        <v>483797.35950569448</v>
      </c>
      <c r="G7" s="12">
        <f t="shared" si="1"/>
        <v>3.0696809477278545E-2</v>
      </c>
      <c r="H7" s="12">
        <f t="shared" si="2"/>
        <v>0.1310292591721092</v>
      </c>
      <c r="I7" s="12"/>
      <c r="J7" s="44">
        <f>+H7*(SUM('Table 1'!$F$24))</f>
        <v>12679975.173487972</v>
      </c>
      <c r="K7" s="106">
        <f>+'Peak Credit Budget 2017'!K7</f>
        <v>3012037000</v>
      </c>
      <c r="L7" s="53">
        <f t="shared" ref="L7:L13" si="3">J7/K7</f>
        <v>4.2097674010936692E-3</v>
      </c>
      <c r="N7" s="354"/>
      <c r="O7" s="355"/>
    </row>
    <row r="8" spans="1:17" x14ac:dyDescent="0.2">
      <c r="A8" s="46">
        <f t="shared" ref="A8:A29" si="4">+A7+1</f>
        <v>3</v>
      </c>
      <c r="B8" s="6" t="s">
        <v>6</v>
      </c>
      <c r="C8" s="187" t="s">
        <v>245</v>
      </c>
      <c r="D8" s="106">
        <f>+'UE-170033 LR Data -Energy'!J22</f>
        <v>3065348902.0678535</v>
      </c>
      <c r="E8" s="12">
        <f t="shared" si="0"/>
        <v>0.10307342601059105</v>
      </c>
      <c r="F8" s="106">
        <f>+'UE-170033 LR Data- Dem 4CP'!F19</f>
        <v>452114.2470296041</v>
      </c>
      <c r="G8" s="12">
        <f t="shared" si="1"/>
        <v>2.8686524699537246E-2</v>
      </c>
      <c r="H8" s="12">
        <f t="shared" si="2"/>
        <v>0.1317599507101283</v>
      </c>
      <c r="I8" s="12"/>
      <c r="J8" s="44">
        <f>+H8*(SUM('Table 1'!$F$24))</f>
        <v>12750685.72027806</v>
      </c>
      <c r="K8" s="106">
        <f>+'Peak Credit Budget 2017'!K8</f>
        <v>2993580000</v>
      </c>
      <c r="L8" s="53">
        <f t="shared" si="3"/>
        <v>4.2593435686629584E-3</v>
      </c>
      <c r="N8" s="354"/>
    </row>
    <row r="9" spans="1:17" x14ac:dyDescent="0.2">
      <c r="A9" s="46">
        <f t="shared" si="4"/>
        <v>4</v>
      </c>
      <c r="B9" s="6" t="s">
        <v>7</v>
      </c>
      <c r="C9" s="187" t="s">
        <v>246</v>
      </c>
      <c r="D9" s="106">
        <f>+'UE-170033 LR Data Summary'!K12</f>
        <v>2051022389.543107</v>
      </c>
      <c r="E9" s="12">
        <f t="shared" si="0"/>
        <v>6.896634323486793E-2</v>
      </c>
      <c r="F9" s="106">
        <f>+'UE-170033 LR Data Summary'!I12</f>
        <v>261562.891393383</v>
      </c>
      <c r="G9" s="12">
        <f t="shared" si="1"/>
        <v>1.6596093562049035E-2</v>
      </c>
      <c r="H9" s="12">
        <f t="shared" si="2"/>
        <v>8.5562436796916969E-2</v>
      </c>
      <c r="I9" s="12"/>
      <c r="J9" s="44">
        <f>+H9*(SUM('Table 1'!$F$24))</f>
        <v>8280055.7770304345</v>
      </c>
      <c r="K9" s="106">
        <f>+'Peak Credit Budget 2017'!K9</f>
        <v>1913788000</v>
      </c>
      <c r="L9" s="53">
        <f t="shared" si="3"/>
        <v>4.3265271686469108E-3</v>
      </c>
      <c r="N9" s="354"/>
    </row>
    <row r="10" spans="1:17" x14ac:dyDescent="0.2">
      <c r="A10" s="46">
        <f t="shared" si="4"/>
        <v>5</v>
      </c>
      <c r="B10" s="6" t="s">
        <v>8</v>
      </c>
      <c r="C10" s="181">
        <v>29</v>
      </c>
      <c r="D10" s="106">
        <f>+'UE-170033 LR Data -Energy'!J24</f>
        <v>15235983.417815696</v>
      </c>
      <c r="E10" s="12">
        <f t="shared" si="0"/>
        <v>5.1231525665982941E-4</v>
      </c>
      <c r="F10" s="106">
        <f>+'UE-170033 LR Data- Dem 4CP'!H19</f>
        <v>358.31112419307749</v>
      </c>
      <c r="G10" s="12">
        <f t="shared" si="1"/>
        <v>2.2734742339607434E-5</v>
      </c>
      <c r="H10" s="12">
        <f t="shared" si="2"/>
        <v>5.3504999899943689E-4</v>
      </c>
      <c r="I10" s="12"/>
      <c r="J10" s="44">
        <f>+H10*(SUM('Table 1'!$F$24))</f>
        <v>51777.906299356924</v>
      </c>
      <c r="K10" s="106">
        <f>+'Peak Credit Budget 2017'!K10</f>
        <v>16193000</v>
      </c>
      <c r="L10" s="53">
        <f t="shared" si="3"/>
        <v>3.1975487123668822E-3</v>
      </c>
      <c r="N10" s="354"/>
    </row>
    <row r="11" spans="1:17" x14ac:dyDescent="0.2">
      <c r="A11" s="46">
        <f t="shared" si="4"/>
        <v>6</v>
      </c>
      <c r="B11" s="6" t="s">
        <v>10</v>
      </c>
      <c r="C11" s="187" t="s">
        <v>247</v>
      </c>
      <c r="D11" s="106">
        <f>+'UE-170033 LR Data Summary'!D13</f>
        <v>1342870567.1184549</v>
      </c>
      <c r="E11" s="12">
        <f t="shared" si="0"/>
        <v>4.5154491205980384E-2</v>
      </c>
      <c r="F11" s="106">
        <f>+'UE-170033 LR Data Summary'!I13</f>
        <v>179157.07260351363</v>
      </c>
      <c r="G11" s="12">
        <f t="shared" si="1"/>
        <v>1.1367467011056074E-2</v>
      </c>
      <c r="H11" s="12">
        <f t="shared" si="2"/>
        <v>5.6521958217036455E-2</v>
      </c>
      <c r="I11" s="12"/>
      <c r="J11" s="44">
        <f>+H11*(SUM('Table 1'!$F$24))</f>
        <v>5469747.9897032222</v>
      </c>
      <c r="K11" s="106">
        <f>+'Peak Credit Budget 2017'!K11</f>
        <v>1316672000</v>
      </c>
      <c r="L11" s="53">
        <f t="shared" si="3"/>
        <v>4.1542221522924633E-3</v>
      </c>
      <c r="N11" s="354"/>
    </row>
    <row r="12" spans="1:17" x14ac:dyDescent="0.2">
      <c r="A12" s="46">
        <f t="shared" si="4"/>
        <v>7</v>
      </c>
      <c r="B12" s="6" t="s">
        <v>11</v>
      </c>
      <c r="C12" s="181">
        <v>35</v>
      </c>
      <c r="D12" s="106">
        <f>+'UE-170033 LR Data Summary'!D14</f>
        <v>4594563.3633324662</v>
      </c>
      <c r="E12" s="12">
        <f t="shared" si="0"/>
        <v>1.5449379565306607E-4</v>
      </c>
      <c r="F12" s="106">
        <f>+'UE-170033 LR Data Summary'!I14</f>
        <v>4.0419526549894496</v>
      </c>
      <c r="G12" s="12">
        <f t="shared" si="1"/>
        <v>2.5646078493103246E-7</v>
      </c>
      <c r="H12" s="12">
        <f>+G12+E12</f>
        <v>1.5475025643799711E-4</v>
      </c>
      <c r="I12" s="12"/>
      <c r="J12" s="44">
        <f>+H12*(SUM('Table 1'!$F$24))</f>
        <v>14975.505639906567</v>
      </c>
      <c r="K12" s="106">
        <f>+'Peak Credit Budget 2017'!K12</f>
        <v>5161000</v>
      </c>
      <c r="L12" s="53">
        <f t="shared" si="3"/>
        <v>2.901667436525202E-3</v>
      </c>
      <c r="N12" s="354"/>
    </row>
    <row r="13" spans="1:17" x14ac:dyDescent="0.2">
      <c r="A13" s="46">
        <f t="shared" si="4"/>
        <v>8</v>
      </c>
      <c r="B13" s="6" t="s">
        <v>12</v>
      </c>
      <c r="C13" s="181">
        <v>43</v>
      </c>
      <c r="D13" s="106">
        <f>+'UE-170033 LR Data Summary'!D15</f>
        <v>124979540.86316925</v>
      </c>
      <c r="E13" s="12">
        <f t="shared" si="0"/>
        <v>4.2024806537707352E-3</v>
      </c>
      <c r="F13" s="106">
        <f>+'UE-170033 LR Data Summary'!I15</f>
        <v>0</v>
      </c>
      <c r="G13" s="12">
        <f t="shared" si="1"/>
        <v>0</v>
      </c>
      <c r="H13" s="12">
        <f>+G13+E13</f>
        <v>4.2024806537707352E-3</v>
      </c>
      <c r="I13" s="12"/>
      <c r="J13" s="44">
        <f>+H13*(SUM('Table 1'!$F$24))</f>
        <v>406682.8332356101</v>
      </c>
      <c r="K13" s="106">
        <f>+'Peak Credit Budget 2017'!K13</f>
        <v>123190000</v>
      </c>
      <c r="L13" s="53">
        <f t="shared" si="3"/>
        <v>3.3012649828363513E-3</v>
      </c>
      <c r="N13" s="354"/>
    </row>
    <row r="14" spans="1:17" x14ac:dyDescent="0.2">
      <c r="A14" s="46">
        <f t="shared" si="4"/>
        <v>9</v>
      </c>
      <c r="C14" s="181"/>
      <c r="E14" s="12"/>
      <c r="G14" s="12"/>
      <c r="H14" s="12"/>
      <c r="I14" s="12"/>
      <c r="J14" s="44"/>
      <c r="K14" s="106"/>
      <c r="L14" s="53"/>
    </row>
    <row r="15" spans="1:17" x14ac:dyDescent="0.2">
      <c r="A15" s="46">
        <f t="shared" si="4"/>
        <v>10</v>
      </c>
      <c r="B15" s="47" t="s">
        <v>60</v>
      </c>
      <c r="C15" s="181"/>
      <c r="E15" s="12"/>
      <c r="G15" s="12"/>
      <c r="H15" s="12"/>
      <c r="I15" s="12"/>
      <c r="J15" s="44"/>
      <c r="K15" s="106"/>
      <c r="L15" s="53"/>
    </row>
    <row r="16" spans="1:17" x14ac:dyDescent="0.2">
      <c r="A16" s="46">
        <f t="shared" si="4"/>
        <v>11</v>
      </c>
      <c r="B16" s="52" t="s">
        <v>119</v>
      </c>
      <c r="C16" s="181">
        <v>40</v>
      </c>
      <c r="D16" s="106">
        <f>+'UE-170033 LR Data Summary'!D16</f>
        <v>639599439.09802258</v>
      </c>
      <c r="E16" s="12">
        <f>+D16/D$25*0.75</f>
        <v>2.1506754228796846E-2</v>
      </c>
      <c r="F16" s="106">
        <f>+'UE-170033 LR Data- Dem 4CP'!K19</f>
        <v>80420.565981487191</v>
      </c>
      <c r="G16" s="12">
        <f>+F16/F$25*0.25</f>
        <v>5.1026628059956652E-3</v>
      </c>
      <c r="H16" s="12">
        <f>+G16+E16</f>
        <v>2.6609417034792512E-2</v>
      </c>
      <c r="I16" s="44"/>
      <c r="J16" s="44">
        <f>+H16*(SUM('Table 1'!$F$24))</f>
        <v>2575048.8823184706</v>
      </c>
      <c r="K16" s="106">
        <f>+'Peak Credit Budget 2017'!K16</f>
        <v>679072000</v>
      </c>
      <c r="L16" s="53">
        <f t="shared" ref="L16" si="5">J16/K16</f>
        <v>3.7920115721432643E-3</v>
      </c>
    </row>
    <row r="17" spans="1:15" x14ac:dyDescent="0.2">
      <c r="A17" s="46">
        <f t="shared" si="4"/>
        <v>12</v>
      </c>
      <c r="B17" s="48"/>
      <c r="C17" s="187"/>
      <c r="E17" s="12"/>
      <c r="G17" s="12"/>
      <c r="H17" s="12"/>
      <c r="I17" s="44"/>
      <c r="J17" s="44"/>
      <c r="K17" s="106"/>
      <c r="L17" s="53"/>
    </row>
    <row r="18" spans="1:15" x14ac:dyDescent="0.2">
      <c r="A18" s="46">
        <f t="shared" si="4"/>
        <v>13</v>
      </c>
      <c r="B18" s="356" t="s">
        <v>271</v>
      </c>
      <c r="C18" s="181">
        <v>46</v>
      </c>
      <c r="D18" s="106">
        <f>+'UE-170033 LR Data -Energy'!J29</f>
        <v>58540365.538649537</v>
      </c>
      <c r="E18" s="12">
        <f>+D18/D$25*0.75</f>
        <v>1.9684402098275018E-3</v>
      </c>
      <c r="F18" s="106">
        <v>0</v>
      </c>
      <c r="G18" s="12">
        <f>+F18/F$25*0.25</f>
        <v>0</v>
      </c>
      <c r="H18" s="12">
        <f t="shared" ref="H18:H19" si="6">+G18+E18</f>
        <v>1.9684402098275018E-3</v>
      </c>
      <c r="I18" s="44"/>
      <c r="J18" s="44">
        <f>+H18*(SUM('Table 1'!$F$24))</f>
        <v>190490.07182680536</v>
      </c>
      <c r="K18" s="106">
        <f>+'Peak Credit Budget 2017'!K18</f>
        <v>72776000</v>
      </c>
      <c r="L18" s="53">
        <f t="shared" ref="L18:L19" si="7">J18/K18</f>
        <v>2.6174847728207837E-3</v>
      </c>
    </row>
    <row r="19" spans="1:15" x14ac:dyDescent="0.2">
      <c r="A19" s="46">
        <f t="shared" si="4"/>
        <v>14</v>
      </c>
      <c r="B19" s="267" t="s">
        <v>272</v>
      </c>
      <c r="C19" s="181">
        <v>49</v>
      </c>
      <c r="D19" s="106">
        <f>+'UE-170033 LR Data -Energy'!J30</f>
        <v>574347448.1834321</v>
      </c>
      <c r="E19" s="12">
        <f>+D19/D$25*0.75</f>
        <v>1.931263327472154E-2</v>
      </c>
      <c r="F19" s="106">
        <f>+'UE-170033 LR Data- Dem 4CP'!Q19</f>
        <v>67179.705291231017</v>
      </c>
      <c r="G19" s="12">
        <f>+F19/F$25*0.25</f>
        <v>4.2625338347684122E-3</v>
      </c>
      <c r="H19" s="12">
        <f t="shared" si="6"/>
        <v>2.3575167109489953E-2</v>
      </c>
      <c r="I19" s="44"/>
      <c r="J19" s="44">
        <f>+H19*(SUM('Table 1'!$F$24))</f>
        <v>2281418.1774965981</v>
      </c>
      <c r="K19" s="106">
        <f>+'Peak Credit Budget 2017'!K19</f>
        <v>584007000</v>
      </c>
      <c r="L19" s="53">
        <f t="shared" si="7"/>
        <v>3.9064911507851758E-3</v>
      </c>
    </row>
    <row r="20" spans="1:15" x14ac:dyDescent="0.2">
      <c r="A20" s="46">
        <f t="shared" si="4"/>
        <v>15</v>
      </c>
      <c r="B20" s="43"/>
      <c r="C20" s="187"/>
      <c r="E20" s="12"/>
      <c r="G20" s="12"/>
      <c r="H20" s="12"/>
      <c r="I20" s="12"/>
      <c r="J20" s="44"/>
      <c r="K20" s="106"/>
      <c r="L20" s="53"/>
    </row>
    <row r="21" spans="1:15" x14ac:dyDescent="0.2">
      <c r="A21" s="46">
        <f t="shared" si="4"/>
        <v>16</v>
      </c>
      <c r="B21" s="43" t="s">
        <v>26</v>
      </c>
      <c r="C21" s="187" t="s">
        <v>273</v>
      </c>
      <c r="E21" s="12"/>
      <c r="G21" s="12"/>
      <c r="H21" s="12"/>
      <c r="I21" s="44">
        <f>+'Sch 258 Rates 2017'!C17</f>
        <v>2186865.7590000001</v>
      </c>
      <c r="J21" s="44"/>
      <c r="K21" s="106">
        <f>+'Peak Credit Budget 2017'!K21</f>
        <v>2088697000</v>
      </c>
      <c r="L21" s="53">
        <f>I21/K21</f>
        <v>1.047E-3</v>
      </c>
    </row>
    <row r="22" spans="1:15" x14ac:dyDescent="0.2">
      <c r="A22" s="46">
        <f t="shared" si="4"/>
        <v>17</v>
      </c>
      <c r="B22" s="43"/>
      <c r="C22" s="43"/>
      <c r="E22" s="12"/>
      <c r="G22" s="12"/>
      <c r="H22" s="12"/>
      <c r="I22" s="12"/>
      <c r="J22" s="44"/>
      <c r="K22" s="106"/>
      <c r="L22" s="53"/>
    </row>
    <row r="23" spans="1:15" x14ac:dyDescent="0.2">
      <c r="A23" s="46">
        <f t="shared" si="4"/>
        <v>18</v>
      </c>
      <c r="B23" s="6" t="s">
        <v>17</v>
      </c>
      <c r="C23" s="187" t="s">
        <v>114</v>
      </c>
      <c r="D23" s="106">
        <f>+'UE-170033 LR Data Summary'!D18</f>
        <v>81534389.017231286</v>
      </c>
      <c r="E23" s="12">
        <f>+D23/D$25*0.75</f>
        <v>2.7416222694966515E-3</v>
      </c>
      <c r="F23" s="106">
        <f>+'UE-170033 LR Data Summary'!I18</f>
        <v>13772.381425311305</v>
      </c>
      <c r="G23" s="12">
        <f>+F23/F$25*0.25</f>
        <v>8.7385381576522421E-4</v>
      </c>
      <c r="H23" s="12">
        <f>+G23+E23</f>
        <v>3.615476085261876E-3</v>
      </c>
      <c r="I23" s="12"/>
      <c r="J23" s="44">
        <f>+H23*(SUM('Table 1'!$F$24))</f>
        <v>349877.17469456949</v>
      </c>
      <c r="K23" s="106">
        <f>+'Peak Credit Budget 2017'!K23</f>
        <v>76506000</v>
      </c>
      <c r="L23" s="53">
        <f>J23/K23</f>
        <v>4.5731991568578869E-3</v>
      </c>
      <c r="N23" s="354"/>
    </row>
    <row r="24" spans="1:15" x14ac:dyDescent="0.2">
      <c r="A24" s="46">
        <f t="shared" si="4"/>
        <v>19</v>
      </c>
      <c r="E24" s="12"/>
      <c r="J24" s="44"/>
      <c r="L24" s="53"/>
    </row>
    <row r="25" spans="1:15" x14ac:dyDescent="0.2">
      <c r="A25" s="46">
        <f t="shared" si="4"/>
        <v>20</v>
      </c>
      <c r="B25" s="6" t="s">
        <v>18</v>
      </c>
      <c r="D25" s="106">
        <f>SUM(D6:D23)</f>
        <v>22304601346.176857</v>
      </c>
      <c r="E25" s="12">
        <f>SUM(E6:E24)</f>
        <v>0.75</v>
      </c>
      <c r="F25" s="106">
        <f>SUM(F6:F23)</f>
        <v>3940127.3922603927</v>
      </c>
      <c r="G25" s="12">
        <f>SUM(G6:G24)</f>
        <v>0.24999999999999997</v>
      </c>
      <c r="H25" s="12">
        <f>SUM(H6:H24)</f>
        <v>0.99999999999999989</v>
      </c>
      <c r="I25" s="44">
        <f>SUM(I6:I13,I16:I16,I18:I19,I21,I23)</f>
        <v>2186865.7590000001</v>
      </c>
      <c r="J25" s="44">
        <f>SUM(J6:J13,J16:J16,J18:J19,J21,J23)</f>
        <v>96772089.330312118</v>
      </c>
      <c r="K25" s="106">
        <f>SUM(K6:K13,K16:K16,K18:K19,K21,K23)</f>
        <v>23518981000</v>
      </c>
      <c r="L25" s="53">
        <f>SUM(I25:J25)/K25</f>
        <v>4.2076208611806828E-3</v>
      </c>
    </row>
    <row r="26" spans="1:15" x14ac:dyDescent="0.2">
      <c r="A26" s="46">
        <f t="shared" si="4"/>
        <v>21</v>
      </c>
      <c r="I26" s="44"/>
      <c r="J26" s="44"/>
      <c r="L26" s="286"/>
      <c r="N26" s="44"/>
    </row>
    <row r="27" spans="1:15" x14ac:dyDescent="0.2">
      <c r="A27" s="46">
        <f t="shared" si="4"/>
        <v>22</v>
      </c>
      <c r="J27" s="44"/>
      <c r="K27" s="106"/>
      <c r="L27" s="45"/>
      <c r="N27" s="71"/>
      <c r="O27" s="71"/>
    </row>
    <row r="28" spans="1:15" x14ac:dyDescent="0.2">
      <c r="A28" s="46">
        <f t="shared" si="4"/>
        <v>23</v>
      </c>
      <c r="L28" s="45"/>
      <c r="N28" s="71"/>
      <c r="O28" s="71"/>
    </row>
    <row r="29" spans="1:15" x14ac:dyDescent="0.2">
      <c r="A29" s="46">
        <f t="shared" si="4"/>
        <v>24</v>
      </c>
      <c r="B29" s="357" t="s">
        <v>276</v>
      </c>
      <c r="C29" s="357"/>
      <c r="D29" s="358"/>
      <c r="E29" s="359"/>
      <c r="F29" s="358"/>
      <c r="G29" s="359"/>
      <c r="H29" s="359"/>
      <c r="I29" s="359"/>
      <c r="J29" s="360">
        <f>SUM(J25,I25)</f>
        <v>98958955.089312121</v>
      </c>
      <c r="L29" s="45"/>
    </row>
    <row r="30" spans="1:15" ht="13.5" thickBot="1" x14ac:dyDescent="0.25">
      <c r="A30" s="194"/>
      <c r="B30" s="109"/>
      <c r="C30" s="109"/>
      <c r="D30" s="312"/>
      <c r="E30" s="109"/>
      <c r="F30" s="312"/>
      <c r="G30" s="109"/>
      <c r="H30" s="109"/>
      <c r="I30" s="109"/>
      <c r="J30" s="109"/>
      <c r="K30" s="109"/>
      <c r="L30" s="110"/>
    </row>
  </sheetData>
  <mergeCells count="1">
    <mergeCell ref="B1:L1"/>
  </mergeCells>
  <phoneticPr fontId="4" type="noConversion"/>
  <printOptions horizontalCentered="1"/>
  <pageMargins left="0.7" right="0.7" top="0.75" bottom="0.75" header="0.3" footer="0.3"/>
  <pageSetup scale="80" orientation="landscape" r:id="rId1"/>
  <headerFooter alignWithMargins="0">
    <oddHeader>&amp;RAdvice No. 2018-xx
Electric Schedule 120 Rate Design Workpapers
Page &amp;P of &amp;N</oddHeader>
    <oddFooter>&amp;L&amp;F
&amp;A&amp;R&amp;D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zoomScaleNormal="100" workbookViewId="0">
      <pane xSplit="3" ySplit="6" topLeftCell="W7" activePane="bottomRight" state="frozen"/>
      <selection sqref="A1:XFD1048576"/>
      <selection pane="topRight" sqref="A1:XFD1048576"/>
      <selection pane="bottomLeft" sqref="A1:XFD1048576"/>
      <selection pane="bottomRight" sqref="A1:XFD1048576"/>
    </sheetView>
  </sheetViews>
  <sheetFormatPr defaultColWidth="14.85546875" defaultRowHeight="12.75" x14ac:dyDescent="0.2"/>
  <cols>
    <col min="1" max="1" width="4.42578125" style="315" bestFit="1" customWidth="1"/>
    <col min="2" max="2" width="17.28515625" style="315" bestFit="1" customWidth="1"/>
    <col min="3" max="3" width="11.7109375" style="15" customWidth="1"/>
    <col min="4" max="7" width="10.85546875" style="15" bestFit="1" customWidth="1"/>
    <col min="8" max="8" width="2.42578125" style="15" customWidth="1"/>
    <col min="9" max="9" width="12.7109375" style="315" bestFit="1" customWidth="1"/>
    <col min="10" max="10" width="12.140625" style="315" bestFit="1" customWidth="1"/>
    <col min="11" max="11" width="10.85546875" style="315" bestFit="1" customWidth="1"/>
    <col min="12" max="12" width="2.42578125" style="315" customWidth="1"/>
    <col min="13" max="15" width="10.85546875" style="315" bestFit="1" customWidth="1"/>
    <col min="16" max="16" width="2.42578125" style="315" customWidth="1"/>
    <col min="17" max="17" width="12.5703125" style="315" bestFit="1" customWidth="1"/>
    <col min="18" max="18" width="2.42578125" style="315" customWidth="1"/>
    <col min="19" max="19" width="12.5703125" style="315" bestFit="1" customWidth="1"/>
    <col min="20" max="20" width="2.42578125" style="315" customWidth="1"/>
    <col min="21" max="21" width="12.5703125" style="315" bestFit="1" customWidth="1"/>
    <col min="22" max="22" width="2.42578125" style="315" customWidth="1"/>
    <col min="23" max="23" width="12.5703125" style="315" bestFit="1" customWidth="1"/>
    <col min="24" max="24" width="2.42578125" style="315" customWidth="1"/>
    <col min="25" max="25" width="12.5703125" style="315" bestFit="1" customWidth="1"/>
    <col min="26" max="26" width="2.42578125" style="315" customWidth="1"/>
    <col min="27" max="27" width="12.5703125" style="315" bestFit="1" customWidth="1"/>
    <col min="28" max="28" width="2.42578125" style="315" customWidth="1"/>
    <col min="29" max="29" width="12.5703125" style="315" bestFit="1" customWidth="1"/>
    <col min="30" max="30" width="2.42578125" style="315" customWidth="1"/>
    <col min="31" max="31" width="12.5703125" style="315" bestFit="1" customWidth="1"/>
    <col min="32" max="32" width="2.42578125" style="315" customWidth="1"/>
    <col min="33" max="33" width="12.5703125" style="315" bestFit="1" customWidth="1"/>
    <col min="34" max="34" width="2.42578125" style="315" customWidth="1"/>
    <col min="35" max="35" width="12.5703125" style="315" bestFit="1" customWidth="1"/>
    <col min="36" max="36" width="2.42578125" style="315" customWidth="1"/>
    <col min="37" max="16384" width="14.85546875" style="315"/>
  </cols>
  <sheetData>
    <row r="1" spans="1:36" ht="13.5" thickBot="1" x14ac:dyDescent="0.25"/>
    <row r="2" spans="1:36" s="321" customFormat="1" ht="25.5" x14ac:dyDescent="0.2">
      <c r="A2" s="316"/>
      <c r="B2" s="14"/>
      <c r="C2" s="14"/>
      <c r="D2" s="14"/>
      <c r="E2" s="14"/>
      <c r="F2" s="14"/>
      <c r="G2" s="14"/>
      <c r="H2" s="14"/>
      <c r="I2" s="14" t="s">
        <v>37</v>
      </c>
      <c r="J2" s="14" t="s">
        <v>38</v>
      </c>
      <c r="K2" s="317" t="s">
        <v>39</v>
      </c>
      <c r="L2" s="14"/>
      <c r="M2" s="14" t="s">
        <v>40</v>
      </c>
      <c r="N2" s="14" t="s">
        <v>41</v>
      </c>
      <c r="O2" s="317" t="s">
        <v>42</v>
      </c>
      <c r="P2" s="318"/>
      <c r="Q2" s="14" t="s">
        <v>56</v>
      </c>
      <c r="R2" s="318"/>
      <c r="S2" s="14" t="s">
        <v>57</v>
      </c>
      <c r="T2" s="319"/>
      <c r="U2" s="320" t="s">
        <v>78</v>
      </c>
      <c r="V2" s="319"/>
      <c r="W2" s="14" t="s">
        <v>83</v>
      </c>
      <c r="X2" s="319"/>
      <c r="Y2" s="14" t="s">
        <v>79</v>
      </c>
      <c r="Z2" s="319"/>
      <c r="AA2" s="14" t="s">
        <v>80</v>
      </c>
      <c r="AB2" s="319"/>
      <c r="AC2" s="14" t="s">
        <v>81</v>
      </c>
      <c r="AD2" s="319"/>
      <c r="AE2" s="14" t="s">
        <v>233</v>
      </c>
      <c r="AF2" s="319"/>
      <c r="AG2" s="14" t="s">
        <v>130</v>
      </c>
      <c r="AH2" s="319"/>
      <c r="AI2" s="14" t="s">
        <v>100</v>
      </c>
      <c r="AJ2" s="319"/>
    </row>
    <row r="3" spans="1:36" ht="13.5" thickBot="1" x14ac:dyDescent="0.25">
      <c r="A3" s="322"/>
      <c r="B3" s="323"/>
      <c r="T3" s="324"/>
      <c r="V3" s="324"/>
      <c r="X3" s="324"/>
      <c r="Z3" s="324"/>
      <c r="AB3" s="324"/>
      <c r="AD3" s="324"/>
      <c r="AF3" s="324"/>
      <c r="AH3" s="324"/>
      <c r="AJ3" s="324"/>
    </row>
    <row r="4" spans="1:36" s="330" customFormat="1" ht="63.75" x14ac:dyDescent="0.2">
      <c r="A4" s="325"/>
      <c r="B4" s="326"/>
      <c r="C4" s="327"/>
      <c r="D4" s="16" t="s">
        <v>43</v>
      </c>
      <c r="E4" s="16"/>
      <c r="F4" s="16"/>
      <c r="G4" s="16"/>
      <c r="H4" s="327"/>
      <c r="I4" s="16" t="s">
        <v>44</v>
      </c>
      <c r="J4" s="16"/>
      <c r="K4" s="16"/>
      <c r="L4" s="328"/>
      <c r="M4" s="16" t="s">
        <v>76</v>
      </c>
      <c r="N4" s="16"/>
      <c r="O4" s="16"/>
      <c r="P4" s="328"/>
      <c r="Q4" s="16" t="s">
        <v>179</v>
      </c>
      <c r="R4" s="328"/>
      <c r="S4" s="16" t="s">
        <v>180</v>
      </c>
      <c r="T4" s="329"/>
      <c r="U4" s="16" t="s">
        <v>181</v>
      </c>
      <c r="V4" s="329"/>
      <c r="W4" s="16" t="s">
        <v>182</v>
      </c>
      <c r="X4" s="329"/>
      <c r="Y4" s="16" t="s">
        <v>183</v>
      </c>
      <c r="Z4" s="329"/>
      <c r="AA4" s="16" t="s">
        <v>186</v>
      </c>
      <c r="AB4" s="329"/>
      <c r="AC4" s="16" t="s">
        <v>194</v>
      </c>
      <c r="AD4" s="329"/>
      <c r="AE4" s="16" t="s">
        <v>241</v>
      </c>
      <c r="AF4" s="329"/>
      <c r="AG4" s="16" t="s">
        <v>269</v>
      </c>
      <c r="AH4" s="329"/>
      <c r="AI4" s="16" t="s">
        <v>348</v>
      </c>
      <c r="AJ4" s="329"/>
    </row>
    <row r="5" spans="1:36" s="17" customFormat="1" ht="76.5" x14ac:dyDescent="0.2">
      <c r="A5" s="331" t="s">
        <v>69</v>
      </c>
      <c r="B5" s="332" t="s">
        <v>0</v>
      </c>
      <c r="C5" s="17" t="s">
        <v>1</v>
      </c>
      <c r="D5" s="18" t="s">
        <v>199</v>
      </c>
      <c r="E5" s="18" t="s">
        <v>200</v>
      </c>
      <c r="F5" s="18" t="s">
        <v>201</v>
      </c>
      <c r="G5" s="17" t="s">
        <v>19</v>
      </c>
      <c r="I5" s="18" t="s">
        <v>202</v>
      </c>
      <c r="J5" s="18" t="s">
        <v>203</v>
      </c>
      <c r="K5" s="17" t="s">
        <v>19</v>
      </c>
      <c r="L5" s="18"/>
      <c r="M5" s="18" t="s">
        <v>202</v>
      </c>
      <c r="N5" s="18" t="s">
        <v>203</v>
      </c>
      <c r="O5" s="17" t="s">
        <v>19</v>
      </c>
      <c r="Q5" s="18" t="s">
        <v>204</v>
      </c>
      <c r="S5" s="18" t="s">
        <v>205</v>
      </c>
      <c r="T5" s="333"/>
      <c r="U5" s="18" t="s">
        <v>206</v>
      </c>
      <c r="V5" s="333"/>
      <c r="W5" s="18" t="s">
        <v>207</v>
      </c>
      <c r="X5" s="333"/>
      <c r="Y5" s="18" t="s">
        <v>208</v>
      </c>
      <c r="Z5" s="333"/>
      <c r="AA5" s="18" t="s">
        <v>209</v>
      </c>
      <c r="AB5" s="333"/>
      <c r="AC5" s="18" t="s">
        <v>210</v>
      </c>
      <c r="AD5" s="333"/>
      <c r="AE5" s="18" t="s">
        <v>242</v>
      </c>
      <c r="AF5" s="333"/>
      <c r="AG5" s="18" t="s">
        <v>349</v>
      </c>
      <c r="AH5" s="333"/>
      <c r="AI5" s="18" t="s">
        <v>350</v>
      </c>
      <c r="AJ5" s="333"/>
    </row>
    <row r="6" spans="1:36" ht="13.5" thickBot="1" x14ac:dyDescent="0.25">
      <c r="A6" s="334"/>
      <c r="B6" s="335"/>
      <c r="C6" s="19"/>
      <c r="D6" s="19"/>
      <c r="E6" s="19"/>
      <c r="F6" s="19"/>
      <c r="G6" s="19"/>
      <c r="H6" s="19"/>
      <c r="I6" s="336"/>
      <c r="J6" s="336"/>
      <c r="K6" s="336"/>
      <c r="L6" s="336"/>
      <c r="M6" s="336"/>
      <c r="N6" s="336"/>
      <c r="O6" s="336"/>
      <c r="P6" s="336"/>
      <c r="Q6" s="336"/>
      <c r="R6" s="336"/>
      <c r="S6" s="336"/>
      <c r="T6" s="337"/>
      <c r="U6" s="336"/>
      <c r="V6" s="337"/>
      <c r="W6" s="336"/>
      <c r="X6" s="337"/>
      <c r="Y6" s="336"/>
      <c r="Z6" s="337"/>
      <c r="AA6" s="336"/>
      <c r="AB6" s="337"/>
      <c r="AC6" s="336"/>
      <c r="AD6" s="337"/>
      <c r="AE6" s="336"/>
      <c r="AF6" s="337"/>
      <c r="AG6" s="336"/>
      <c r="AH6" s="337"/>
      <c r="AI6" s="336"/>
      <c r="AJ6" s="337"/>
    </row>
    <row r="7" spans="1:36" x14ac:dyDescent="0.2">
      <c r="A7" s="338">
        <v>1</v>
      </c>
      <c r="B7" s="323" t="s">
        <v>30</v>
      </c>
      <c r="C7" s="15" t="s">
        <v>23</v>
      </c>
      <c r="D7" s="339">
        <v>2.3099999999999998E-4</v>
      </c>
      <c r="E7" s="339">
        <v>7.4999999999999993E-5</v>
      </c>
      <c r="F7" s="339">
        <v>4.3100000000000001E-4</v>
      </c>
      <c r="G7" s="340">
        <v>7.3700000000000002E-4</v>
      </c>
      <c r="H7" s="341"/>
      <c r="I7" s="339">
        <v>-1.5875949282489181E-4</v>
      </c>
      <c r="J7" s="339">
        <v>5.2286519201873811E-4</v>
      </c>
      <c r="K7" s="340">
        <v>3.6410569919384631E-4</v>
      </c>
      <c r="L7" s="342"/>
      <c r="M7" s="339">
        <v>0</v>
      </c>
      <c r="N7" s="339">
        <v>6.2889379209221446E-4</v>
      </c>
      <c r="O7" s="340">
        <v>6.2889379209221446E-4</v>
      </c>
      <c r="Q7" s="339">
        <v>6.2889379209221446E-4</v>
      </c>
      <c r="S7" s="339">
        <f>+'Effective Rate by Schedule'!AP26</f>
        <v>9.4399999999999996E-4</v>
      </c>
      <c r="T7" s="324"/>
      <c r="U7" s="339">
        <f>+'Effective Rate by Schedule'!AT26</f>
        <v>9.4399999999999996E-4</v>
      </c>
      <c r="V7" s="324"/>
      <c r="W7" s="339">
        <f>+'Effective Rate by Schedule'!AY26</f>
        <v>9.4399999999999996E-4</v>
      </c>
      <c r="X7" s="324"/>
      <c r="Y7" s="339">
        <f>+'Effective Rate by Schedule'!BC26</f>
        <v>9.4399999999999996E-4</v>
      </c>
      <c r="Z7" s="324"/>
      <c r="AA7" s="339">
        <f>+'Effective Rate by Schedule'!BG26</f>
        <v>1.0820000000000001E-3</v>
      </c>
      <c r="AB7" s="324"/>
      <c r="AC7" s="339">
        <f>+'Effective Rate by Schedule'!BK26</f>
        <v>1.0820000000000001E-3</v>
      </c>
      <c r="AD7" s="324"/>
      <c r="AE7" s="339">
        <f>+'Effective Rate by Schedule'!BO26</f>
        <v>1.0820000000000001E-3</v>
      </c>
      <c r="AF7" s="324"/>
      <c r="AG7" s="339">
        <f>+'Effective Rate by Schedule'!BS26</f>
        <v>1.0820000000000001E-3</v>
      </c>
      <c r="AH7" s="324"/>
      <c r="AI7" s="339">
        <f>+'Effective Rate by Schedule'!BW26</f>
        <v>1.047E-3</v>
      </c>
      <c r="AJ7" s="324"/>
    </row>
    <row r="8" spans="1:36" x14ac:dyDescent="0.2">
      <c r="A8" s="338">
        <v>2</v>
      </c>
      <c r="B8" s="323" t="s">
        <v>29</v>
      </c>
      <c r="C8" s="15" t="s">
        <v>23</v>
      </c>
      <c r="D8" s="339">
        <v>2.6700000000000004E-4</v>
      </c>
      <c r="E8" s="339">
        <v>8.7000000000000001E-5</v>
      </c>
      <c r="F8" s="339">
        <v>4.3100000000000001E-4</v>
      </c>
      <c r="G8" s="340">
        <v>7.8500000000000011E-4</v>
      </c>
      <c r="H8" s="343"/>
      <c r="I8" s="339">
        <v>-1.5875949282489181E-4</v>
      </c>
      <c r="J8" s="339">
        <v>5.2286519201873811E-4</v>
      </c>
      <c r="K8" s="340">
        <v>3.6410569919384631E-4</v>
      </c>
      <c r="L8" s="342"/>
      <c r="M8" s="339">
        <v>0</v>
      </c>
      <c r="N8" s="339">
        <v>6.2889379209221446E-4</v>
      </c>
      <c r="O8" s="340">
        <v>6.2889379209221446E-4</v>
      </c>
      <c r="Q8" s="339">
        <v>6.2889379209221446E-4</v>
      </c>
      <c r="S8" s="339">
        <f>+'Effective Rate by Schedule'!AP26</f>
        <v>9.4399999999999996E-4</v>
      </c>
      <c r="T8" s="324"/>
      <c r="U8" s="339">
        <f>+'Effective Rate by Schedule'!AT26</f>
        <v>9.4399999999999996E-4</v>
      </c>
      <c r="V8" s="324"/>
      <c r="W8" s="339">
        <f>+'Effective Rate by Schedule'!AY26</f>
        <v>9.4399999999999996E-4</v>
      </c>
      <c r="X8" s="324"/>
      <c r="Y8" s="339">
        <f>+'Effective Rate by Schedule'!BC26</f>
        <v>9.4399999999999996E-4</v>
      </c>
      <c r="Z8" s="324"/>
      <c r="AA8" s="339">
        <f>+'Effective Rate by Schedule'!BG26</f>
        <v>1.0820000000000001E-3</v>
      </c>
      <c r="AB8" s="324"/>
      <c r="AC8" s="339">
        <f>+'Effective Rate by Schedule'!BK26</f>
        <v>1.0820000000000001E-3</v>
      </c>
      <c r="AD8" s="324"/>
      <c r="AE8" s="339">
        <f>+'Effective Rate by Schedule'!BO26</f>
        <v>1.0820000000000001E-3</v>
      </c>
      <c r="AF8" s="324"/>
      <c r="AG8" s="339">
        <f>+'Effective Rate by Schedule'!BS26</f>
        <v>1.0820000000000001E-3</v>
      </c>
      <c r="AH8" s="324"/>
      <c r="AI8" s="339">
        <f>+'Effective Rate by Schedule'!BW26</f>
        <v>1.047E-3</v>
      </c>
      <c r="AJ8" s="324"/>
    </row>
    <row r="9" spans="1:36" x14ac:dyDescent="0.2">
      <c r="A9" s="338"/>
      <c r="B9" s="323"/>
      <c r="D9" s="339"/>
      <c r="E9" s="339"/>
      <c r="F9" s="339"/>
      <c r="G9" s="340"/>
      <c r="I9" s="339"/>
      <c r="J9" s="339"/>
      <c r="K9" s="340"/>
      <c r="L9" s="342"/>
      <c r="M9" s="339"/>
      <c r="N9" s="339"/>
      <c r="O9" s="340"/>
      <c r="Q9" s="339"/>
      <c r="S9" s="342"/>
      <c r="T9" s="324"/>
      <c r="U9" s="342"/>
      <c r="V9" s="324"/>
      <c r="W9" s="342"/>
      <c r="X9" s="324"/>
      <c r="Y9" s="342"/>
      <c r="Z9" s="324"/>
      <c r="AA9" s="342"/>
      <c r="AB9" s="324"/>
      <c r="AC9" s="342"/>
      <c r="AD9" s="324"/>
      <c r="AE9" s="342"/>
      <c r="AF9" s="324"/>
      <c r="AG9" s="342"/>
      <c r="AH9" s="324"/>
      <c r="AI9" s="342"/>
      <c r="AJ9" s="324"/>
    </row>
    <row r="10" spans="1:36" x14ac:dyDescent="0.2">
      <c r="A10" s="344">
        <v>3</v>
      </c>
      <c r="B10" s="323" t="s">
        <v>14</v>
      </c>
      <c r="C10" s="15">
        <v>46</v>
      </c>
      <c r="D10" s="339">
        <v>2.6700000000000004E-4</v>
      </c>
      <c r="E10" s="339">
        <v>8.7000000000000001E-5</v>
      </c>
      <c r="F10" s="339">
        <v>1.2439999999999999E-3</v>
      </c>
      <c r="G10" s="340">
        <v>1.598E-3</v>
      </c>
      <c r="H10" s="341"/>
      <c r="I10" s="339">
        <v>-4.188619580191804E-4</v>
      </c>
      <c r="J10" s="339">
        <v>1.0500638237436195E-3</v>
      </c>
      <c r="K10" s="340">
        <v>6.3120186572443904E-4</v>
      </c>
      <c r="L10" s="342"/>
      <c r="M10" s="339">
        <v>0</v>
      </c>
      <c r="N10" s="339">
        <v>1.0500638237436195E-3</v>
      </c>
      <c r="O10" s="340">
        <v>1.0500638237436195E-3</v>
      </c>
      <c r="Q10" s="339">
        <v>1.0500638237436195E-3</v>
      </c>
      <c r="S10" s="339">
        <f>+'Effective Rate by Schedule'!AP23</f>
        <v>1.575E-3</v>
      </c>
      <c r="T10" s="324"/>
      <c r="U10" s="339">
        <f>+'Effective Rate by Schedule'!AT23</f>
        <v>3.4089999999999997E-3</v>
      </c>
      <c r="V10" s="324"/>
      <c r="W10" s="339">
        <f>+'Effective Rate by Schedule'!AY23</f>
        <v>3.3140000000000001E-3</v>
      </c>
      <c r="X10" s="324"/>
      <c r="Y10" s="339">
        <f>+'Effective Rate by Schedule'!BC23</f>
        <v>3.1510000000000002E-3</v>
      </c>
      <c r="Z10" s="324"/>
      <c r="AA10" s="339">
        <f>+'Effective Rate by Schedule'!BG23</f>
        <v>3.7540000000000004E-3</v>
      </c>
      <c r="AB10" s="324"/>
      <c r="AC10" s="339">
        <f>+'Effective Rate by Schedule'!BK23</f>
        <v>3.7339999999999999E-3</v>
      </c>
      <c r="AD10" s="324"/>
      <c r="AE10" s="339">
        <f>+'Effective Rate by Schedule'!BO23</f>
        <v>2.836E-3</v>
      </c>
      <c r="AF10" s="324"/>
      <c r="AG10" s="339">
        <f>+'Effective Rate by Schedule'!BS23</f>
        <v>2.9170000000000003E-3</v>
      </c>
      <c r="AH10" s="324"/>
      <c r="AI10" s="339">
        <f>+'Effective Rate by Schedule'!BW23</f>
        <v>2.6159999999999998E-3</v>
      </c>
      <c r="AJ10" s="324"/>
    </row>
    <row r="11" spans="1:36" x14ac:dyDescent="0.2">
      <c r="A11" s="338">
        <v>4</v>
      </c>
      <c r="B11" s="323" t="s">
        <v>15</v>
      </c>
      <c r="C11" s="15">
        <v>49</v>
      </c>
      <c r="D11" s="339">
        <v>2.6700000000000004E-4</v>
      </c>
      <c r="E11" s="339">
        <v>8.7000000000000001E-5</v>
      </c>
      <c r="F11" s="339">
        <v>1.243E-3</v>
      </c>
      <c r="G11" s="340">
        <v>1.5969999999999999E-3</v>
      </c>
      <c r="H11" s="341"/>
      <c r="I11" s="339">
        <v>-4.188619580191804E-4</v>
      </c>
      <c r="J11" s="339">
        <v>1.0500638237436195E-3</v>
      </c>
      <c r="K11" s="340">
        <v>6.3120186572443904E-4</v>
      </c>
      <c r="L11" s="342"/>
      <c r="M11" s="339">
        <v>0</v>
      </c>
      <c r="N11" s="339">
        <v>1.0500638237436195E-3</v>
      </c>
      <c r="O11" s="340">
        <v>1.0500638237436195E-3</v>
      </c>
      <c r="Q11" s="339">
        <v>1.0500638237436195E-3</v>
      </c>
      <c r="S11" s="339">
        <f>+'Effective Rate by Schedule'!AP24</f>
        <v>1.575E-3</v>
      </c>
      <c r="T11" s="324"/>
      <c r="U11" s="339">
        <f>+'Effective Rate by Schedule'!AT24</f>
        <v>3.8729999999999997E-3</v>
      </c>
      <c r="V11" s="324"/>
      <c r="W11" s="339">
        <f>+'Effective Rate by Schedule'!AY24</f>
        <v>3.8549999999999999E-3</v>
      </c>
      <c r="X11" s="324"/>
      <c r="Y11" s="339">
        <f>+'Effective Rate by Schedule'!BC24</f>
        <v>3.7580000000000001E-3</v>
      </c>
      <c r="Z11" s="324"/>
      <c r="AA11" s="339">
        <f>+'Effective Rate by Schedule'!BG24</f>
        <v>3.9899999999999996E-3</v>
      </c>
      <c r="AB11" s="324"/>
      <c r="AC11" s="339">
        <f>+'Effective Rate by Schedule'!BK24</f>
        <v>4.2599999999999999E-3</v>
      </c>
      <c r="AD11" s="324"/>
      <c r="AE11" s="339">
        <f>+'Effective Rate by Schedule'!BO24</f>
        <v>3.79E-3</v>
      </c>
      <c r="AF11" s="324"/>
      <c r="AG11" s="339">
        <f>+'Effective Rate by Schedule'!BS24</f>
        <v>4.4260000000000002E-3</v>
      </c>
      <c r="AH11" s="324"/>
      <c r="AI11" s="339">
        <f>+'Effective Rate by Schedule'!BW24</f>
        <v>3.9040000000000004E-3</v>
      </c>
      <c r="AJ11" s="324"/>
    </row>
    <row r="12" spans="1:36" x14ac:dyDescent="0.2">
      <c r="A12" s="338"/>
      <c r="B12" s="323"/>
      <c r="D12" s="342"/>
      <c r="E12" s="342"/>
      <c r="F12" s="342"/>
      <c r="G12" s="345"/>
      <c r="H12" s="341"/>
      <c r="I12" s="342"/>
      <c r="J12" s="342"/>
      <c r="K12" s="345"/>
      <c r="L12" s="342"/>
      <c r="M12" s="342"/>
      <c r="N12" s="342"/>
      <c r="O12" s="345"/>
      <c r="Q12" s="342"/>
      <c r="S12" s="342"/>
      <c r="T12" s="324"/>
      <c r="U12" s="342"/>
      <c r="V12" s="324"/>
      <c r="W12" s="342"/>
      <c r="X12" s="324"/>
      <c r="Y12" s="342"/>
      <c r="Z12" s="324"/>
      <c r="AA12" s="342"/>
      <c r="AB12" s="324"/>
      <c r="AC12" s="342"/>
      <c r="AD12" s="324"/>
      <c r="AE12" s="342"/>
      <c r="AF12" s="324"/>
      <c r="AG12" s="342"/>
      <c r="AH12" s="324"/>
      <c r="AI12" s="342"/>
      <c r="AJ12" s="324"/>
    </row>
    <row r="13" spans="1:36" x14ac:dyDescent="0.2">
      <c r="A13" s="338">
        <v>5</v>
      </c>
      <c r="B13" s="323" t="s">
        <v>64</v>
      </c>
      <c r="C13" s="15">
        <v>40</v>
      </c>
      <c r="D13" s="342"/>
      <c r="E13" s="342"/>
      <c r="F13" s="342"/>
      <c r="G13" s="342"/>
      <c r="H13" s="341"/>
      <c r="I13" s="342"/>
      <c r="J13" s="342"/>
      <c r="K13" s="345"/>
      <c r="L13" s="342"/>
      <c r="M13" s="339">
        <f>+'Effective Rate by Schedule'!P18</f>
        <v>1.1599999999999999E-4</v>
      </c>
      <c r="N13" s="339">
        <f>+'Effective Rate by Schedule'!Q18</f>
        <v>9.0200000000000002E-4</v>
      </c>
      <c r="O13" s="340">
        <f>SUM(M13:N13)</f>
        <v>1.018E-3</v>
      </c>
      <c r="Q13" s="339">
        <f>+'Effective Rate by Schedule'!U18</f>
        <v>1.018E-3</v>
      </c>
      <c r="S13" s="339">
        <f>+'Effective Rate by Schedule'!AP18</f>
        <v>1.5269999999999999E-3</v>
      </c>
      <c r="T13" s="324"/>
      <c r="U13" s="339">
        <f>+'Effective Rate by Schedule'!AT18</f>
        <v>4.7130000000000002E-3</v>
      </c>
      <c r="V13" s="324"/>
      <c r="W13" s="339">
        <f>+'Effective Rate by Schedule'!AY18</f>
        <v>4.3599999999999993E-3</v>
      </c>
      <c r="X13" s="324"/>
      <c r="Y13" s="339">
        <f>+'Effective Rate by Schedule'!BC18</f>
        <v>4.0039999999999997E-3</v>
      </c>
      <c r="Z13" s="324"/>
      <c r="AA13" s="339">
        <f>+'Effective Rate by Schedule'!BG18</f>
        <v>4.7499999999999999E-3</v>
      </c>
      <c r="AB13" s="324"/>
      <c r="AC13" s="339">
        <f>+'Effective Rate by Schedule'!BK18</f>
        <v>5.4399999999999995E-3</v>
      </c>
      <c r="AD13" s="324"/>
      <c r="AE13" s="339">
        <f>+'Effective Rate by Schedule'!BO18</f>
        <v>4.2200000000000007E-3</v>
      </c>
      <c r="AF13" s="324"/>
      <c r="AG13" s="339">
        <f>+'Effective Rate by Schedule'!BS18</f>
        <v>5.1419999999999999E-3</v>
      </c>
      <c r="AH13" s="324"/>
      <c r="AI13" s="339">
        <f>+'Effective Rate by Schedule'!BW18</f>
        <v>3.79E-3</v>
      </c>
      <c r="AJ13" s="324"/>
    </row>
    <row r="14" spans="1:36" x14ac:dyDescent="0.2">
      <c r="A14" s="338">
        <v>6</v>
      </c>
      <c r="B14" s="346" t="s">
        <v>65</v>
      </c>
      <c r="C14" s="15">
        <v>40</v>
      </c>
      <c r="D14" s="342"/>
      <c r="E14" s="342"/>
      <c r="F14" s="342"/>
      <c r="G14" s="342"/>
      <c r="H14" s="341"/>
      <c r="I14" s="342"/>
      <c r="J14" s="342"/>
      <c r="K14" s="345"/>
      <c r="L14" s="342"/>
      <c r="M14" s="339">
        <f>+'Effective Rate by Schedule'!P19</f>
        <v>1.1599999999999999E-4</v>
      </c>
      <c r="N14" s="339">
        <f>+'Effective Rate by Schedule'!Q19</f>
        <v>9.0200000000000002E-4</v>
      </c>
      <c r="O14" s="340">
        <f>SUM(M14:N14)</f>
        <v>1.018E-3</v>
      </c>
      <c r="Q14" s="339">
        <f>+'Effective Rate by Schedule'!U19</f>
        <v>1.018E-3</v>
      </c>
      <c r="S14" s="339">
        <f>+'Effective Rate by Schedule'!AP19</f>
        <v>1.5269999999999999E-3</v>
      </c>
      <c r="T14" s="324"/>
      <c r="U14" s="339">
        <f>+'Effective Rate by Schedule'!AT19</f>
        <v>4.7130000000000002E-3</v>
      </c>
      <c r="V14" s="324"/>
      <c r="W14" s="339">
        <f>+'Effective Rate by Schedule'!AY19</f>
        <v>4.3599999999999993E-3</v>
      </c>
      <c r="X14" s="324"/>
      <c r="Y14" s="339">
        <f>+'Effective Rate by Schedule'!BC19</f>
        <v>4.0039999999999997E-3</v>
      </c>
      <c r="Z14" s="324"/>
      <c r="AA14" s="339">
        <f>+'Effective Rate by Schedule'!BG19</f>
        <v>4.7499999999999999E-3</v>
      </c>
      <c r="AB14" s="324"/>
      <c r="AC14" s="339">
        <f>+'Effective Rate by Schedule'!BK19</f>
        <v>5.4399999999999995E-3</v>
      </c>
      <c r="AD14" s="324"/>
      <c r="AE14" s="339">
        <f>+'Effective Rate by Schedule'!BO19</f>
        <v>4.2200000000000007E-3</v>
      </c>
      <c r="AF14" s="324"/>
      <c r="AG14" s="339">
        <f>+'Effective Rate by Schedule'!BS19</f>
        <v>5.1419999999999999E-3</v>
      </c>
      <c r="AH14" s="324"/>
      <c r="AI14" s="339">
        <f>+'Effective Rate by Schedule'!BW19</f>
        <v>3.79E-3</v>
      </c>
      <c r="AJ14" s="324"/>
    </row>
    <row r="15" spans="1:36" x14ac:dyDescent="0.2">
      <c r="A15" s="338">
        <v>7</v>
      </c>
      <c r="B15" s="346" t="s">
        <v>66</v>
      </c>
      <c r="C15" s="15">
        <v>40</v>
      </c>
      <c r="D15" s="342"/>
      <c r="E15" s="342"/>
      <c r="F15" s="342"/>
      <c r="G15" s="342"/>
      <c r="H15" s="341"/>
      <c r="I15" s="342"/>
      <c r="J15" s="342"/>
      <c r="K15" s="345"/>
      <c r="L15" s="342"/>
      <c r="M15" s="339">
        <f>+M11</f>
        <v>0</v>
      </c>
      <c r="N15" s="339">
        <f>+N11</f>
        <v>1.0500638237436195E-3</v>
      </c>
      <c r="O15" s="340">
        <f>SUM(M15:N15)</f>
        <v>1.0500638237436195E-3</v>
      </c>
      <c r="Q15" s="339">
        <f>+Q11</f>
        <v>1.0500638237436195E-3</v>
      </c>
      <c r="S15" s="339">
        <f>+S11</f>
        <v>1.575E-3</v>
      </c>
      <c r="T15" s="324"/>
      <c r="U15" s="339">
        <f>+U11</f>
        <v>3.8729999999999997E-3</v>
      </c>
      <c r="V15" s="324"/>
      <c r="W15" s="339">
        <f>+W11</f>
        <v>3.8549999999999999E-3</v>
      </c>
      <c r="X15" s="324"/>
      <c r="Y15" s="339">
        <f>+Y11</f>
        <v>3.7580000000000001E-3</v>
      </c>
      <c r="Z15" s="324"/>
      <c r="AA15" s="339">
        <f>+AA11</f>
        <v>3.9899999999999996E-3</v>
      </c>
      <c r="AB15" s="324"/>
      <c r="AC15" s="339">
        <f>+AC11</f>
        <v>4.2599999999999999E-3</v>
      </c>
      <c r="AD15" s="324"/>
      <c r="AE15" s="339">
        <f>+AE11</f>
        <v>3.79E-3</v>
      </c>
      <c r="AF15" s="324"/>
      <c r="AG15" s="339">
        <f>+AG11</f>
        <v>4.4260000000000002E-3</v>
      </c>
      <c r="AH15" s="324"/>
      <c r="AI15" s="339">
        <f>+AI11</f>
        <v>3.9040000000000004E-3</v>
      </c>
      <c r="AJ15" s="324"/>
    </row>
    <row r="16" spans="1:36" ht="13.5" thickBot="1" x14ac:dyDescent="0.25">
      <c r="A16" s="347"/>
      <c r="B16" s="348"/>
      <c r="C16" s="19"/>
      <c r="D16" s="349"/>
      <c r="E16" s="349"/>
      <c r="F16" s="349"/>
      <c r="G16" s="350"/>
      <c r="H16" s="351"/>
      <c r="I16" s="349"/>
      <c r="J16" s="349"/>
      <c r="K16" s="350"/>
      <c r="L16" s="349"/>
      <c r="M16" s="349"/>
      <c r="N16" s="349"/>
      <c r="O16" s="350"/>
      <c r="P16" s="336"/>
      <c r="Q16" s="349"/>
      <c r="R16" s="336"/>
      <c r="S16" s="352"/>
      <c r="T16" s="337"/>
      <c r="U16" s="352"/>
      <c r="V16" s="337"/>
      <c r="W16" s="352"/>
      <c r="X16" s="337"/>
      <c r="Y16" s="352"/>
      <c r="Z16" s="337"/>
      <c r="AA16" s="352"/>
      <c r="AB16" s="337"/>
      <c r="AC16" s="352"/>
      <c r="AD16" s="337"/>
      <c r="AE16" s="352"/>
      <c r="AF16" s="337"/>
      <c r="AG16" s="352"/>
      <c r="AH16" s="337"/>
      <c r="AI16" s="352"/>
      <c r="AJ16" s="337"/>
    </row>
    <row r="18" spans="3:36" x14ac:dyDescent="0.2">
      <c r="C18" s="315"/>
      <c r="D18" s="315"/>
      <c r="E18" s="315"/>
      <c r="F18" s="315"/>
      <c r="G18" s="315"/>
      <c r="H18" s="315"/>
      <c r="T18" s="353"/>
      <c r="V18" s="353"/>
      <c r="X18" s="353"/>
      <c r="Z18" s="353"/>
      <c r="AB18" s="353"/>
      <c r="AD18" s="353"/>
      <c r="AF18" s="353"/>
      <c r="AH18" s="353"/>
      <c r="AJ18" s="353"/>
    </row>
    <row r="19" spans="3:36" x14ac:dyDescent="0.2">
      <c r="C19" s="315"/>
      <c r="D19" s="315"/>
      <c r="E19" s="315"/>
      <c r="F19" s="315"/>
      <c r="G19" s="315"/>
      <c r="H19" s="315"/>
    </row>
    <row r="20" spans="3:36" x14ac:dyDescent="0.2">
      <c r="C20" s="315"/>
      <c r="D20" s="315"/>
      <c r="E20" s="315"/>
      <c r="F20" s="315"/>
      <c r="G20" s="315"/>
      <c r="H20" s="315"/>
    </row>
    <row r="21" spans="3:36" x14ac:dyDescent="0.2">
      <c r="C21" s="315"/>
      <c r="D21" s="315"/>
      <c r="E21" s="315"/>
      <c r="F21" s="315"/>
      <c r="G21" s="315"/>
      <c r="H21" s="315"/>
    </row>
    <row r="22" spans="3:36" x14ac:dyDescent="0.2">
      <c r="C22" s="315"/>
      <c r="D22" s="315"/>
      <c r="E22" s="315"/>
      <c r="F22" s="315"/>
      <c r="G22" s="315"/>
      <c r="H22" s="315"/>
    </row>
    <row r="23" spans="3:36" x14ac:dyDescent="0.2">
      <c r="C23" s="315"/>
      <c r="D23" s="315"/>
      <c r="E23" s="315"/>
      <c r="F23" s="315"/>
      <c r="G23" s="315"/>
      <c r="H23" s="315"/>
    </row>
  </sheetData>
  <phoneticPr fontId="4" type="noConversion"/>
  <printOptions horizontalCentered="1"/>
  <pageMargins left="0.7" right="0.7" top="0.75" bottom="0.75" header="0.3" footer="0.3"/>
  <pageSetup scale="55" orientation="landscape" r:id="rId1"/>
  <headerFooter alignWithMargins="0">
    <oddHeader>&amp;RAdvice No. 2018-xx
Electric Schedule 120 Rate Design Workpapers
Page &amp;P of &amp;N</oddHeader>
    <oddFooter>&amp;L&amp;F
&amp;A&amp;R&amp;D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activeCell="G19" sqref="G19"/>
    </sheetView>
  </sheetViews>
  <sheetFormatPr defaultColWidth="9.140625" defaultRowHeight="12.75" x14ac:dyDescent="0.2"/>
  <cols>
    <col min="1" max="1" width="9.140625" style="6"/>
    <col min="2" max="2" width="56.7109375" style="6" customWidth="1"/>
    <col min="3" max="3" width="15" style="6" bestFit="1" customWidth="1"/>
    <col min="4" max="4" width="15.28515625" style="6" bestFit="1" customWidth="1"/>
    <col min="5" max="5" width="10.85546875" style="6" bestFit="1" customWidth="1"/>
    <col min="6" max="16384" width="9.140625" style="6"/>
  </cols>
  <sheetData>
    <row r="1" spans="1:5" x14ac:dyDescent="0.2">
      <c r="A1" s="29" t="s">
        <v>31</v>
      </c>
      <c r="B1" s="25"/>
      <c r="C1" s="25"/>
      <c r="D1" s="25"/>
      <c r="E1" s="30"/>
    </row>
    <row r="2" spans="1:5" x14ac:dyDescent="0.2">
      <c r="A2" s="9" t="s">
        <v>73</v>
      </c>
      <c r="B2" s="7"/>
      <c r="C2" s="31"/>
      <c r="D2" s="7"/>
      <c r="E2" s="10"/>
    </row>
    <row r="3" spans="1:5" x14ac:dyDescent="0.2">
      <c r="A3" s="9"/>
      <c r="B3" s="7"/>
      <c r="C3" s="31"/>
      <c r="D3" s="7"/>
      <c r="E3" s="10"/>
    </row>
    <row r="4" spans="1:5" ht="13.5" thickBot="1" x14ac:dyDescent="0.25">
      <c r="A4" s="108"/>
      <c r="B4" s="109"/>
      <c r="C4" s="32"/>
      <c r="D4" s="33"/>
      <c r="E4" s="34"/>
    </row>
    <row r="5" spans="1:5" ht="26.25" thickBot="1" x14ac:dyDescent="0.25">
      <c r="A5" s="35"/>
      <c r="B5" s="36"/>
      <c r="C5" s="37" t="s">
        <v>198</v>
      </c>
      <c r="D5" s="36" t="s">
        <v>38</v>
      </c>
      <c r="E5" s="38" t="s">
        <v>46</v>
      </c>
    </row>
    <row r="6" spans="1:5" ht="38.25" x14ac:dyDescent="0.2">
      <c r="A6" s="39" t="s">
        <v>69</v>
      </c>
      <c r="B6" s="40" t="s">
        <v>20</v>
      </c>
      <c r="C6" s="41" t="s">
        <v>375</v>
      </c>
      <c r="D6" s="41" t="s">
        <v>376</v>
      </c>
      <c r="E6" s="42" t="s">
        <v>70</v>
      </c>
    </row>
    <row r="7" spans="1:5" s="28" customFormat="1" x14ac:dyDescent="0.2">
      <c r="A7" s="27"/>
      <c r="B7" s="43"/>
      <c r="C7" s="6"/>
      <c r="D7" s="44"/>
      <c r="E7" s="45"/>
    </row>
    <row r="8" spans="1:5" x14ac:dyDescent="0.2">
      <c r="A8" s="46">
        <v>1</v>
      </c>
      <c r="B8" s="47" t="s">
        <v>60</v>
      </c>
      <c r="D8" s="44"/>
      <c r="E8" s="45"/>
    </row>
    <row r="9" spans="1:5" x14ac:dyDescent="0.2">
      <c r="A9" s="46">
        <f>+A8+1</f>
        <v>2</v>
      </c>
      <c r="B9" s="48" t="s">
        <v>120</v>
      </c>
      <c r="C9" s="49">
        <f>+D9*E9</f>
        <v>2573682.88</v>
      </c>
      <c r="D9" s="99">
        <f>+'Peak Credit Budget 2017'!K16</f>
        <v>679072000</v>
      </c>
      <c r="E9" s="50">
        <f>+'Effective Rate by Schedule'!BW18</f>
        <v>3.79E-3</v>
      </c>
    </row>
    <row r="10" spans="1:5" x14ac:dyDescent="0.2">
      <c r="A10" s="46">
        <f t="shared" ref="A10:A18" si="0">+A9+1</f>
        <v>3</v>
      </c>
      <c r="B10" s="48"/>
      <c r="D10" s="106"/>
      <c r="E10" s="51"/>
    </row>
    <row r="11" spans="1:5" x14ac:dyDescent="0.2">
      <c r="A11" s="46">
        <f t="shared" si="0"/>
        <v>4</v>
      </c>
      <c r="B11" s="47" t="s">
        <v>24</v>
      </c>
      <c r="D11" s="106"/>
      <c r="E11" s="51"/>
    </row>
    <row r="12" spans="1:5" x14ac:dyDescent="0.2">
      <c r="A12" s="46">
        <f t="shared" si="0"/>
        <v>5</v>
      </c>
      <c r="B12" s="48" t="s">
        <v>74</v>
      </c>
      <c r="C12" s="44">
        <f>+D12*E12</f>
        <v>0</v>
      </c>
      <c r="D12" s="106">
        <v>0</v>
      </c>
      <c r="E12" s="51">
        <f>+E14</f>
        <v>3.9039999999999999E-3</v>
      </c>
    </row>
    <row r="13" spans="1:5" x14ac:dyDescent="0.2">
      <c r="A13" s="46">
        <f t="shared" si="0"/>
        <v>6</v>
      </c>
      <c r="B13" s="52" t="s">
        <v>71</v>
      </c>
      <c r="C13" s="44">
        <f>+D13*E13</f>
        <v>190382.01599999997</v>
      </c>
      <c r="D13" s="106">
        <f>+'Peak Credit Budget 2017'!K18</f>
        <v>72776000</v>
      </c>
      <c r="E13" s="51">
        <f>+'Proforma - Proposed  Revenue'!G24</f>
        <v>2.6159999999999998E-3</v>
      </c>
    </row>
    <row r="14" spans="1:5" x14ac:dyDescent="0.2">
      <c r="A14" s="46">
        <f t="shared" si="0"/>
        <v>7</v>
      </c>
      <c r="B14" s="48" t="s">
        <v>72</v>
      </c>
      <c r="C14" s="44">
        <f>+D14*E14</f>
        <v>2279963.3279999997</v>
      </c>
      <c r="D14" s="106">
        <f>+'Peak Credit Budget 2017'!K19</f>
        <v>584007000</v>
      </c>
      <c r="E14" s="51">
        <f>+'Proforma - Proposed  Revenue'!G25</f>
        <v>3.9039999999999999E-3</v>
      </c>
    </row>
    <row r="15" spans="1:5" x14ac:dyDescent="0.2">
      <c r="A15" s="46">
        <f t="shared" si="0"/>
        <v>8</v>
      </c>
      <c r="B15" s="43" t="s">
        <v>75</v>
      </c>
      <c r="C15" s="49">
        <f>SUM(C12:C14)</f>
        <v>2470345.3439999996</v>
      </c>
      <c r="D15" s="99">
        <f>SUM(D12:D14)</f>
        <v>656783000</v>
      </c>
      <c r="E15" s="50">
        <f>+$C$15/D15</f>
        <v>3.7612808857720123E-3</v>
      </c>
    </row>
    <row r="16" spans="1:5" x14ac:dyDescent="0.2">
      <c r="A16" s="46">
        <f t="shared" si="0"/>
        <v>9</v>
      </c>
      <c r="B16" s="43"/>
      <c r="D16" s="106"/>
      <c r="E16" s="51"/>
    </row>
    <row r="17" spans="1:5" x14ac:dyDescent="0.2">
      <c r="A17" s="46">
        <f t="shared" si="0"/>
        <v>10</v>
      </c>
      <c r="B17" s="48" t="s">
        <v>268</v>
      </c>
      <c r="C17" s="49">
        <f>+D17*E17</f>
        <v>2186865.7590000001</v>
      </c>
      <c r="D17" s="99">
        <f>+'Peak Credit Budget 2017'!K21</f>
        <v>2088697000</v>
      </c>
      <c r="E17" s="50">
        <f>+C30</f>
        <v>1.047E-3</v>
      </c>
    </row>
    <row r="18" spans="1:5" x14ac:dyDescent="0.2">
      <c r="A18" s="46">
        <f t="shared" si="0"/>
        <v>11</v>
      </c>
      <c r="E18" s="51"/>
    </row>
    <row r="19" spans="1:5" x14ac:dyDescent="0.2">
      <c r="A19" s="46">
        <f>+A18+1</f>
        <v>12</v>
      </c>
      <c r="B19" s="6" t="s">
        <v>19</v>
      </c>
      <c r="C19" s="44">
        <f>SUM(C17,C15,C9)</f>
        <v>7230893.983</v>
      </c>
      <c r="D19" s="106">
        <f>SUM(D9,D15,D17)</f>
        <v>3424552000</v>
      </c>
      <c r="E19" s="53">
        <f>+$C$19/D19</f>
        <v>2.111486110591984E-3</v>
      </c>
    </row>
    <row r="20" spans="1:5" x14ac:dyDescent="0.2">
      <c r="A20" s="54"/>
      <c r="E20" s="55"/>
    </row>
    <row r="21" spans="1:5" x14ac:dyDescent="0.2">
      <c r="A21" s="46">
        <f>+A19+1</f>
        <v>13</v>
      </c>
      <c r="B21" s="6" t="s">
        <v>173</v>
      </c>
      <c r="E21" s="45"/>
    </row>
    <row r="22" spans="1:5" x14ac:dyDescent="0.2">
      <c r="A22" s="46">
        <f>+A21+1</f>
        <v>14</v>
      </c>
      <c r="B22" s="48" t="s">
        <v>641</v>
      </c>
      <c r="C22" s="385">
        <v>182</v>
      </c>
      <c r="E22" s="45"/>
    </row>
    <row r="23" spans="1:5" x14ac:dyDescent="0.2">
      <c r="A23" s="46">
        <f t="shared" ref="A23:A30" si="1">+A22+1</f>
        <v>15</v>
      </c>
      <c r="B23" s="48" t="s">
        <v>642</v>
      </c>
      <c r="C23" s="385">
        <v>188</v>
      </c>
      <c r="E23" s="45"/>
    </row>
    <row r="24" spans="1:5" ht="13.5" thickBot="1" x14ac:dyDescent="0.25">
      <c r="A24" s="46">
        <f t="shared" si="1"/>
        <v>16</v>
      </c>
      <c r="B24" s="52" t="s">
        <v>174</v>
      </c>
      <c r="C24" s="386">
        <f>+C22-C23</f>
        <v>-6</v>
      </c>
      <c r="D24" s="6" t="s">
        <v>175</v>
      </c>
      <c r="E24" s="45"/>
    </row>
    <row r="25" spans="1:5" ht="13.5" thickTop="1" x14ac:dyDescent="0.2">
      <c r="A25" s="46">
        <f t="shared" si="1"/>
        <v>17</v>
      </c>
      <c r="C25" s="387"/>
      <c r="E25" s="45"/>
    </row>
    <row r="26" spans="1:5" x14ac:dyDescent="0.2">
      <c r="A26" s="46">
        <f t="shared" si="1"/>
        <v>18</v>
      </c>
      <c r="B26" s="48" t="s">
        <v>645</v>
      </c>
      <c r="C26" s="388">
        <f>+C24/C23</f>
        <v>-3.1914893617021274E-2</v>
      </c>
      <c r="D26" s="6" t="s">
        <v>176</v>
      </c>
      <c r="E26" s="45"/>
    </row>
    <row r="27" spans="1:5" x14ac:dyDescent="0.2">
      <c r="A27" s="46">
        <f t="shared" si="1"/>
        <v>19</v>
      </c>
      <c r="C27" s="387"/>
      <c r="E27" s="45"/>
    </row>
    <row r="28" spans="1:5" x14ac:dyDescent="0.2">
      <c r="A28" s="46">
        <f t="shared" si="1"/>
        <v>20</v>
      </c>
      <c r="B28" s="43" t="s">
        <v>193</v>
      </c>
      <c r="C28" s="389">
        <f>+'Sch 258 Rate Summary'!AA7</f>
        <v>1.0820000000000001E-3</v>
      </c>
      <c r="E28" s="45"/>
    </row>
    <row r="29" spans="1:5" x14ac:dyDescent="0.2">
      <c r="A29" s="46">
        <f t="shared" si="1"/>
        <v>21</v>
      </c>
      <c r="B29" s="43" t="s">
        <v>643</v>
      </c>
      <c r="C29" s="389">
        <f>ROUND(+C26*C28,6)</f>
        <v>-3.4999999999999997E-5</v>
      </c>
      <c r="D29" s="6" t="s">
        <v>177</v>
      </c>
      <c r="E29" s="45"/>
    </row>
    <row r="30" spans="1:5" ht="13.5" thickBot="1" x14ac:dyDescent="0.25">
      <c r="A30" s="46">
        <f t="shared" si="1"/>
        <v>22</v>
      </c>
      <c r="B30" s="43" t="s">
        <v>644</v>
      </c>
      <c r="C30" s="390">
        <f>ROUND(SUM(C28:C29),6)</f>
        <v>1.047E-3</v>
      </c>
      <c r="D30" s="6" t="s">
        <v>178</v>
      </c>
      <c r="E30" s="45"/>
    </row>
    <row r="31" spans="1:5" ht="14.25" thickTop="1" thickBot="1" x14ac:dyDescent="0.25">
      <c r="A31" s="108"/>
      <c r="B31" s="109"/>
      <c r="C31" s="109"/>
      <c r="D31" s="109"/>
      <c r="E31" s="110"/>
    </row>
  </sheetData>
  <phoneticPr fontId="4" type="noConversion"/>
  <printOptions horizontalCentered="1"/>
  <pageMargins left="0.7" right="0.7" top="0.89" bottom="0.75" header="0.3" footer="0.3"/>
  <pageSetup orientation="landscape" r:id="rId1"/>
  <headerFooter alignWithMargins="0">
    <oddHeader>&amp;RAdvice No. 2018-xx
Electric Schedule 120 Rate Design Workpapers
Page &amp;P of &amp;N</oddHeader>
    <oddFooter>&amp;L&amp;F
&amp;A&amp;R&amp;D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E1CFC26FB5F9D4F90C60D9A8148B507" ma:contentTypeVersion="76" ma:contentTypeDescription="" ma:contentTypeScope="" ma:versionID="e6a524e0d968ad24947c0b0d681030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2018-03-01T08:00:00+00:00</OpenedDate>
    <SignificantOrder xmlns="dc463f71-b30c-4ab2-9473-d307f9d35888">false</SignificantOrder>
    <Date1 xmlns="dc463f71-b30c-4ab2-9473-d307f9d35888">2018-04-17T07:00:00+00:00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180185</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3685686-3DE4-4535-AC83-CF41F5B7BC77}"/>
</file>

<file path=customXml/itemProps2.xml><?xml version="1.0" encoding="utf-8"?>
<ds:datastoreItem xmlns:ds="http://schemas.openxmlformats.org/officeDocument/2006/customXml" ds:itemID="{C935A44D-3C5D-4FC1-8D8F-CC6DCE5348D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a7bd91e-004b-490a-8704-e368d63d59a0"/>
    <ds:schemaRef ds:uri="http://www.w3.org/XML/1998/namespace"/>
  </ds:schemaRefs>
</ds:datastoreItem>
</file>

<file path=customXml/itemProps3.xml><?xml version="1.0" encoding="utf-8"?>
<ds:datastoreItem xmlns:ds="http://schemas.openxmlformats.org/officeDocument/2006/customXml" ds:itemID="{72790D43-892C-4576-B8DB-9453ACEA5110}">
  <ds:schemaRefs>
    <ds:schemaRef ds:uri="http://schemas.microsoft.com/sharepoint/v3/contenttype/forms"/>
  </ds:schemaRefs>
</ds:datastoreItem>
</file>

<file path=customXml/itemProps4.xml><?xml version="1.0" encoding="utf-8"?>
<ds:datastoreItem xmlns:ds="http://schemas.openxmlformats.org/officeDocument/2006/customXml" ds:itemID="{ED9F443A-145A-4B05-9022-3B326B7AD6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Table 1</vt:lpstr>
      <vt:lpstr>Proforma - Proposed  Revenue</vt:lpstr>
      <vt:lpstr>Proforma - Proposed vs. no 120 </vt:lpstr>
      <vt:lpstr>Typical Res Customer Sch 120</vt:lpstr>
      <vt:lpstr>Effective Rate by Schedule</vt:lpstr>
      <vt:lpstr>Lighting Schedule Rates</vt:lpstr>
      <vt:lpstr>Peak Credit Budget 2018</vt:lpstr>
      <vt:lpstr>Sch 258 Rate Summary</vt:lpstr>
      <vt:lpstr>Sch 258 Rates 2017</vt:lpstr>
      <vt:lpstr>Peak Credit Budget 2017</vt:lpstr>
      <vt:lpstr>Projected Revenue on F2017</vt:lpstr>
      <vt:lpstr>UE-170033 LR Data Summary</vt:lpstr>
      <vt:lpstr>UE-170033 LR Data- Dem 4CP</vt:lpstr>
      <vt:lpstr>UE-170033 LR Data -Energy</vt:lpstr>
      <vt:lpstr>UE-141368 Final PC Alloc</vt:lpstr>
      <vt:lpstr>'Effective Rate by Schedule'!Print_Area</vt:lpstr>
      <vt:lpstr>'Lighting Schedule Rates'!Print_Area</vt:lpstr>
      <vt:lpstr>'Peak Credit Budget 2017'!Print_Area</vt:lpstr>
      <vt:lpstr>'Peak Credit Budget 2018'!Print_Area</vt:lpstr>
      <vt:lpstr>'Proforma - Proposed  Revenue'!Print_Area</vt:lpstr>
      <vt:lpstr>'Proforma - Proposed vs. no 120 '!Print_Area</vt:lpstr>
      <vt:lpstr>'Projected Revenue on F2017'!Print_Area</vt:lpstr>
      <vt:lpstr>'Sch 258 Rate Summary'!Print_Area</vt:lpstr>
      <vt:lpstr>'Sch 258 Rates 2017'!Print_Area</vt:lpstr>
      <vt:lpstr>'Table 1'!Print_Area</vt:lpstr>
      <vt:lpstr>'Typical Res Customer Sch 120'!Print_Area</vt:lpstr>
      <vt:lpstr>'UE-141368 Final PC Alloc'!Print_Area</vt:lpstr>
      <vt:lpstr>'UE-170033 LR Data- Dem 4CP'!Print_Area</vt:lpstr>
      <vt:lpstr>'UE-170033 LR Data -Energy'!Print_Area</vt:lpstr>
      <vt:lpstr>'UE-170033 LR Data Summary'!Print_Area</vt:lpstr>
      <vt:lpstr>'Effective Rate by Schedule'!Print_Titles</vt:lpstr>
      <vt:lpstr>'Lighting Schedule Rates'!Print_Titles</vt:lpstr>
      <vt:lpstr>'Sch 258 Rate Summary'!Print_Titles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Rasanen</dc:creator>
  <cp:lastModifiedBy>Huey, Lorilyn (UTC)</cp:lastModifiedBy>
  <cp:lastPrinted>2018-02-21T17:36:41Z</cp:lastPrinted>
  <dcterms:created xsi:type="dcterms:W3CDTF">2001-02-07T23:54:25Z</dcterms:created>
  <dcterms:modified xsi:type="dcterms:W3CDTF">2018-04-18T16:02:52Z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0x0101006E56B4D1795A2E4DB2F0B01679ED314A00FE1CFC26FB5F9D4F90C60D9A8148B507</vt:lpwstr>
  </property>
  <property fmtid="{D5CDD505-2E9C-101B-9397-08002B2CF9AE}" pid="3" name="_docset_NoMedatataSyncRequired">
    <vt:lpwstr>False</vt:lpwstr>
  </property>
  <property fmtid="{D5CDD505-2E9C-101B-9397-08002B2CF9AE}" pid="4" name="IsEFSEC">
    <vt:bool>false</vt:bool>
  </property>
</Properties>
</file>