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13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2" yWindow="336" windowWidth="20952" windowHeight="9660" tabRatio="883"/>
  </bookViews>
  <sheets>
    <sheet name="Rule No. 6" sheetId="235" r:id="rId1"/>
    <sheet name="Residential Allowance" sheetId="220" r:id="rId2"/>
    <sheet name="Sch 31 Allowance" sheetId="221" r:id="rId3"/>
    <sheet name="Sch 41-86 Allowance" sheetId="218" r:id="rId4"/>
    <sheet name="Sch 85-87 Allowance" sheetId="219" r:id="rId5"/>
    <sheet name="Work Papers--&gt;" sheetId="234" r:id="rId6"/>
    <sheet name="Cost of Capital" sheetId="222" r:id="rId7"/>
    <sheet name="JAP-42 Page 1" sheetId="223" r:id="rId8"/>
    <sheet name="JAP-42 Page 2" sheetId="224" r:id="rId9"/>
    <sheet name="JAP-42 Page 3" sheetId="225" r:id="rId10"/>
    <sheet name="JAP-42 Page 4" sheetId="226" r:id="rId11"/>
    <sheet name="Rate Design Res" sheetId="228" r:id="rId12"/>
    <sheet name="Rate Design C&amp;I" sheetId="229" r:id="rId13"/>
    <sheet name="Rate Design Int &amp; Trans" sheetId="230" r:id="rId14"/>
    <sheet name="12ME Sep16 Cust Data" sheetId="231" r:id="rId15"/>
    <sheet name="Weather Adj" sheetId="23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14">[3]BS!$T$7:$T$3582</definedName>
    <definedName name="__Dec03" localSheetId="15">[3]BS!$T$7:$T$3582</definedName>
    <definedName name="__Dec03">[3]BS!$T$7:$T$3582</definedName>
    <definedName name="__Dec04" localSheetId="14">[1]BS!$AC$7:$AC$3580</definedName>
    <definedName name="__Dec04" localSheetId="15">[1]BS!$AC$7:$AC$3580</definedName>
    <definedName name="__Dec04">[1]BS!$AC$7:$AC$3580</definedName>
    <definedName name="__Feb04">[1]BS!$S$7:$S$3582</definedName>
    <definedName name="__Jan04">[1]BS!$R$7:$R$3582</definedName>
    <definedName name="__Jul04" localSheetId="14">[1]BS!$X$7:$X$3582</definedName>
    <definedName name="__Jul04" localSheetId="15">[1]BS!$X$7:$X$3582</definedName>
    <definedName name="__Jul04">[1]BS!$X$7:$X$3582</definedName>
    <definedName name="__Jul09" xml:space="preserve"> [2]BS!$X$7:$X$1726</definedName>
    <definedName name="__Jun04" localSheetId="14">[1]BS!$W$7:$W$3582</definedName>
    <definedName name="__Jun04" localSheetId="15">[1]BS!$W$7:$W$3582</definedName>
    <definedName name="__Jun04">[1]BS!$W$7:$W$3582</definedName>
    <definedName name="__Jun09">" BS!$AI$7:$AI$1643"</definedName>
    <definedName name="__Mar04">[1]BS!$T$7:$T$3582</definedName>
    <definedName name="__May04" localSheetId="14">[1]BS!$V$7:$V$3582</definedName>
    <definedName name="__May04" localSheetId="15">[1]BS!$V$7:$V$3582</definedName>
    <definedName name="__May04">[1]BS!$V$7:$V$3582</definedName>
    <definedName name="__Nov03" localSheetId="14">[3]BS!$S$7:$S$3582</definedName>
    <definedName name="__Nov03" localSheetId="15">[3]BS!$S$7:$S$3582</definedName>
    <definedName name="__Nov03">[3]BS!$S$7:$S$3582</definedName>
    <definedName name="__Nov04" localSheetId="14">[1]BS!$AB$7:$AB$3582</definedName>
    <definedName name="__Nov04" localSheetId="15">[1]BS!$AB$7:$AB$3582</definedName>
    <definedName name="__Nov04">[1]BS!$AB$7:$AB$3582</definedName>
    <definedName name="__Oct03" localSheetId="14">[3]BS!$R$7:$R$3582</definedName>
    <definedName name="__Oct03" localSheetId="15">[3]BS!$R$7:$R$3582</definedName>
    <definedName name="__Oct03">[3]BS!$R$7:$R$3582</definedName>
    <definedName name="__Oct04" localSheetId="14">[1]BS!$AA$7:$AA$3582</definedName>
    <definedName name="__Oct04" localSheetId="15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14">[3]BS!$Q$7:$Q$3582</definedName>
    <definedName name="__Sep03" localSheetId="15">[3]BS!$Q$7:$Q$3582</definedName>
    <definedName name="__Sep03">[3]BS!$Q$7:$Q$3582</definedName>
    <definedName name="__Sep04" localSheetId="14">[1]BS!$Z$7:$Z$3582</definedName>
    <definedName name="__Sep04" localSheetId="15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4">[1]BS!$U$7:$U$3582</definedName>
    <definedName name="_Apr04" localSheetId="15">[1]BS!$U$7:$U$3582</definedName>
    <definedName name="_Apr04">[1]BS!$U$7:$U$3582</definedName>
    <definedName name="_Apr09" xml:space="preserve"> [2]BS!$U$7:$U$1726</definedName>
    <definedName name="_Aug04" localSheetId="14">[1]BS!$Y$7:$Y$3582</definedName>
    <definedName name="_Aug04" localSheetId="15">[1]BS!$Y$7:$Y$3582</definedName>
    <definedName name="_Aug04">[1]BS!$Y$7:$Y$3582</definedName>
    <definedName name="_Aug09" xml:space="preserve"> [2]BS!$Y$7:$Y$1726</definedName>
    <definedName name="_Dec03" localSheetId="14">[3]BS!$T$7:$T$3582</definedName>
    <definedName name="_Dec03" localSheetId="15">[3]BS!$T$7:$T$3582</definedName>
    <definedName name="_Dec03">[3]BS!$T$7:$T$3582</definedName>
    <definedName name="_Dec04" localSheetId="14">[1]BS!$AC$7:$AC$3580</definedName>
    <definedName name="_Dec04" localSheetId="15">[1]BS!$AC$7:$AC$3580</definedName>
    <definedName name="_Dec04">[1]BS!$AC$7:$AC$3580</definedName>
    <definedName name="_Dec08" xml:space="preserve"> [2]BS!$Q$7:$Q$1726</definedName>
    <definedName name="_Feb04" localSheetId="14">[1]BS!$S$7:$S$3582</definedName>
    <definedName name="_Feb04" localSheetId="15">[1]BS!$S$7:$S$3582</definedName>
    <definedName name="_Feb04">[1]BS!$S$7:$S$3582</definedName>
    <definedName name="_FEB09" xml:space="preserve"> [2]BS!$S$7:$S$1726</definedName>
    <definedName name="_Jan04" localSheetId="14">[1]BS!$R$7:$R$3582</definedName>
    <definedName name="_Jan04" localSheetId="15">[1]BS!$R$7:$R$3582</definedName>
    <definedName name="_Jan04">[1]BS!$R$7:$R$3582</definedName>
    <definedName name="_Jul04" localSheetId="14">[1]BS!$X$7:$X$3582</definedName>
    <definedName name="_Jul04" localSheetId="15">[1]BS!$X$7:$X$3582</definedName>
    <definedName name="_Jul04">[1]BS!$X$7:$X$3582</definedName>
    <definedName name="_Jul09" xml:space="preserve"> [2]BS!$X$7:$X$1726</definedName>
    <definedName name="_Jun04" localSheetId="14">[1]BS!$W$7:$W$3582</definedName>
    <definedName name="_Jun04" localSheetId="15">[1]BS!$W$7:$W$3582</definedName>
    <definedName name="_Jun04">[1]BS!$W$7:$W$3582</definedName>
    <definedName name="_Jun09" xml:space="preserve"> [2]BS!$W$7:$W$1726</definedName>
    <definedName name="_Mar04" localSheetId="14">[1]BS!$T$7:$T$3582</definedName>
    <definedName name="_Mar04" localSheetId="15">[1]BS!$T$7:$T$3582</definedName>
    <definedName name="_Mar04">[1]BS!$T$7:$T$3582</definedName>
    <definedName name="_May04" localSheetId="14">[1]BS!$V$7:$V$3582</definedName>
    <definedName name="_May04" localSheetId="15">[1]BS!$V$7:$V$3582</definedName>
    <definedName name="_May04">[1]BS!$V$7:$V$3582</definedName>
    <definedName name="_May09" xml:space="preserve"> [2]BS!$V$7:$V$1726</definedName>
    <definedName name="_Nov03" localSheetId="14">[3]BS!$S$7:$S$3582</definedName>
    <definedName name="_Nov03" localSheetId="15">[3]BS!$S$7:$S$3582</definedName>
    <definedName name="_Nov03">[3]BS!$S$7:$S$3582</definedName>
    <definedName name="_Nov04" localSheetId="14">[1]BS!$AB$7:$AB$3582</definedName>
    <definedName name="_Nov04" localSheetId="15">[1]BS!$AB$7:$AB$3582</definedName>
    <definedName name="_Nov04">[1]BS!$AB$7:$AB$3582</definedName>
    <definedName name="_Oct03" localSheetId="14">[3]BS!$R$7:$R$3582</definedName>
    <definedName name="_Oct03" localSheetId="15">[3]BS!$R$7:$R$3582</definedName>
    <definedName name="_Oct03">[3]BS!$R$7:$R$3582</definedName>
    <definedName name="_Oct04" localSheetId="14">[1]BS!$AA$7:$AA$3582</definedName>
    <definedName name="_Oct04" localSheetId="15">[1]BS!$AA$7:$AA$3582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14">[3]BS!$Q$7:$Q$3582</definedName>
    <definedName name="_Sep03" localSheetId="15">[3]BS!$Q$7:$Q$3582</definedName>
    <definedName name="_Sep03">[3]BS!$Q$7:$Q$3582</definedName>
    <definedName name="_Sep04" localSheetId="14">[1]BS!$Z$7:$Z$3582</definedName>
    <definedName name="_Sep04" localSheetId="15">[1]BS!$Z$7:$Z$3582</definedName>
    <definedName name="_Sep04">[1]BS!$Z$7:$Z$3582</definedName>
    <definedName name="AccessDatabase">"I:\COMTREL\FINICLE\TradeSummary.mdb"</definedName>
    <definedName name="Acct2281SO">'[6]Func Study'!$H$2190</definedName>
    <definedName name="Acct2283SO">'[6]Func Study'!$H$2198</definedName>
    <definedName name="Acct228SO">'[6]Func Study'!$H$2194</definedName>
    <definedName name="Acct350">'[6]Func Study'!$H$1628</definedName>
    <definedName name="Acct352">'[6]Func Study'!$H$1635</definedName>
    <definedName name="Acct353">'[6]Func Study'!$H$1641</definedName>
    <definedName name="Acct354">'[6]Func Study'!$H$1647</definedName>
    <definedName name="Acct355">'[6]Func Study'!$H$1654</definedName>
    <definedName name="Acct356">'[6]Func Study'!$H$1660</definedName>
    <definedName name="Acct357">'[6]Func Study'!$H$1666</definedName>
    <definedName name="Acct358">'[6]Func Study'!$H$1672</definedName>
    <definedName name="Acct359">'[6]Func Study'!$H$1678</definedName>
    <definedName name="Acct360">'[6]Func Study'!$H$1698</definedName>
    <definedName name="Acct361">'[6]Func Study'!$H$1704</definedName>
    <definedName name="Acct362">'[6]Func Study'!$H$1710</definedName>
    <definedName name="Acct364">'[6]Func Study'!$H$1717</definedName>
    <definedName name="Acct365">'[6]Func Study'!$H$1724</definedName>
    <definedName name="Acct366">'[6]Func Study'!$H$1731</definedName>
    <definedName name="Acct367">'[6]Func Study'!$H$1738</definedName>
    <definedName name="Acct368">'[6]Func Study'!$H$1744</definedName>
    <definedName name="Acct369">'[6]Func Study'!$H$1751</definedName>
    <definedName name="Acct370">'[6]Func Study'!$H$1762</definedName>
    <definedName name="Acct371">'[6]Func Study'!$H$1769</definedName>
    <definedName name="Acct372">'[6]Func Study'!$H$1776</definedName>
    <definedName name="Acct372A">'[6]Func Study'!$H$1775</definedName>
    <definedName name="Acct372DP">'[6]Func Study'!$H$1773</definedName>
    <definedName name="Acct372DS">'[6]Func Study'!$H$1774</definedName>
    <definedName name="Acct373">'[6]Func Study'!$H$1782</definedName>
    <definedName name="Acct448S">'[6]Func Study'!$H$274</definedName>
    <definedName name="Acct450S">'[6]Func Study'!$H$302</definedName>
    <definedName name="Acct451S">'[6]Func Study'!$H$307</definedName>
    <definedName name="Acct454S">'[6]Func Study'!$H$318</definedName>
    <definedName name="Acct456S">'[6]Func Study'!$H$325</definedName>
    <definedName name="ACCT557CAGE">'[6]Func Study'!$H$683</definedName>
    <definedName name="Acct557CT">'[6]Func Study'!$H$681</definedName>
    <definedName name="Acct580">'[6]Func Study'!$H$791</definedName>
    <definedName name="Acct581">'[6]Func Study'!$H$796</definedName>
    <definedName name="Acct582">'[6]Func Study'!$H$801</definedName>
    <definedName name="Acct583">'[6]Func Study'!$H$806</definedName>
    <definedName name="Acct584">'[6]Func Study'!$H$811</definedName>
    <definedName name="Acct585">'[6]Func Study'!$H$816</definedName>
    <definedName name="Acct586">'[6]Func Study'!$H$821</definedName>
    <definedName name="Acct587">'[6]Func Study'!$H$826</definedName>
    <definedName name="Acct588">'[6]Func Study'!$H$831</definedName>
    <definedName name="Acct589">'[6]Func Study'!$H$836</definedName>
    <definedName name="Acct590">'[6]Func Study'!$H$841</definedName>
    <definedName name="Acct591">'[6]Func Study'!$H$846</definedName>
    <definedName name="Acct592">'[6]Func Study'!$H$851</definedName>
    <definedName name="Acct593">'[6]Func Study'!$H$856</definedName>
    <definedName name="Acct594">'[6]Func Study'!$H$861</definedName>
    <definedName name="Acct595">'[6]Func Study'!$H$866</definedName>
    <definedName name="Acct596">'[6]Func Study'!$H$876</definedName>
    <definedName name="Acct597">'[6]Func Study'!$H$881</definedName>
    <definedName name="Acct598">'[6]Func Study'!$H$886</definedName>
    <definedName name="AcctAGA">'[6]Func Study'!$H$296</definedName>
    <definedName name="AcctTable">[7]Variables!$AK$42:$AK$396</definedName>
    <definedName name="AcctTS0">'[6]Func Study'!$H$1686</definedName>
    <definedName name="Acq1Plant" localSheetId="14">'[8]Acquisition Inputs'!$C$8</definedName>
    <definedName name="Acq1Plant" localSheetId="15">'[8]Acquisition Inputs'!$C$8</definedName>
    <definedName name="Acq1Plant">'[8]Acquisition Inputs'!$C$8</definedName>
    <definedName name="Acq2Plant" localSheetId="14">'[8]Acquisition Inputs'!$C$70</definedName>
    <definedName name="Acq2Plant" localSheetId="15">'[8]Acquisition Inputs'!$C$70</definedName>
    <definedName name="Acq2Plant">'[8]Acquisition Inputs'!$C$70</definedName>
    <definedName name="ActualROR">'[9]G+T+D+R+M'!$H$61</definedName>
    <definedName name="ADJPTDCE.T">[4]INTERNAL!$A$31:$IV$33</definedName>
    <definedName name="Adjs2avg">[10]Inputs!$L$255:'[10]Inputs'!$T$505</definedName>
    <definedName name="ANCIL">[4]EXTERNAL!$A$163:$IV$165</definedName>
    <definedName name="Apr04AMA" localSheetId="14">[1]BS!$AG$7:$AG$3582</definedName>
    <definedName name="Apr04AMA" localSheetId="15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'[11]Cabot Gas Replacement'!$B$8:$F$16</definedName>
    <definedName name="AS2DocOpenMode">"AS2DocumentEdit"</definedName>
    <definedName name="Asset_Class_Switch">[12]Assumptions!$D$5</definedName>
    <definedName name="Aug04AMA" localSheetId="14">[1]BS!$AK$7:$AK$3582</definedName>
    <definedName name="Aug04AMA" localSheetId="15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[7]Factors!$B$3:$P$99</definedName>
    <definedName name="Beg_Unb_KWHs">[13]LeadSht!$L$10</definedName>
    <definedName name="BOOK_LIFE">'[14]Lvl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[15]Readings!$B$2</definedName>
    <definedName name="CASE">[16]INPUTS!$C$11</definedName>
    <definedName name="CaseDescription" localSheetId="14">'[8]Dispatch Cases'!$C$11</definedName>
    <definedName name="CaseDescription" localSheetId="15">'[8]Dispatch Cases'!$C$11</definedName>
    <definedName name="CaseDescription">'[8]Dispatch Cases'!$C$11</definedName>
    <definedName name="CBWorkbookPriority">-2060790043</definedName>
    <definedName name="CCGT_HeatRate" localSheetId="14">[8]Assumptions!$H$23</definedName>
    <definedName name="CCGT_HeatRate" localSheetId="15">[8]Assumptions!$H$23</definedName>
    <definedName name="CCGT_HeatRate">[8]Assumptions!$H$23</definedName>
    <definedName name="CCGTPrice" localSheetId="14">[8]Assumptions!$H$22</definedName>
    <definedName name="CCGTPrice" localSheetId="15">[8]Assumptions!$H$22</definedName>
    <definedName name="CCGTPrice">[8]Assumptions!$H$22</definedName>
    <definedName name="CL_RT2">'[17]Transp Data'!$A$6:$C$81</definedName>
    <definedName name="Construction_OH">'[18]Virtual 49 Back-Up'!$E$54</definedName>
    <definedName name="ConversionFactor" localSheetId="14">[8]Assumptions!$I$65</definedName>
    <definedName name="ConversionFactor" localSheetId="15">[8]Assumptions!$I$65</definedName>
    <definedName name="ConversionFactor">[8]Assumptions!$I$65</definedName>
    <definedName name="COSFacVal">[6]Inputs!$R$5</definedName>
    <definedName name="CurrQtr">'[19]Inc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'[19]Avg Amts'!$A$5:$BP$34</definedName>
    <definedName name="Data.Qtrs.Avg">'[19]Avg Amts'!$A$5:$IV$5</definedName>
    <definedName name="data1">'[20]Mix Variance'!$O$5:$T$25</definedName>
    <definedName name="DebtPerc" localSheetId="14">[8]Assumptions!$I$58</definedName>
    <definedName name="DebtPerc" localSheetId="15">[8]Assumptions!$I$58</definedName>
    <definedName name="DebtPerc">[8]Assumptions!$I$58</definedName>
    <definedName name="Dec03AMA" localSheetId="14">[3]BS!$AJ$7:$AJ$3582</definedName>
    <definedName name="Dec03AMA" localSheetId="15">[3]BS!$AJ$7:$AJ$3582</definedName>
    <definedName name="Dec03AMA">[3]BS!$AJ$7:$AJ$3582</definedName>
    <definedName name="Dec04AMA" localSheetId="14">[1]BS!$AO$7:$AO$3582</definedName>
    <definedName name="Dec04AMA" localSheetId="15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[21]Inputs!$D$11</definedName>
    <definedName name="DES1.T">[4]INTERNAL!$A$40:$IV$42</definedName>
    <definedName name="DES2.T">[4]INTERNAL!$A$43:$IV$45</definedName>
    <definedName name="DF_HeatRate" localSheetId="14">[8]Assumptions!$L$23</definedName>
    <definedName name="DF_HeatRate" localSheetId="15">[8]Assumptions!$L$23</definedName>
    <definedName name="DF_HeatRate">[8]Assumptions!$L$23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'[6]Func Study'!$AB$250</definedName>
    <definedName name="Discount_for_Revenue_Reqmt">'[22]Assumptions of Purchase'!$B$45</definedName>
    <definedName name="DisFac">'[6]Func Dist Factor Table'!$A$11:$G$25</definedName>
    <definedName name="DocketNumber">'[23]JHS-4'!$AP$2</definedName>
    <definedName name="DP.T">[4]INTERNAL!$A$46:$IV$48</definedName>
    <definedName name="EBFIT.T">[4]INTERNAL!$A$88:$IV$90</definedName>
    <definedName name="EffTax">[16]INPUTS!$F$36</definedName>
    <definedName name="Electric_Prices" localSheetId="14">'[24]Monthly Price Summary'!$B$4:$E$27</definedName>
    <definedName name="Electric_Prices" localSheetId="15">'[24]Monthly Price Summary'!$B$4:$E$27</definedName>
    <definedName name="Electric_Prices">'[24]Monthly Price Summary'!$B$4:$E$27</definedName>
    <definedName name="ElRBLine" localSheetId="14">[1]BS!$AQ$7:$AQ$3303</definedName>
    <definedName name="ElRBLine" localSheetId="15">[1]BS!$AQ$7:$AQ$3303</definedName>
    <definedName name="ElRBLine">[1]BS!$AQ$7:$AQ$3303</definedName>
    <definedName name="EndDate" localSheetId="14">[8]Assumptions!$C$11</definedName>
    <definedName name="EndDate" localSheetId="15">[8]Assumptions!$C$11</definedName>
    <definedName name="EndDate">[8]Assumptions!$C$11</definedName>
    <definedName name="ENERGY_1">[4]EXTERNAL!$A$4:$IV$6</definedName>
    <definedName name="ENERGY_2">[4]EXTERNAL!$A$145:$IV$147</definedName>
    <definedName name="Engy">[9]Inputs!$D$9</definedName>
    <definedName name="Engy2">[21]Inputs!$D$12</definedName>
    <definedName name="EPIS.T">[4]INTERNAL!$A$49:$IV$51</definedName>
    <definedName name="Factorck">'[6]COS Factor Table'!$O$15:$O$113</definedName>
    <definedName name="FactorType">[7]Variables!$AK$2:$AL$12</definedName>
    <definedName name="FactSum">'[6]COS Factor Table'!$A$14:$O$113</definedName>
    <definedName name="FCR">'[18]Virtual 49 Back-Up'!$B$20</definedName>
    <definedName name="Feb04AMA" localSheetId="14">[1]BS!$AE$7:$AE$3582</definedName>
    <definedName name="Feb04AMA" localSheetId="15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14">[25]Inputs!$E$112</definedName>
    <definedName name="Fed_Cap_Tax" localSheetId="15">[25]Inputs!$E$112</definedName>
    <definedName name="Fed_Cap_Tax">[25]Inputs!$E$112</definedName>
    <definedName name="FedTaxRate" localSheetId="14">[8]Assumptions!$C$33</definedName>
    <definedName name="FedTaxRate" localSheetId="15">[8]Assumptions!$C$33</definedName>
    <definedName name="FedTaxRate">[8]Assumptions!$C$33</definedName>
    <definedName name="FERC_Lookup">'[26]Map Table'!$E$2:$F$58</definedName>
    <definedName name="FIT">'[27]ROR &amp; CONV FACTOR'!$J$20</definedName>
    <definedName name="FranchiseTax">[10]Variables!$D$26</definedName>
    <definedName name="FTAX">[16]INPUTS!$F$35</definedName>
    <definedName name="Func">'[6]Func Factor Table'!$A$10:$H$77</definedName>
    <definedName name="Function">'[6]Func Study'!$AB$250</definedName>
    <definedName name="GasRBLine" localSheetId="14">[1]BS!$AS$7:$AS$3631</definedName>
    <definedName name="GasRBLine" localSheetId="15">[1]BS!$AS$7:$AS$3631</definedName>
    <definedName name="GasRBLine">[1]BS!$AS$7:$AS$3631</definedName>
    <definedName name="GasWC_LineItem" localSheetId="14">[1]BS!$AR$7:$AR$3631</definedName>
    <definedName name="GasWC_LineItem" localSheetId="15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9">{"'Sheet1'!$A$1:$J$121"}</definedName>
    <definedName name="HTML_Control" localSheetId="1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4">[1]BS!$AD$7:$AD$3582</definedName>
    <definedName name="Jan04AMA" localSheetId="15">[1]BS!$AD$7:$AD$3582</definedName>
    <definedName name="Jan04AMA">[1]BS!$AD$7:$AD$3582</definedName>
    <definedName name="Jan09AMA">[2]BS!$AK$7:$AK$1743</definedName>
    <definedName name="Jan10AMA">[2]BS!$AW$7:$AW$1726</definedName>
    <definedName name="jjj">[28]Inputs!$N$18</definedName>
    <definedName name="JP_Bal">[29]ACCOUNTS!$AG$31</definedName>
    <definedName name="Jul04AMA" localSheetId="14">[1]BS!$AJ$7:$AJ$3582</definedName>
    <definedName name="Jul04AMA" localSheetId="15">[1]BS!$AJ$7:$AJ$3582</definedName>
    <definedName name="Jul04AMA">[1]BS!$AJ$7:$AJ$3582</definedName>
    <definedName name="Jul09AMA">[2]BS!$AQ$7:$AQ$1726</definedName>
    <definedName name="Jun04AMA" localSheetId="14">[1]BS!$AI$7:$AI$3582</definedName>
    <definedName name="Jun04AMA" localSheetId="15">[1]BS!$AI$7:$AI$3582</definedName>
    <definedName name="Jun04AMA">[1]BS!$AI$7:$AI$3582</definedName>
    <definedName name="Jun09AMA">[2]BS!$AP$7:$AP$1726</definedName>
    <definedName name="Jun10AMA">[2]BS!$BB$7:$BB$1726</definedName>
    <definedName name="Jurisdiction">[7]Variables!$AK$15</definedName>
    <definedName name="JurisNumber">[7]Variables!$AL$15</definedName>
    <definedName name="keep_Docket_Number">'[30]KJB-3 Sum'!$AQ$2</definedName>
    <definedName name="keep_FIT">'[30]KJB-7 Def'!$L$20</definedName>
    <definedName name="keep_KJB_3_Rate_Increase">'[30]KJB-7 Def'!$C$3</definedName>
    <definedName name="keep_KJB_4_Electric_Summary">'[30]KJB-3 Sum'!$AQ$3</definedName>
    <definedName name="keep_KJB_8_Common_Adjs">'[30]KJB-5 Cmn Adj'!$L$3</definedName>
    <definedName name="keep_KJB_9_Electric_Only">'[30]KJB-5 El Adj'!$E$3</definedName>
    <definedName name="keep_TESTYEAR">'[30]KJB-5 Cmn Adj'!$B$7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'[6]JAM Download'!$K$4</definedName>
    <definedName name="Load_Factor">[31]ACCOUNTS!$AG$167</definedName>
    <definedName name="LoadArray">'[32]Load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[33]M9100F4!$A$1:$V$99</definedName>
    <definedName name="Mar04AMA" localSheetId="14">[1]BS!$AF$7:$AF$3582</definedName>
    <definedName name="Mar04AMA" localSheetId="15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14">[1]BS!$AH$7:$AH$3582</definedName>
    <definedName name="May04AMA" localSheetId="15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>[34]!menu1_Button5_Click</definedName>
    <definedName name="menu1_Button6_Click">[34]!menu1_Button6_Click</definedName>
    <definedName name="MERGER_COST">[35]Sheet1!$AF$3:$AJ$28</definedName>
    <definedName name="METER">[4]EXTERNAL!$A$34:$IV$36</definedName>
    <definedName name="Method">[9]Inputs!$C$6</definedName>
    <definedName name="monthlist">[36]Table!$R$2:$S$13</definedName>
    <definedName name="monthtotals">'[36]WA SBC'!$D$40:$O$40</definedName>
    <definedName name="MTD_Format" localSheetId="14">[37]Mthly!$B$11:$D$11,[37]Mthly!$B$32:$D$32</definedName>
    <definedName name="MTD_Format" localSheetId="15">[37]Mthly!$B$11:$D$11,[37]Mthly!$B$32:$D$32</definedName>
    <definedName name="MTD_Format">[37]Mthly!$B$11:$D$11,[37]Mthly!$B$32:$D$32</definedName>
    <definedName name="MTR_YR3">[38]Variables!$E$14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[6]Inputs!$G$8</definedName>
    <definedName name="NetToGross">[10]Variables!$D$23</definedName>
    <definedName name="Nov03AMA" localSheetId="14">[3]BS!$AI$7:$AI$3582</definedName>
    <definedName name="Nov03AMA" localSheetId="15">[3]BS!$AI$7:$AI$3582</definedName>
    <definedName name="Nov03AMA">[3]BS!$AI$7:$AI$3582</definedName>
    <definedName name="Nov04AMA" localSheetId="14">[1]BS!$AN$7:$AN$3582</definedName>
    <definedName name="Nov04AMA" localSheetId="15">[1]BS!$AN$7:$AN$3582</definedName>
    <definedName name="Nov04AMA">[1]BS!$AN$7:$AN$3582</definedName>
    <definedName name="Nov09AMA">[2]BS!$AU$7:$AU$1726</definedName>
    <definedName name="NPC">[39]Inputs!$N$18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'[18]Virtual 49 Back-Up'!$B$21</definedName>
    <definedName name="Oct03AMA" localSheetId="14">[3]BS!$AH$7:$AH$3582</definedName>
    <definedName name="Oct03AMA" localSheetId="15">[3]BS!$AH$7:$AH$3582</definedName>
    <definedName name="Oct03AMA">[3]BS!$AH$7:$AH$3582</definedName>
    <definedName name="Oct04AMA" localSheetId="14">[1]BS!$AM$7:$AM$3582</definedName>
    <definedName name="Oct04AMA" localSheetId="15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'[40]Dist Misc'!$F$120</definedName>
    <definedName name="OthRCF">[41]INPUTS!$F$41</definedName>
    <definedName name="OthUnc">[4]INPUTS!$F$36</definedName>
    <definedName name="outlookdata">'[42]pivoted data'!$D$3:$Q$90</definedName>
    <definedName name="peak_new_table">'[43]2008 Extreme Peaks - 080403'!$E$5:$AD$8</definedName>
    <definedName name="peak_table">'[43]Peaks-F01'!$C$5:$E$243</definedName>
    <definedName name="PeakMethod">[9]Inputs!$T$5</definedName>
    <definedName name="Percent_debt" localSheetId="14">[25]Inputs!$E$129</definedName>
    <definedName name="Percent_debt" localSheetId="15">[25]Inputs!$E$129</definedName>
    <definedName name="Percent_debt">[25]Inputs!$E$129</definedName>
    <definedName name="POWER.T">[4]INTERNAL!$A$58:$IV$60</definedName>
    <definedName name="PP.T">[4]INTERNAL!$A$61:$IV$63</definedName>
    <definedName name="PreTaxDebtCost" localSheetId="14">[8]Assumptions!$I$56</definedName>
    <definedName name="PreTaxDebtCost" localSheetId="15">[8]Assumptions!$I$56</definedName>
    <definedName name="PreTaxDebtCost">[8]Assumptions!$I$56</definedName>
    <definedName name="PreTaxWACC" localSheetId="14">[8]Assumptions!$I$62</definedName>
    <definedName name="PreTaxWACC" localSheetId="15">[8]Assumptions!$I$62</definedName>
    <definedName name="PreTaxWACC">[8]Assumptions!$I$62</definedName>
    <definedName name="Prices_Aurora" localSheetId="14">'[24]Monthly Price Summary'!$C$4:$H$63</definedName>
    <definedName name="Prices_Aurora" localSheetId="15">'[24]Monthly Price Summary'!$C$4:$H$63</definedName>
    <definedName name="Prices_Aurora">'[24]Monthly Price Summary'!$C$4:$H$63</definedName>
    <definedName name="_xlnm.Print_Area" localSheetId="14">'12ME Sep16 Cust Data'!$A$1:$O$55</definedName>
    <definedName name="_xlnm.Print_Area" localSheetId="7">'JAP-42 Page 1'!$A$1:$O$16</definedName>
    <definedName name="_xlnm.Print_Area" localSheetId="12">'Rate Design C&amp;I'!$B$2:$Q$127</definedName>
    <definedName name="_xlnm.Print_Area" localSheetId="13">'Rate Design Int &amp; Trans'!$B$1:$Q$225</definedName>
    <definedName name="_xlnm.Print_Area" localSheetId="11">'Rate Design Res'!$B$1:$Q$55</definedName>
    <definedName name="_xlnm.Print_Area" localSheetId="15">'Weather Adj'!$D$8:$P$275</definedName>
    <definedName name="_xlnm.Print_Titles" localSheetId="12">'Rate Design C&amp;I'!$1:$8</definedName>
    <definedName name="_xlnm.Print_Titles" localSheetId="13">'Rate Design Int &amp; Trans'!$1:$8</definedName>
    <definedName name="_xlnm.Print_Titles" localSheetId="11">'Rate Design Res'!$2:$8</definedName>
    <definedName name="_xlnm.Print_Titles" localSheetId="15">'Weather Adj'!$B:$C,'Weather Adj'!$1:$7</definedName>
    <definedName name="Prior_Month">[13]Sch_120!$I$21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[44]Sheet1!$A$1147:$B$1887</definedName>
    <definedName name="Prov_Cap_Tax" localSheetId="14">[25]Inputs!$E$111</definedName>
    <definedName name="Prov_Cap_Tax" localSheetId="15">[25]Inputs!$E$111</definedName>
    <definedName name="Prov_Cap_Tax">[25]Inputs!$E$111</definedName>
    <definedName name="PSE">'[45]4.04'!$A$6</definedName>
    <definedName name="PSE_Pre_Tax_Equity_Rate">'[22]Assumptions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'[17]Transp Data'!$A$8:$I$112</definedName>
    <definedName name="Rates">[47]Codes!$A$1:$C$500</definedName>
    <definedName name="RB.T">[4]INTERNAL!$A$70:$IV$72</definedName>
    <definedName name="RCF">[29]INPUTS!$F$48</definedName>
    <definedName name="ResExchCrRate">[48]Sch_194!$M$31</definedName>
    <definedName name="RESID">[4]EXTERNAL!$A$88:$IV$90</definedName>
    <definedName name="resource_lookup">'[49]#REF'!$B$3:$C$112</definedName>
    <definedName name="ResourceSupplier">[10]Variables!$D$28</definedName>
    <definedName name="ResRCF">[16]INPUTS!$F$44</definedName>
    <definedName name="ResUnc">[16]INPUTS!$F$39</definedName>
    <definedName name="Return">'Cost of Capital'!$E$38</definedName>
    <definedName name="RevClass">[47]Codes!$F$2:$G$10</definedName>
    <definedName name="REVFAC1.T">[4]INTERNAL!$A$73:$IV$75</definedName>
    <definedName name="ROD">[16]INPUTS!$F$30</definedName>
    <definedName name="ROE">[29]INPUTS!$F$31</definedName>
    <definedName name="ROR" localSheetId="9">[50]INPUTS!$F$29</definedName>
    <definedName name="ROR">[16]INPUTS!$F$29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[4]INPUTS!$F$35</definedName>
    <definedName name="Sch194Rlfwd">'[51]Sch94 Rlfwd'!$B$11</definedName>
    <definedName name="Schedule">[39]Inputs!$N$14</definedName>
    <definedName name="Sep03AMA" localSheetId="14">[3]BS!$AG$7:$AG$3582</definedName>
    <definedName name="Sep03AMA" localSheetId="15">[3]BS!$AG$7:$AG$3582</definedName>
    <definedName name="Sep03AMA">[3]BS!$AG$7:$AG$3582</definedName>
    <definedName name="Sep04AMA" localSheetId="14">[1]BS!$AL$7:$AL$3582</definedName>
    <definedName name="Sep04AMA" localSheetId="15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14">[8]Assumptions!$C$9</definedName>
    <definedName name="StartDate" localSheetId="15">[8]Assumptions!$C$9</definedName>
    <definedName name="StartDate">[8]Assumptions!$C$9</definedName>
    <definedName name="STAX">[16]INPUTS!$F$34</definedName>
    <definedName name="SW.T">[4]INTERNAL!$A$76:$IV$78</definedName>
    <definedName name="SWPTD.T">[4]INTERNAL!$A$79:$IV$81</definedName>
    <definedName name="TargetROR">[9]Inputs!$G$29</definedName>
    <definedName name="TDP.T">[4]INTERNAL!$A$82:$IV$84</definedName>
    <definedName name="TestPeriod">[6]Inputs!$C$5</definedName>
    <definedName name="TESTYEAR">'[23]JHS-6'!$A$7</definedName>
    <definedName name="TFR">[4]CLASSIFIERS!$A$11:$IV$11</definedName>
    <definedName name="ThermalBookLife" localSheetId="14">[8]Assumptions!$C$25</definedName>
    <definedName name="ThermalBookLife" localSheetId="15">[8]Assumptions!$C$25</definedName>
    <definedName name="ThermalBookLife">[8]Assumptions!$C$25</definedName>
    <definedName name="Title" localSheetId="14">[8]Assumptions!$A$1</definedName>
    <definedName name="Title" localSheetId="15">[8]Assumptions!$A$1</definedName>
    <definedName name="Title">[8]Assumptions!$A$1</definedName>
    <definedName name="TotalRateBase">'[6]G+T+D+R+M'!$H$58</definedName>
    <definedName name="TP.T">[4]INTERNAL!$A$91:$IV$93</definedName>
    <definedName name="transdb" localSheetId="15">'[52]Transp Unbilled'!$A$8:$E$174</definedName>
    <definedName name="transdb">'[52]Transp Unbilled'!$A$8:$E$174</definedName>
    <definedName name="TRANSM_2">[53]Transm2!$A$1:$M$461:'[53]10 Yr FC'!$M$47</definedName>
    <definedName name="UAcct103">'[6]Func Study'!$AB$1613</definedName>
    <definedName name="UAcct105Dnpg">'[6]Func Study'!$AB$2010</definedName>
    <definedName name="UAcct105S">'[6]Func Study'!$AB$2005</definedName>
    <definedName name="UAcct105Seu">'[6]Func Study'!$AB$2009</definedName>
    <definedName name="UAcct105Snppo">'[6]Func Study'!$AB$2008</definedName>
    <definedName name="UAcct105Snpps">'[6]Func Study'!$AB$2006</definedName>
    <definedName name="UAcct105Snpt">'[6]Func Study'!$AB$2007</definedName>
    <definedName name="UAcct1081390">'[6]Func Study'!$AB$2451</definedName>
    <definedName name="UAcct1081390Rcl">'[6]Func Study'!$AB$2450</definedName>
    <definedName name="UAcct1081399">'[6]Func Study'!$AB$2459</definedName>
    <definedName name="UAcct1081399Rcl">'[6]Func Study'!$AB$2458</definedName>
    <definedName name="UAcct108360">'[6]Func Study'!$AB$2355</definedName>
    <definedName name="UAcct108361">'[6]Func Study'!$AB$2359</definedName>
    <definedName name="UAcct108362">'[6]Func Study'!$AB$2363</definedName>
    <definedName name="UAcct108364">'[6]Func Study'!$AB$2367</definedName>
    <definedName name="UAcct108365">'[6]Func Study'!$AB$2371</definedName>
    <definedName name="UAcct108366">'[6]Func Study'!$AB$2375</definedName>
    <definedName name="UAcct108367">'[6]Func Study'!$AB$2379</definedName>
    <definedName name="UAcct108368">'[6]Func Study'!$AB$2383</definedName>
    <definedName name="UAcct108369">'[6]Func Study'!$AB$2387</definedName>
    <definedName name="UAcct108370">'[6]Func Study'!$AB$2391</definedName>
    <definedName name="UAcct108371">'[6]Func Study'!$AB$2395</definedName>
    <definedName name="UAcct108372">'[6]Func Study'!$AB$2399</definedName>
    <definedName name="UAcct108373">'[6]Func Study'!$AB$2403</definedName>
    <definedName name="UAcct108D">'[6]Func Study'!$AB$2415</definedName>
    <definedName name="UAcct108D00">'[6]Func Study'!$AB$2407</definedName>
    <definedName name="UAcct108Ds">'[6]Func Study'!$AB$2411</definedName>
    <definedName name="UAcct108Ep">'[6]Func Study'!$AB$2327</definedName>
    <definedName name="UAcct108Gpcn">'[6]Func Study'!$AB$2429</definedName>
    <definedName name="UAcct108Gps">'[6]Func Study'!$AB$2425</definedName>
    <definedName name="UAcct108Gpse">'[6]Func Study'!$AB$2431</definedName>
    <definedName name="UAcct108Gpsg">'[6]Func Study'!$AB$2428</definedName>
    <definedName name="UAcct108Gpsgp">'[6]Func Study'!$AB$2426</definedName>
    <definedName name="UAcct108Gpsgu">'[6]Func Study'!$AB$2427</definedName>
    <definedName name="UAcct108Gpso">'[6]Func Study'!$AB$2430</definedName>
    <definedName name="UACCT108GPSSGCH">'[6]Func Study'!$AB$2434</definedName>
    <definedName name="UACCT108GPSSGCT">'[6]Func Study'!$AB$2433</definedName>
    <definedName name="UAcct108Hp">'[6]Func Study'!$AB$2313</definedName>
    <definedName name="UAcct108Mp">'[6]Func Study'!$AB$2444</definedName>
    <definedName name="UAcct108Np">'[6]Func Study'!$AB$2305</definedName>
    <definedName name="UAcct108Op">'[6]Func Study'!$AB$2322</definedName>
    <definedName name="UACCT108OPSSCCT">'[6]Func Study'!$AB$2321</definedName>
    <definedName name="UAcct108Sp">'[6]Func Study'!$AB$2299</definedName>
    <definedName name="UACCT108SPSSGCH">'[6]Func Study'!$AB$2298</definedName>
    <definedName name="UAcct108Tp">'[6]Func Study'!$AB$2346</definedName>
    <definedName name="UAcct111Clg">'[6]Func Study'!$AB$2487</definedName>
    <definedName name="UAcct111Clgsou">'[6]Func Study'!$AB$2485</definedName>
    <definedName name="UAcct111Clh">'[6]Func Study'!$AB$2493</definedName>
    <definedName name="UAcct111Cls">'[6]Func Study'!$AB$2478</definedName>
    <definedName name="UAcct111Ipcn">'[6]Func Study'!$AB$2502</definedName>
    <definedName name="UAcct111Ips">'[6]Func Study'!$AB$2497</definedName>
    <definedName name="UAcct111Ipse">'[6]Func Study'!$AB$2500</definedName>
    <definedName name="UAcct111Ipsg">'[6]Func Study'!$AB$2501</definedName>
    <definedName name="UAcct111Ipsgp">'[6]Func Study'!$AB$2498</definedName>
    <definedName name="UAcct111Ipsgu">'[6]Func Study'!$AB$2499</definedName>
    <definedName name="UAcct111Ipso">'[6]Func Study'!$AB$2506</definedName>
    <definedName name="UACCT111IPSSGCH">'[6]Func Study'!$AB$2505</definedName>
    <definedName name="UACCT111IPSSGCT">'[6]Func Study'!$AB$2504</definedName>
    <definedName name="UAcct114">'[6]Func Study'!$AB$2017</definedName>
    <definedName name="UAcct120">'[6]Func Study'!$AB$2021</definedName>
    <definedName name="UAcct124">'[6]Func Study'!$AB$2026</definedName>
    <definedName name="UAcct141">'[6]Func Study'!$AB$2173</definedName>
    <definedName name="UAcct151">'[6]Func Study'!$AB$2049</definedName>
    <definedName name="Uacct151SSECT">'[6]Func Study'!$AB$2047</definedName>
    <definedName name="UAcct154">'[6]Func Study'!$AB$2083</definedName>
    <definedName name="Uacct154SSGCT">'[6]Func Study'!$AB$2080</definedName>
    <definedName name="UAcct163">'[6]Func Study'!$AB$2093</definedName>
    <definedName name="UAcct165">'[6]Func Study'!$AB$2108</definedName>
    <definedName name="UAcct165Gps">'[6]Func Study'!$AB$2104</definedName>
    <definedName name="UAcct182">'[6]Func Study'!$AB$2033</definedName>
    <definedName name="UAcct18222">'[6]Func Study'!$AB$2163</definedName>
    <definedName name="UAcct182M">'[6]Func Study'!$AB$2118</definedName>
    <definedName name="UAcct182MSSGCH">'[6]Func Study'!$AB$2113</definedName>
    <definedName name="UAcct186">'[6]Func Study'!$AB$2041</definedName>
    <definedName name="UAcct1869">'[6]Func Study'!$AB$2168</definedName>
    <definedName name="UAcct186M">'[6]Func Study'!$AB$2129</definedName>
    <definedName name="UAcct190">'[6]Func Study'!$AB$2243</definedName>
    <definedName name="UAcct190Baddebt">'[6]Func Study'!$AB$2237</definedName>
    <definedName name="UAcct190Dop">'[6]Func Study'!$AB$2235</definedName>
    <definedName name="UAcct2281">'[6]Func Study'!$AB$2191</definedName>
    <definedName name="UAcct2282">'[6]Func Study'!$AB$2195</definedName>
    <definedName name="UAcct2283">'[6]Func Study'!$AB$2200</definedName>
    <definedName name="UACCT22841SG">'[6]Func Study'!$AB$2205</definedName>
    <definedName name="UAcct22842">'[6]Func Study'!$AB$2211</definedName>
    <definedName name="UAcct235">'[6]Func Study'!$AB$2187</definedName>
    <definedName name="UACCT235CN">'[6]Func Study'!$AB$2186</definedName>
    <definedName name="UAcct252">'[6]Func Study'!$AB$2219</definedName>
    <definedName name="UAcct25316">'[6]Func Study'!$AB$2057</definedName>
    <definedName name="UAcct25317">'[6]Func Study'!$AB$2061</definedName>
    <definedName name="UAcct25318">'[6]Func Study'!$AB$2098</definedName>
    <definedName name="UAcct25319">'[6]Func Study'!$AB$2065</definedName>
    <definedName name="uacct25398">'[6]Func Study'!$AB$2222</definedName>
    <definedName name="UAcct25399">'[6]Func Study'!$AB$2230</definedName>
    <definedName name="UACCT254SO">'[6]Func Study'!$AB$2202</definedName>
    <definedName name="UAcct255">'[6]Func Study'!$AB$2284</definedName>
    <definedName name="UAcct281">'[6]Func Study'!$AB$2249</definedName>
    <definedName name="UAcct282">'[6]Func Study'!$AB$2259</definedName>
    <definedName name="UAcct282Cn">'[6]Func Study'!$AB$2256</definedName>
    <definedName name="UAcct282So">'[6]Func Study'!$AB$2255</definedName>
    <definedName name="UAcct283">'[6]Func Study'!$AB$2271</definedName>
    <definedName name="UAcct283So">'[6]Func Study'!$AB$2265</definedName>
    <definedName name="UAcct301S">'[6]Func Study'!$AB$1964</definedName>
    <definedName name="UAcct301Sg">'[6]Func Study'!$AB$1966</definedName>
    <definedName name="UAcct301So">'[6]Func Study'!$AB$1965</definedName>
    <definedName name="UAcct302S">'[6]Func Study'!$AB$1969</definedName>
    <definedName name="UAcct302Sg">'[6]Func Study'!$AB$1970</definedName>
    <definedName name="UAcct302Sgp">'[6]Func Study'!$AB$1971</definedName>
    <definedName name="UAcct302Sgu">'[6]Func Study'!$AB$1972</definedName>
    <definedName name="UAcct303Cn">'[6]Func Study'!$AB$1980</definedName>
    <definedName name="UAcct303S">'[6]Func Study'!$AB$1976</definedName>
    <definedName name="UAcct303Se">'[6]Func Study'!$AB$1979</definedName>
    <definedName name="UAcct303Sg">'[6]Func Study'!$AB$1977</definedName>
    <definedName name="UAcct303Sgu">'[6]Func Study'!$AB$1981</definedName>
    <definedName name="UAcct303So">'[6]Func Study'!$AB$1978</definedName>
    <definedName name="UACCT303SSGCH">'[6]Func Study'!$AB$1983</definedName>
    <definedName name="UAcct310">'[6]Func Study'!$AB$1414</definedName>
    <definedName name="UAcct310JBG">'[6]Func Study'!$AB$1413</definedName>
    <definedName name="UAcct311">'[6]Func Study'!$AB$1421</definedName>
    <definedName name="UAcct311JBG">'[6]Func Study'!$AB$1420</definedName>
    <definedName name="UAcct312">'[6]Func Study'!$AB$1428</definedName>
    <definedName name="UAcct312JBG">'[6]Func Study'!$AB$1427</definedName>
    <definedName name="UAcct314">'[6]Func Study'!$AB$1435</definedName>
    <definedName name="UAcct314JBG">'[6]Func Study'!$AB$1434</definedName>
    <definedName name="UAcct315">'[6]Func Study'!$AB$1442</definedName>
    <definedName name="UAcct315JBG">'[6]Func Study'!$AB$1441</definedName>
    <definedName name="UAcct316">'[6]Func Study'!$AB$1450</definedName>
    <definedName name="UAcct316JBG">'[6]Func Study'!$AB$1449</definedName>
    <definedName name="UAcct320">'[6]Func Study'!$AB$1466</definedName>
    <definedName name="UAcct321">'[6]Func Study'!$AB$1471</definedName>
    <definedName name="UAcct322">'[6]Func Study'!$AB$1476</definedName>
    <definedName name="UAcct323">'[6]Func Study'!$AB$1481</definedName>
    <definedName name="UAcct324">'[6]Func Study'!$AB$1486</definedName>
    <definedName name="UAcct325">'[6]Func Study'!$AB$1491</definedName>
    <definedName name="UAcct33">'[6]Func Study'!$AB$295</definedName>
    <definedName name="UAcct330">'[6]Func Study'!$AB$1508</definedName>
    <definedName name="UAcct331">'[6]Func Study'!$AB$1513</definedName>
    <definedName name="UAcct332">'[6]Func Study'!$AB$1518</definedName>
    <definedName name="UAcct333">'[6]Func Study'!$AB$1523</definedName>
    <definedName name="UAcct334">'[6]Func Study'!$AB$1528</definedName>
    <definedName name="UAcct335">'[6]Func Study'!$AB$1533</definedName>
    <definedName name="UAcct336">'[6]Func Study'!$AB$1539</definedName>
    <definedName name="UAcct340Dgu">'[6]Func Study'!$AB$1564</definedName>
    <definedName name="UAcct340Sgu">'[6]Func Study'!$AB$1565</definedName>
    <definedName name="UAcct341Dgu">'[6]Func Study'!$AB$1569</definedName>
    <definedName name="UAcct341Sgu">'[6]Func Study'!$AB$1570</definedName>
    <definedName name="UAcct342Dgu">'[6]Func Study'!$AB$1574</definedName>
    <definedName name="UAcct342Sgu">'[6]Func Study'!$AB$1575</definedName>
    <definedName name="UAcct343">'[6]Func Study'!$AB$1584</definedName>
    <definedName name="UAcct344S">'[6]Func Study'!$AB$1587</definedName>
    <definedName name="UAcct344Sgp">'[6]Func Study'!$AB$1588</definedName>
    <definedName name="UAcct345Dgu">'[6]Func Study'!$AB$1594</definedName>
    <definedName name="UAcct345Sgu">'[6]Func Study'!$AB$1595</definedName>
    <definedName name="UAcct346">'[6]Func Study'!$AB$1601</definedName>
    <definedName name="UAcct350">'[6]Func Study'!$AB$1628</definedName>
    <definedName name="UAcct352">'[6]Func Study'!$AB$1635</definedName>
    <definedName name="UAcct353">'[6]Func Study'!$AB$1641</definedName>
    <definedName name="UAcct354">'[6]Func Study'!$AB$1647</definedName>
    <definedName name="UAcct355">'[6]Func Study'!$AB$1654</definedName>
    <definedName name="UAcct356">'[6]Func Study'!$AB$1660</definedName>
    <definedName name="UAcct357">'[6]Func Study'!$AB$1666</definedName>
    <definedName name="UAcct358">'[6]Func Study'!$AB$1672</definedName>
    <definedName name="UAcct359">'[6]Func Study'!$AB$1678</definedName>
    <definedName name="UAcct360">'[6]Func Study'!$AB$1698</definedName>
    <definedName name="UAcct361">'[6]Func Study'!$AB$1704</definedName>
    <definedName name="UAcct362">'[6]Func Study'!$AB$1710</definedName>
    <definedName name="UAcct368">'[6]Func Study'!$AB$1744</definedName>
    <definedName name="UAcct369">'[6]Func Study'!$AB$1751</definedName>
    <definedName name="UAcct370">'[6]Func Study'!$AB$1762</definedName>
    <definedName name="UAcct372A">'[6]Func Study'!$AB$1775</definedName>
    <definedName name="UAcct372Dp">'[6]Func Study'!$AB$1773</definedName>
    <definedName name="UAcct372Ds">'[6]Func Study'!$AB$1774</definedName>
    <definedName name="UAcct373">'[6]Func Study'!$AB$1782</definedName>
    <definedName name="UAcct389Cn">'[6]Func Study'!$AB$1800</definedName>
    <definedName name="UAcct389S">'[6]Func Study'!$AB$1799</definedName>
    <definedName name="UAcct389Sg">'[6]Func Study'!$AB$1802</definedName>
    <definedName name="UAcct389Sgu">'[6]Func Study'!$AB$1801</definedName>
    <definedName name="UAcct389So">'[6]Func Study'!$AB$1803</definedName>
    <definedName name="UAcct390Cn">'[6]Func Study'!$AB$1810</definedName>
    <definedName name="UAcct390JBG">'[6]Func Study'!$AB$1812</definedName>
    <definedName name="UAcct390L">'[6]Func Study'!$AB$1927</definedName>
    <definedName name="UACCT390LRCL">'[6]Func Study'!$AB$1929</definedName>
    <definedName name="UAcct390S">'[6]Func Study'!$AB$1807</definedName>
    <definedName name="UAcct390Sgp">'[6]Func Study'!$AB$1808</definedName>
    <definedName name="UAcct390Sgu">'[6]Func Study'!$AB$1809</definedName>
    <definedName name="UAcct390Sop">'[6]Func Study'!$AB$1811</definedName>
    <definedName name="UAcct390Sou">'[6]Func Study'!$AB$1813</definedName>
    <definedName name="UAcct391Cn">'[6]Func Study'!$AB$1820</definedName>
    <definedName name="UACCT391JBE">'[6]Func Study'!$AB$1825</definedName>
    <definedName name="UAcct391S">'[6]Func Study'!$AB$1817</definedName>
    <definedName name="UAcct391Sg">'[6]Func Study'!$AB$1821</definedName>
    <definedName name="UAcct391Sgp">'[6]Func Study'!$AB$1818</definedName>
    <definedName name="UAcct391Sgu">'[6]Func Study'!$AB$1819</definedName>
    <definedName name="UAcct391So">'[6]Func Study'!$AB$1823</definedName>
    <definedName name="UACCT391SSGCH">'[6]Func Study'!$AB$1824</definedName>
    <definedName name="UAcct392Cn">'[6]Func Study'!$AB$1832</definedName>
    <definedName name="UAcct392L">'[6]Func Study'!$AB$1935</definedName>
    <definedName name="UAcct392Lrcl">'[6]Func Study'!$AB$1937</definedName>
    <definedName name="UAcct392S">'[6]Func Study'!$AB$1829</definedName>
    <definedName name="UAcct392Se">'[6]Func Study'!$AB$1834</definedName>
    <definedName name="UAcct392Sg">'[6]Func Study'!$AB$1831</definedName>
    <definedName name="UAcct392Sgp">'[6]Func Study'!$AB$1835</definedName>
    <definedName name="UAcct392Sgu">'[6]Func Study'!$AB$1833</definedName>
    <definedName name="UAcct392So">'[6]Func Study'!$AB$1830</definedName>
    <definedName name="UACCT392SSGCH">'[6]Func Study'!$AB$1836</definedName>
    <definedName name="UAcct393S">'[6]Func Study'!$AB$1841</definedName>
    <definedName name="UAcct393Sg">'[6]Func Study'!$AB$1845</definedName>
    <definedName name="UAcct393Sgp">'[6]Func Study'!$AB$1842</definedName>
    <definedName name="UAcct393Sgu">'[6]Func Study'!$AB$1843</definedName>
    <definedName name="UAcct393So">'[6]Func Study'!$AB$1844</definedName>
    <definedName name="UACCT393SSGCT">'[6]Func Study'!$AB$1846</definedName>
    <definedName name="UAcct394S">'[6]Func Study'!$AB$1850</definedName>
    <definedName name="UAcct394Se">'[6]Func Study'!$AB$1854</definedName>
    <definedName name="UAcct394Sg">'[6]Func Study'!$AB$1855</definedName>
    <definedName name="UAcct394Sgp">'[6]Func Study'!$AB$1851</definedName>
    <definedName name="UAcct394Sgu">'[6]Func Study'!$AB$1852</definedName>
    <definedName name="UAcct394So">'[6]Func Study'!$AB$1853</definedName>
    <definedName name="UACCT394SSGCH">'[6]Func Study'!$AB$1856</definedName>
    <definedName name="UAcct395S">'[6]Func Study'!$AB$1861</definedName>
    <definedName name="UAcct395Se">'[6]Func Study'!$AB$1865</definedName>
    <definedName name="UAcct395Sg">'[6]Func Study'!$AB$1866</definedName>
    <definedName name="UAcct395Sgp">'[6]Func Study'!$AB$1862</definedName>
    <definedName name="UAcct395Sgu">'[6]Func Study'!$AB$1863</definedName>
    <definedName name="UAcct395So">'[6]Func Study'!$AB$1864</definedName>
    <definedName name="UACCT395SSGCH">'[6]Func Study'!$AB$1867</definedName>
    <definedName name="UAcct396S">'[6]Func Study'!$AB$1872</definedName>
    <definedName name="UAcct396Se">'[6]Func Study'!$AB$1877</definedName>
    <definedName name="UAcct396Sg">'[6]Func Study'!$AB$1874</definedName>
    <definedName name="UAcct396Sgp">'[6]Func Study'!$AB$1873</definedName>
    <definedName name="UAcct396Sgu">'[6]Func Study'!$AB$1876</definedName>
    <definedName name="UAcct396So">'[6]Func Study'!$AB$1875</definedName>
    <definedName name="UACCT396SSGCH">'[6]Func Study'!$AB$1879</definedName>
    <definedName name="UACCT396SSGCT">'[6]Func Study'!$AB$1878</definedName>
    <definedName name="UAcct397Cn">'[6]Func Study'!$AB$1890</definedName>
    <definedName name="UAcct397JBG">'[6]Func Study'!$AB$1893</definedName>
    <definedName name="UAcct397S">'[6]Func Study'!$AB$1886</definedName>
    <definedName name="UAcct397Se">'[6]Func Study'!$AB$1892</definedName>
    <definedName name="UAcct397Sg">'[6]Func Study'!$AB$1891</definedName>
    <definedName name="UAcct397Sgp">'[6]Func Study'!$AB$1887</definedName>
    <definedName name="UAcct397Sgu">'[6]Func Study'!$AB$1888</definedName>
    <definedName name="UAcct397So">'[6]Func Study'!$AB$1889</definedName>
    <definedName name="UAcct398Cn">'[6]Func Study'!$AB$1902</definedName>
    <definedName name="UAcct398S">'[6]Func Study'!$AB$1899</definedName>
    <definedName name="UAcct398Se">'[6]Func Study'!$AB$1904</definedName>
    <definedName name="UAcct398Sg">'[6]Func Study'!$AB$1905</definedName>
    <definedName name="UAcct398Sgp">'[6]Func Study'!$AB$1900</definedName>
    <definedName name="UAcct398Sgu">'[6]Func Study'!$AB$1901</definedName>
    <definedName name="UAcct398So">'[6]Func Study'!$AB$1903</definedName>
    <definedName name="UACCT398SSGCT">'[6]Func Study'!$AB$1906</definedName>
    <definedName name="UAcct399">'[6]Func Study'!$AB$1913</definedName>
    <definedName name="UAcct399G">'[6]Func Study'!$AB$1955</definedName>
    <definedName name="UAcct399L">'[6]Func Study'!$AB$1917</definedName>
    <definedName name="UAcct399Lrcl">'[6]Func Study'!$AB$1919</definedName>
    <definedName name="UAcct403360">'[6]Func Study'!$AB$1090</definedName>
    <definedName name="UAcct403361">'[6]Func Study'!$AB$1091</definedName>
    <definedName name="UAcct403362">'[6]Func Study'!$AB$1092</definedName>
    <definedName name="UAcct403364">'[6]Func Study'!$AB$1094</definedName>
    <definedName name="UAcct403365">'[6]Func Study'!$AB$1095</definedName>
    <definedName name="UAcct403366">'[6]Func Study'!$AB$1096</definedName>
    <definedName name="UAcct403367">'[6]Func Study'!$AB$1097</definedName>
    <definedName name="UAcct403368">'[6]Func Study'!$AB$1098</definedName>
    <definedName name="UAcct403369">'[6]Func Study'!$AB$1099</definedName>
    <definedName name="UAcct403370">'[6]Func Study'!$AB$1100</definedName>
    <definedName name="UAcct403371">'[6]Func Study'!$AB$1101</definedName>
    <definedName name="UAcct403372">'[6]Func Study'!$AB$1102</definedName>
    <definedName name="UAcct403373">'[6]Func Study'!$AB$1103</definedName>
    <definedName name="UAcct403Ep">'[6]Func Study'!$AB$1130</definedName>
    <definedName name="UAcct403Gpcn">'[6]Func Study'!$AB$1111</definedName>
    <definedName name="UAcct403GPDGP">'[6]Func Study'!$AB$1108</definedName>
    <definedName name="UAcct403GPDGU">'[6]Func Study'!$AB$1109</definedName>
    <definedName name="UAcct403GPJBG">'[6]Func Study'!$AB$1115</definedName>
    <definedName name="UAcct403Gps">'[6]Func Study'!$AB$1107</definedName>
    <definedName name="UAcct403Gpsg">'[6]Func Study'!$AB$1112</definedName>
    <definedName name="UAcct403Gpso">'[6]Func Study'!$AB$1113</definedName>
    <definedName name="UAcct403Gv0">'[6]Func Study'!$AB$1121</definedName>
    <definedName name="UAcct403Hp">'[6]Func Study'!$AB$1072</definedName>
    <definedName name="UACCT403JBE">'[6]Func Study'!$AB$1116</definedName>
    <definedName name="UAcct403Mp">'[6]Func Study'!$AB$1125</definedName>
    <definedName name="UAcct403Np">'[6]Func Study'!$AB$1065</definedName>
    <definedName name="UAcct403Op">'[6]Func Study'!$AB$1080</definedName>
    <definedName name="UAcct403OPCAGE">'[6]Func Study'!$AB$1078</definedName>
    <definedName name="UAcct403Sp">'[6]Func Study'!$AB$1061</definedName>
    <definedName name="UAcct403SPJBG">'[6]Func Study'!$AB$1058</definedName>
    <definedName name="UAcct403Tp">'[6]Func Study'!$AB$1087</definedName>
    <definedName name="UAcct404330">'[6]Func Study'!$AB$1177</definedName>
    <definedName name="UACCT404GP">'[6]Func Study'!$AB$1146</definedName>
    <definedName name="UACCT404GPCN">'[6]Func Study'!$AB$1143</definedName>
    <definedName name="UACCT404GPSO">'[6]Func Study'!$AB$1141</definedName>
    <definedName name="UAcct404Ipcn">'[6]Func Study'!$AB$1158</definedName>
    <definedName name="UAcct404IPJBG">'[6]Func Study'!$AB$1163</definedName>
    <definedName name="UAcct404Ips">'[6]Func Study'!$AB$1154</definedName>
    <definedName name="UAcct404Ipse">'[6]Func Study'!$AB$1155</definedName>
    <definedName name="UAcct404Ipsg">'[6]Func Study'!$AB$1156</definedName>
    <definedName name="UAcct404Ipsg1">'[6]Func Study'!$AB$1159</definedName>
    <definedName name="UAcct404Ipsg2">'[6]Func Study'!$AB$1160</definedName>
    <definedName name="UAcct404Ipso">'[6]Func Study'!$AB$1157</definedName>
    <definedName name="UAcct404M">'[6]Func Study'!$AB$1168</definedName>
    <definedName name="UACCT404OP">'[6]Func Study'!$AB$1172</definedName>
    <definedName name="UACCT404SP">'[6]Func Study'!$AB$1151</definedName>
    <definedName name="UAcct405">'[6]Func Study'!$AB$1185</definedName>
    <definedName name="UAcct406">'[6]Func Study'!$AB$1193</definedName>
    <definedName name="UAcct407">'[6]Func Study'!$AB$1202</definedName>
    <definedName name="UAcct408">'[6]Func Study'!$AB$1221</definedName>
    <definedName name="UAcct408S">'[6]Func Study'!$AB$1213</definedName>
    <definedName name="UAcct41010">'[6]Func Study'!$AB$1294</definedName>
    <definedName name="UAcct41011">'[6]Func Study'!$AB$1309</definedName>
    <definedName name="UAcct41110">'[6]Func Study'!$AB$1325</definedName>
    <definedName name="UAcct41140">'[6]Func Study'!$AB$1232</definedName>
    <definedName name="UAcct41141">'[6]Func Study'!$AB$1237</definedName>
    <definedName name="UAcct41160">'[6]Func Study'!$AB$369</definedName>
    <definedName name="UAcct41170">'[6]Func Study'!$AB$374</definedName>
    <definedName name="UAcct4118">'[6]Func Study'!$AB$378</definedName>
    <definedName name="UAcct41181">'[6]Func Study'!$AB$381</definedName>
    <definedName name="UAcct4194">'[6]Func Study'!$AB$385</definedName>
    <definedName name="UAcct421">'[6]Func Study'!$AB$394</definedName>
    <definedName name="UAcct4311">'[6]Func Study'!$AB$401</definedName>
    <definedName name="UAcct442Se">'[6]Func Study'!$AB$259</definedName>
    <definedName name="UAcct442Sg">'[6]Func Study'!$AB$260</definedName>
    <definedName name="UAcct447">'[6]Func Study'!$AB$281</definedName>
    <definedName name="UACCT447NPC">'[6]Func Study'!$AB$289</definedName>
    <definedName name="UACCT447NPCCAEW">'[6]Func Study'!$AB$286</definedName>
    <definedName name="UACCT447NPCCAGW">'[6]Func Study'!$AB$287</definedName>
    <definedName name="UACCT447NPCDGP">'[6]Func Study'!$AB$288</definedName>
    <definedName name="UAcct447S">'[6]Func Study'!$AB$280</definedName>
    <definedName name="UAcct448S">'[6]Func Study'!$AB$274</definedName>
    <definedName name="UAcct448So">'[6]Func Study'!$AB$275</definedName>
    <definedName name="UAcct449">'[6]Func Study'!$AB$294</definedName>
    <definedName name="UAcct450">'[6]Func Study'!$AB$304</definedName>
    <definedName name="UAcct450S">'[6]Func Study'!$AB$302</definedName>
    <definedName name="UAcct450So">'[6]Func Study'!$AB$303</definedName>
    <definedName name="UAcct451S">'[6]Func Study'!$AB$307</definedName>
    <definedName name="UAcct451Sg">'[6]Func Study'!$AB$308</definedName>
    <definedName name="UAcct451So">'[6]Func Study'!$AB$309</definedName>
    <definedName name="UAcct453">'[6]Func Study'!$AB$315</definedName>
    <definedName name="UAcct454">'[6]Func Study'!$AB$322</definedName>
    <definedName name="UAcct454JBG">'[6]Func Study'!$AB$319</definedName>
    <definedName name="UAcct454S">'[6]Func Study'!$AB$318</definedName>
    <definedName name="UAcct454Sg">'[6]Func Study'!$AB$320</definedName>
    <definedName name="UAcct454So">'[6]Func Study'!$AB$321</definedName>
    <definedName name="UAcct456">'[6]Func Study'!$AB$332</definedName>
    <definedName name="UAcct456CAEW">'[6]Func Study'!$AB$331</definedName>
    <definedName name="UAcct456S">'[6]Func Study'!$AB$325</definedName>
    <definedName name="UAcct456So">'[6]Func Study'!$AB$329</definedName>
    <definedName name="UAcct500">'[6]Func Study'!$AB$416</definedName>
    <definedName name="UAcct500JBG">'[6]Func Study'!$AB$414</definedName>
    <definedName name="UAcct501">'[6]Func Study'!$AB$423</definedName>
    <definedName name="UAcct501CAEW">'[6]Func Study'!$AB$420</definedName>
    <definedName name="UAcct501JBE">'[6]Func Study'!$AB$421</definedName>
    <definedName name="UACCT501NPCCAEW">'[6]Func Study'!$AB$426</definedName>
    <definedName name="UAcct502">'[6]Func Study'!$AB$433</definedName>
    <definedName name="UAcct502CAGE">'[6]Func Study'!$AB$431</definedName>
    <definedName name="UAcct503">'[6]Func Study'!$AB$437</definedName>
    <definedName name="UACCT503NPC">'[6]Func Study'!$AB$443</definedName>
    <definedName name="UAcct505">'[6]Func Study'!$AB$449</definedName>
    <definedName name="UAcct505CAGE">'[6]Func Study'!$AB$447</definedName>
    <definedName name="UAcct506">'[6]Func Study'!$AB$455</definedName>
    <definedName name="UAcct506CAGE">'[6]Func Study'!$AB$452</definedName>
    <definedName name="UAcct507">'[6]Func Study'!$AB$464</definedName>
    <definedName name="UAcct507CAGE">'[6]Func Study'!$AB$462</definedName>
    <definedName name="UAcct510">'[6]Func Study'!$AB$469</definedName>
    <definedName name="UAcct510CAGE">'[6]Func Study'!$AB$467</definedName>
    <definedName name="UAcct511">'[6]Func Study'!$AB$474</definedName>
    <definedName name="UAcct511CAGE">'[6]Func Study'!$AB$472</definedName>
    <definedName name="UAcct512">'[6]Func Study'!$AB$479</definedName>
    <definedName name="UAcct512CAGE">'[6]Func Study'!$AB$477</definedName>
    <definedName name="UAcct513">'[6]Func Study'!$AB$484</definedName>
    <definedName name="UAcct513CAGE">'[6]Func Study'!$AB$482</definedName>
    <definedName name="UAcct514">'[6]Func Study'!$AB$489</definedName>
    <definedName name="UAcct514CAGE">'[6]Func Study'!$AB$487</definedName>
    <definedName name="UAcct517">'[6]Func Study'!$AB$498</definedName>
    <definedName name="UAcct518">'[6]Func Study'!$AB$502</definedName>
    <definedName name="UAcct519">'[6]Func Study'!$AB$507</definedName>
    <definedName name="UAcct520">'[6]Func Study'!$AB$511</definedName>
    <definedName name="UAcct523">'[6]Func Study'!$AB$515</definedName>
    <definedName name="UAcct524">'[6]Func Study'!$AB$519</definedName>
    <definedName name="UAcct528">'[6]Func Study'!$AB$523</definedName>
    <definedName name="UAcct529">'[6]Func Study'!$AB$527</definedName>
    <definedName name="UAcct530">'[6]Func Study'!$AB$531</definedName>
    <definedName name="UAcct531">'[6]Func Study'!$AB$535</definedName>
    <definedName name="UAcct532">'[6]Func Study'!$AB$539</definedName>
    <definedName name="UAcct535">'[6]Func Study'!$AB$551</definedName>
    <definedName name="UAcct536">'[6]Func Study'!$AB$555</definedName>
    <definedName name="UAcct537">'[6]Func Study'!$AB$559</definedName>
    <definedName name="UAcct538">'[6]Func Study'!$AB$563</definedName>
    <definedName name="UAcct539">'[6]Func Study'!$AB$568</definedName>
    <definedName name="UAcct540">'[6]Func Study'!$AB$572</definedName>
    <definedName name="UAcct541">'[6]Func Study'!$AB$576</definedName>
    <definedName name="UAcct542">'[6]Func Study'!$AB$580</definedName>
    <definedName name="UAcct543">'[6]Func Study'!$AB$584</definedName>
    <definedName name="UAcct544">'[6]Func Study'!$AB$588</definedName>
    <definedName name="UAcct545">'[6]Func Study'!$AB$592</definedName>
    <definedName name="UAcct546">'[6]Func Study'!$AB$606</definedName>
    <definedName name="UAcct546CAGE">'[6]Func Study'!$AB$605</definedName>
    <definedName name="UAcct547CAEW">'[6]Func Study'!$AB$610</definedName>
    <definedName name="UACCT547NPCCAEW">'[6]Func Study'!$AB$613</definedName>
    <definedName name="UAcct547Se">'[6]Func Study'!$AB$609</definedName>
    <definedName name="UAcct548">'[6]Func Study'!$AB$621</definedName>
    <definedName name="UACCT548CAGE">'[6]Func Study'!$AB$620</definedName>
    <definedName name="UAcct549">'[6]Func Study'!$AB$626</definedName>
    <definedName name="Uacct549CAGE">'[6]Func Study'!$AB$625</definedName>
    <definedName name="UAcct551CAGE">'[6]Func Study'!$AB$634</definedName>
    <definedName name="UACCT551SG">'[6]Func Study'!$AB$635</definedName>
    <definedName name="UACCT552CAGE">'[6]Func Study'!$AB$640</definedName>
    <definedName name="UAcct552SG">'[6]Func Study'!$AB$639</definedName>
    <definedName name="UACCT553CAGE">'[6]Func Study'!$AB$646</definedName>
    <definedName name="UAcct553SG">'[6]Func Study'!$AB$645</definedName>
    <definedName name="UACCT554CAGE">'[6]Func Study'!$AB$651</definedName>
    <definedName name="UAcct554SG">'[6]Func Study'!$AB$650</definedName>
    <definedName name="UAcct555CAEW">'[6]Func Study'!$AB$665</definedName>
    <definedName name="UAcct555CAGW">'[6]Func Study'!$AB$664</definedName>
    <definedName name="UACCT555DGP">'[6]Func Study'!$AB$670</definedName>
    <definedName name="UACCT555NPCCAEW">'[6]Func Study'!$AB$669</definedName>
    <definedName name="UACCT555NPCCAGW">'[6]Func Study'!$AB$668</definedName>
    <definedName name="UAcct555S">'[6]Func Study'!$AB$663</definedName>
    <definedName name="UAcct555Se">'[6]Func Study'!$AB$665</definedName>
    <definedName name="UACCT555SG">'[6]Func Study'!$AB$664</definedName>
    <definedName name="UAcct556">'[6]Func Study'!$AB$676</definedName>
    <definedName name="UAcct557">'[6]Func Study'!$AB$685</definedName>
    <definedName name="UAcct560">'[6]Func Study'!$AB$715</definedName>
    <definedName name="UAcct561">'[6]Func Study'!$AB$720</definedName>
    <definedName name="UAcct562">'[6]Func Study'!$AB$726</definedName>
    <definedName name="UAcct563">'[6]Func Study'!$AB$731</definedName>
    <definedName name="UAcct564">'[6]Func Study'!$AB$735</definedName>
    <definedName name="UAcct565">'[6]Func Study'!$AB$739</definedName>
    <definedName name="UACCT565NPC">'[6]Func Study'!$AB$744</definedName>
    <definedName name="UACCT565NPCCAGW">'[6]Func Study'!$AB$742</definedName>
    <definedName name="UAcct566">'[6]Func Study'!$AB$748</definedName>
    <definedName name="UAcct567">'[6]Func Study'!$AB$752</definedName>
    <definedName name="UAcct568">'[6]Func Study'!$AB$756</definedName>
    <definedName name="UAcct569">'[6]Func Study'!$AB$760</definedName>
    <definedName name="UAcct570">'[6]Func Study'!$AB$765</definedName>
    <definedName name="UAcct571">'[6]Func Study'!$AB$770</definedName>
    <definedName name="UAcct572">'[6]Func Study'!$AB$774</definedName>
    <definedName name="UAcct573">'[6]Func Study'!$AB$778</definedName>
    <definedName name="UAcct580">'[6]Func Study'!$AB$791</definedName>
    <definedName name="UAcct581">'[6]Func Study'!$AB$796</definedName>
    <definedName name="UAcct582">'[6]Func Study'!$AB$801</definedName>
    <definedName name="UAcct583">'[6]Func Study'!$AB$806</definedName>
    <definedName name="UAcct584">'[6]Func Study'!$AB$811</definedName>
    <definedName name="UAcct585">'[6]Func Study'!$AB$816</definedName>
    <definedName name="UAcct586">'[6]Func Study'!$AB$821</definedName>
    <definedName name="UAcct587">'[6]Func Study'!$AB$826</definedName>
    <definedName name="UAcct588">'[6]Func Study'!$AB$831</definedName>
    <definedName name="UAcct589">'[6]Func Study'!$AB$836</definedName>
    <definedName name="UAcct590">'[6]Func Study'!$AB$841</definedName>
    <definedName name="UAcct591">'[6]Func Study'!$AB$846</definedName>
    <definedName name="UAcct592">'[6]Func Study'!$AB$851</definedName>
    <definedName name="UAcct593">'[6]Func Study'!$AB$856</definedName>
    <definedName name="UAcct594">'[6]Func Study'!$AB$861</definedName>
    <definedName name="UAcct595">'[6]Func Study'!$AB$866</definedName>
    <definedName name="UAcct596">'[6]Func Study'!$AB$876</definedName>
    <definedName name="UAcct597">'[6]Func Study'!$AB$881</definedName>
    <definedName name="UAcct598">'[6]Func Study'!$AB$886</definedName>
    <definedName name="UAcct901">'[6]Func Study'!$AB$898</definedName>
    <definedName name="UAcct902">'[6]Func Study'!$AB$903</definedName>
    <definedName name="UAcct903">'[6]Func Study'!$AB$908</definedName>
    <definedName name="UAcct904">'[6]Func Study'!$AB$914</definedName>
    <definedName name="UAcct905">'[6]Func Study'!$AB$919</definedName>
    <definedName name="UAcct907">'[6]Func Study'!$AB$933</definedName>
    <definedName name="UAcct908">'[6]Func Study'!$AB$938</definedName>
    <definedName name="UAcct909">'[6]Func Study'!$AB$943</definedName>
    <definedName name="UAcct910">'[6]Func Study'!$AB$948</definedName>
    <definedName name="UAcct911">'[6]Func Study'!$AB$959</definedName>
    <definedName name="UAcct912">'[6]Func Study'!$AB$964</definedName>
    <definedName name="UAcct913">'[6]Func Study'!$AB$969</definedName>
    <definedName name="UAcct916">'[6]Func Study'!$AB$974</definedName>
    <definedName name="UAcct920">'[6]Func Study'!$AB$985</definedName>
    <definedName name="UAcct920Cn">'[6]Func Study'!$AB$983</definedName>
    <definedName name="UAcct921">'[6]Func Study'!$AB$991</definedName>
    <definedName name="UAcct921Cn">'[6]Func Study'!$AB$989</definedName>
    <definedName name="UAcct923">'[6]Func Study'!$AB$997</definedName>
    <definedName name="UAcct923CAGW">'[6]Func Study'!$AB$995</definedName>
    <definedName name="UAcct924">'[6]Func Study'!$AB$1001</definedName>
    <definedName name="UAcct925">'[6]Func Study'!$AB$1005</definedName>
    <definedName name="UAcct926">'[6]Func Study'!$AB$1011</definedName>
    <definedName name="UAcct927">'[6]Func Study'!$AB$1016</definedName>
    <definedName name="UAcct928">'[6]Func Study'!$AB$1023</definedName>
    <definedName name="UAcct929">'[6]Func Study'!$AB$1028</definedName>
    <definedName name="UAcct930">'[6]Func Study'!$AB$1034</definedName>
    <definedName name="UAcct931">'[6]Func Study'!$AB$1039</definedName>
    <definedName name="UAcct935">'[6]Func Study'!$AB$1045</definedName>
    <definedName name="UAcctAGA">'[6]Func Study'!$AB$296</definedName>
    <definedName name="UAcctcwc">'[6]Func Study'!$AB$2136</definedName>
    <definedName name="UAcctd00">'[6]Func Study'!$AB$1786</definedName>
    <definedName name="UAcctds0">'[6]Func Study'!$AB$1790</definedName>
    <definedName name="UACCTECDDGP">'[6]Func Study'!$AB$687</definedName>
    <definedName name="UACCTECDMC">'[6]Func Study'!$AB$689</definedName>
    <definedName name="UACCTECDS">'[6]Func Study'!$AB$691</definedName>
    <definedName name="UACCTECDSG1">'[6]Func Study'!$AB$688</definedName>
    <definedName name="UACCTECDSG2">'[6]Func Study'!$AB$690</definedName>
    <definedName name="UACCTECDSG3">'[6]Func Study'!$AB$692</definedName>
    <definedName name="UAcctfit">'[6]Func Study'!$AB$1395</definedName>
    <definedName name="UAcctg00">'[6]Func Study'!$AB$1947</definedName>
    <definedName name="UAccth00">'[6]Func Study'!$AB$1545</definedName>
    <definedName name="UAccti00">'[6]Func Study'!$AB$1993</definedName>
    <definedName name="UAcctn00">'[6]Func Study'!$AB$1496</definedName>
    <definedName name="UAccto00">'[6]Func Study'!$AB$1606</definedName>
    <definedName name="UAcctowc">'[6]Func Study'!$AB$2149</definedName>
    <definedName name="UACCTOWCSSECH">'[6]Func Study'!$AB$2148</definedName>
    <definedName name="UAccts00">'[6]Func Study'!$AB$1455</definedName>
    <definedName name="UAcctsttax">'[6]Func Study'!$AB$1377</definedName>
    <definedName name="UAcctt00">'[6]Func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[10]Variables!$D$25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[10]Variables!$D$29</definedName>
    <definedName name="ValidAccount">[7]Variables!$AK$43:$AK$369</definedName>
    <definedName name="Values_Entered">IF(Loan_Amount*Interest_Rate*Loan_Years*Loan_Start&gt;0,1,0)</definedName>
    <definedName name="VOMEsc" localSheetId="14">[8]Assumptions!$C$21</definedName>
    <definedName name="VOMEsc" localSheetId="15">[8]Assumptions!$C$21</definedName>
    <definedName name="VOMEsc">[8]Assumptions!$C$21</definedName>
    <definedName name="WACC" localSheetId="14">[8]Assumptions!$I$61</definedName>
    <definedName name="WACC" localSheetId="15">[8]Assumptions!$I$61</definedName>
    <definedName name="WACC">[8]Assumptions!$I$61</definedName>
    <definedName name="WaRevenueTax">[10]Variables!$D$27</definedName>
    <definedName name="Winter">'[54]Input Tab'!$B$11</definedName>
    <definedName name="WinterPeak">'[55]Load Data'!$D$9:$H$12,'[55]Load Data'!$D$20:$H$22</definedName>
    <definedName name="Years_evaluated">'[56]Revison Inputs'!$B$6</definedName>
    <definedName name="YEFactors">[7]Factors!$S$3:$AG$99</definedName>
    <definedName name="YTD_Format">[46]YTD!$B$13:$D$13,[46]YTD!$B$36:$D$36</definedName>
  </definedNames>
  <calcPr calcId="145621"/>
</workbook>
</file>

<file path=xl/calcChain.xml><?xml version="1.0" encoding="utf-8"?>
<calcChain xmlns="http://schemas.openxmlformats.org/spreadsheetml/2006/main">
  <c r="E38" i="222" l="1"/>
  <c r="C20" i="219" l="1"/>
  <c r="B20" i="219"/>
  <c r="B11" i="219"/>
  <c r="C11" i="219"/>
  <c r="C10" i="219"/>
  <c r="B10" i="219"/>
  <c r="E6" i="219"/>
  <c r="D6" i="219"/>
  <c r="B18" i="218"/>
  <c r="B10" i="218"/>
  <c r="C6" i="218"/>
  <c r="B18" i="221"/>
  <c r="B10" i="221"/>
  <c r="C6" i="221"/>
  <c r="B18" i="220"/>
  <c r="B10" i="220"/>
  <c r="C6" i="220"/>
  <c r="O235" i="232"/>
  <c r="N235" i="232"/>
  <c r="M235" i="232"/>
  <c r="L235" i="232"/>
  <c r="K235" i="232"/>
  <c r="J235" i="232"/>
  <c r="I235" i="232"/>
  <c r="H235" i="232"/>
  <c r="G235" i="232"/>
  <c r="F235" i="232"/>
  <c r="E235" i="232"/>
  <c r="D235" i="232"/>
  <c r="P235" i="232" s="1"/>
  <c r="O234" i="232"/>
  <c r="N234" i="232"/>
  <c r="M234" i="232"/>
  <c r="L234" i="232"/>
  <c r="K234" i="232"/>
  <c r="J234" i="232"/>
  <c r="I234" i="232"/>
  <c r="H234" i="232"/>
  <c r="G234" i="232"/>
  <c r="F234" i="232"/>
  <c r="E234" i="232"/>
  <c r="D234" i="232"/>
  <c r="O233" i="232"/>
  <c r="N233" i="232"/>
  <c r="M233" i="232"/>
  <c r="L233" i="232"/>
  <c r="K233" i="232"/>
  <c r="J233" i="232"/>
  <c r="I233" i="232"/>
  <c r="H233" i="232"/>
  <c r="G233" i="232"/>
  <c r="F233" i="232"/>
  <c r="E233" i="232"/>
  <c r="D233" i="232"/>
  <c r="O232" i="232"/>
  <c r="N232" i="232"/>
  <c r="M232" i="232"/>
  <c r="L232" i="232"/>
  <c r="K232" i="232"/>
  <c r="J232" i="232"/>
  <c r="I232" i="232"/>
  <c r="H232" i="232"/>
  <c r="G232" i="232"/>
  <c r="F232" i="232"/>
  <c r="E232" i="232"/>
  <c r="D232" i="232"/>
  <c r="O231" i="232"/>
  <c r="N231" i="232"/>
  <c r="M231" i="232"/>
  <c r="L231" i="232"/>
  <c r="K231" i="232"/>
  <c r="J231" i="232"/>
  <c r="J236" i="232" s="1"/>
  <c r="I231" i="232"/>
  <c r="H231" i="232"/>
  <c r="G231" i="232"/>
  <c r="F231" i="232"/>
  <c r="E231" i="232"/>
  <c r="D231" i="232"/>
  <c r="O230" i="232"/>
  <c r="N230" i="232"/>
  <c r="M230" i="232"/>
  <c r="L230" i="232"/>
  <c r="K230" i="232"/>
  <c r="J230" i="232"/>
  <c r="I230" i="232"/>
  <c r="H230" i="232"/>
  <c r="G230" i="232"/>
  <c r="F230" i="232"/>
  <c r="E230" i="232"/>
  <c r="D230" i="232"/>
  <c r="O229" i="232"/>
  <c r="N229" i="232"/>
  <c r="M229" i="232"/>
  <c r="L229" i="232"/>
  <c r="K229" i="232"/>
  <c r="J229" i="232"/>
  <c r="I229" i="232"/>
  <c r="H229" i="232"/>
  <c r="G229" i="232"/>
  <c r="F229" i="232"/>
  <c r="E229" i="232"/>
  <c r="D229" i="232"/>
  <c r="P229" i="232" s="1"/>
  <c r="O228" i="232"/>
  <c r="N228" i="232"/>
  <c r="M228" i="232"/>
  <c r="L228" i="232"/>
  <c r="K228" i="232"/>
  <c r="J228" i="232"/>
  <c r="I228" i="232"/>
  <c r="H228" i="232"/>
  <c r="G228" i="232"/>
  <c r="F228" i="232"/>
  <c r="E228" i="232"/>
  <c r="D228" i="232"/>
  <c r="P228" i="232" s="1"/>
  <c r="O227" i="232"/>
  <c r="N227" i="232"/>
  <c r="N236" i="232" s="1"/>
  <c r="M227" i="232"/>
  <c r="L227" i="232"/>
  <c r="K227" i="232"/>
  <c r="J227" i="232"/>
  <c r="I227" i="232"/>
  <c r="H227" i="232"/>
  <c r="G227" i="232"/>
  <c r="F227" i="232"/>
  <c r="E227" i="232"/>
  <c r="D227" i="232"/>
  <c r="P227" i="232" s="1"/>
  <c r="O226" i="232"/>
  <c r="N226" i="232"/>
  <c r="M226" i="232"/>
  <c r="L226" i="232"/>
  <c r="K226" i="232"/>
  <c r="J226" i="232"/>
  <c r="I226" i="232"/>
  <c r="H226" i="232"/>
  <c r="G226" i="232"/>
  <c r="F226" i="232"/>
  <c r="E226" i="232"/>
  <c r="D226" i="232"/>
  <c r="P226" i="232" s="1"/>
  <c r="O225" i="232"/>
  <c r="N225" i="232"/>
  <c r="M225" i="232"/>
  <c r="L225" i="232"/>
  <c r="K225" i="232"/>
  <c r="J225" i="232"/>
  <c r="I225" i="232"/>
  <c r="H225" i="232"/>
  <c r="G225" i="232"/>
  <c r="F225" i="232"/>
  <c r="E225" i="232"/>
  <c r="D225" i="232"/>
  <c r="P225" i="232" s="1"/>
  <c r="O224" i="232"/>
  <c r="N224" i="232"/>
  <c r="M224" i="232"/>
  <c r="L224" i="232"/>
  <c r="K224" i="232"/>
  <c r="J224" i="232"/>
  <c r="I224" i="232"/>
  <c r="H224" i="232"/>
  <c r="G224" i="232"/>
  <c r="F224" i="232"/>
  <c r="F236" i="232" s="1"/>
  <c r="E224" i="232"/>
  <c r="D224" i="232"/>
  <c r="O214" i="232"/>
  <c r="O243" i="232" s="1"/>
  <c r="E214" i="232"/>
  <c r="E243" i="232" s="1"/>
  <c r="J207" i="232"/>
  <c r="P200" i="232"/>
  <c r="P197" i="232"/>
  <c r="P193" i="232"/>
  <c r="P192" i="232"/>
  <c r="P188" i="232"/>
  <c r="L184" i="232"/>
  <c r="O183" i="232"/>
  <c r="N183" i="232"/>
  <c r="M183" i="232"/>
  <c r="L183" i="232"/>
  <c r="K183" i="232"/>
  <c r="J183" i="232"/>
  <c r="I183" i="232"/>
  <c r="H183" i="232"/>
  <c r="G183" i="232"/>
  <c r="F183" i="232"/>
  <c r="E183" i="232"/>
  <c r="D183" i="232"/>
  <c r="P183" i="232" s="1"/>
  <c r="O182" i="232"/>
  <c r="O217" i="232" s="1"/>
  <c r="O249" i="232" s="1"/>
  <c r="N182" i="232"/>
  <c r="N217" i="232" s="1"/>
  <c r="N249" i="232" s="1"/>
  <c r="M182" i="232"/>
  <c r="M217" i="232" s="1"/>
  <c r="M249" i="232" s="1"/>
  <c r="L182" i="232"/>
  <c r="L217" i="232" s="1"/>
  <c r="L249" i="232" s="1"/>
  <c r="K182" i="232"/>
  <c r="K217" i="232" s="1"/>
  <c r="K249" i="232" s="1"/>
  <c r="J182" i="232"/>
  <c r="J217" i="232" s="1"/>
  <c r="J249" i="232" s="1"/>
  <c r="I182" i="232"/>
  <c r="I217" i="232" s="1"/>
  <c r="I249" i="232" s="1"/>
  <c r="H182" i="232"/>
  <c r="H217" i="232" s="1"/>
  <c r="H249" i="232" s="1"/>
  <c r="G182" i="232"/>
  <c r="G217" i="232" s="1"/>
  <c r="G249" i="232" s="1"/>
  <c r="F182" i="232"/>
  <c r="F217" i="232" s="1"/>
  <c r="F249" i="232" s="1"/>
  <c r="E182" i="232"/>
  <c r="E217" i="232" s="1"/>
  <c r="E249" i="232" s="1"/>
  <c r="D182" i="232"/>
  <c r="O181" i="232"/>
  <c r="N181" i="232"/>
  <c r="M181" i="232"/>
  <c r="L181" i="232"/>
  <c r="K181" i="232"/>
  <c r="J181" i="232"/>
  <c r="I181" i="232"/>
  <c r="H181" i="232"/>
  <c r="G181" i="232"/>
  <c r="F181" i="232"/>
  <c r="E181" i="232"/>
  <c r="D181" i="232"/>
  <c r="P181" i="232" s="1"/>
  <c r="O180" i="232"/>
  <c r="N180" i="232"/>
  <c r="M180" i="232"/>
  <c r="L180" i="232"/>
  <c r="K180" i="232"/>
  <c r="J180" i="232"/>
  <c r="I180" i="232"/>
  <c r="H180" i="232"/>
  <c r="G180" i="232"/>
  <c r="F180" i="232"/>
  <c r="E180" i="232"/>
  <c r="D180" i="232"/>
  <c r="P180" i="232" s="1"/>
  <c r="O179" i="232"/>
  <c r="N179" i="232"/>
  <c r="N214" i="232" s="1"/>
  <c r="N243" i="232" s="1"/>
  <c r="M179" i="232"/>
  <c r="M214" i="232" s="1"/>
  <c r="M243" i="232" s="1"/>
  <c r="L179" i="232"/>
  <c r="L214" i="232" s="1"/>
  <c r="L243" i="232" s="1"/>
  <c r="K179" i="232"/>
  <c r="K214" i="232" s="1"/>
  <c r="K243" i="232" s="1"/>
  <c r="J179" i="232"/>
  <c r="J214" i="232" s="1"/>
  <c r="J243" i="232" s="1"/>
  <c r="I179" i="232"/>
  <c r="I214" i="232" s="1"/>
  <c r="I243" i="232" s="1"/>
  <c r="H179" i="232"/>
  <c r="H214" i="232" s="1"/>
  <c r="H243" i="232" s="1"/>
  <c r="G179" i="232"/>
  <c r="G214" i="232" s="1"/>
  <c r="G243" i="232" s="1"/>
  <c r="F179" i="232"/>
  <c r="F214" i="232" s="1"/>
  <c r="F243" i="232" s="1"/>
  <c r="E179" i="232"/>
  <c r="D179" i="232"/>
  <c r="D214" i="232" s="1"/>
  <c r="O178" i="232"/>
  <c r="N178" i="232"/>
  <c r="M178" i="232"/>
  <c r="L178" i="232"/>
  <c r="K178" i="232"/>
  <c r="J178" i="232"/>
  <c r="I178" i="232"/>
  <c r="H178" i="232"/>
  <c r="G178" i="232"/>
  <c r="F178" i="232"/>
  <c r="E178" i="232"/>
  <c r="D178" i="232"/>
  <c r="C178" i="232"/>
  <c r="B178" i="232"/>
  <c r="O177" i="232"/>
  <c r="N177" i="232"/>
  <c r="M177" i="232"/>
  <c r="L177" i="232"/>
  <c r="K177" i="232"/>
  <c r="J177" i="232"/>
  <c r="I177" i="232"/>
  <c r="H177" i="232"/>
  <c r="G177" i="232"/>
  <c r="F177" i="232"/>
  <c r="E177" i="232"/>
  <c r="D177" i="232"/>
  <c r="P177" i="232" s="1"/>
  <c r="C177" i="232"/>
  <c r="B177" i="232"/>
  <c r="O176" i="232"/>
  <c r="N176" i="232"/>
  <c r="M176" i="232"/>
  <c r="L176" i="232"/>
  <c r="K176" i="232"/>
  <c r="J176" i="232"/>
  <c r="I176" i="232"/>
  <c r="H176" i="232"/>
  <c r="G176" i="232"/>
  <c r="F176" i="232"/>
  <c r="E176" i="232"/>
  <c r="D176" i="232"/>
  <c r="P176" i="232" s="1"/>
  <c r="C176" i="232"/>
  <c r="B176" i="232"/>
  <c r="O175" i="232"/>
  <c r="N175" i="232"/>
  <c r="M175" i="232"/>
  <c r="L175" i="232"/>
  <c r="K175" i="232"/>
  <c r="J175" i="232"/>
  <c r="I175" i="232"/>
  <c r="H175" i="232"/>
  <c r="G175" i="232"/>
  <c r="F175" i="232"/>
  <c r="E175" i="232"/>
  <c r="D175" i="232"/>
  <c r="C175" i="232"/>
  <c r="B175" i="232"/>
  <c r="O174" i="232"/>
  <c r="N174" i="232"/>
  <c r="M174" i="232"/>
  <c r="M207" i="232" s="1"/>
  <c r="L174" i="232"/>
  <c r="L207" i="232" s="1"/>
  <c r="K174" i="232"/>
  <c r="J174" i="232"/>
  <c r="I174" i="232"/>
  <c r="I207" i="232" s="1"/>
  <c r="H174" i="232"/>
  <c r="H207" i="232" s="1"/>
  <c r="G174" i="232"/>
  <c r="F174" i="232"/>
  <c r="E174" i="232"/>
  <c r="E207" i="232" s="1"/>
  <c r="D174" i="232"/>
  <c r="D207" i="232" s="1"/>
  <c r="O141" i="232"/>
  <c r="N141" i="232"/>
  <c r="M141" i="232"/>
  <c r="L141" i="232"/>
  <c r="K141" i="232"/>
  <c r="J141" i="232"/>
  <c r="I141" i="232"/>
  <c r="H141" i="232"/>
  <c r="G141" i="232"/>
  <c r="F141" i="232"/>
  <c r="E141" i="232"/>
  <c r="D141" i="232"/>
  <c r="P140" i="232"/>
  <c r="P139" i="232"/>
  <c r="P138" i="232"/>
  <c r="P141" i="232" s="1"/>
  <c r="K133" i="232"/>
  <c r="O131" i="232"/>
  <c r="E126" i="232"/>
  <c r="O124" i="232"/>
  <c r="I122" i="232"/>
  <c r="J115" i="232"/>
  <c r="J130" i="232" s="1"/>
  <c r="K110" i="232"/>
  <c r="K125" i="232" s="1"/>
  <c r="N102" i="232"/>
  <c r="N116" i="232" s="1"/>
  <c r="N131" i="232" s="1"/>
  <c r="M102" i="232"/>
  <c r="M116" i="232" s="1"/>
  <c r="M131" i="232" s="1"/>
  <c r="J102" i="232"/>
  <c r="J116" i="232" s="1"/>
  <c r="J131" i="232" s="1"/>
  <c r="F102" i="232"/>
  <c r="F116" i="232" s="1"/>
  <c r="F131" i="232" s="1"/>
  <c r="E102" i="232"/>
  <c r="E116" i="232" s="1"/>
  <c r="E131" i="232" s="1"/>
  <c r="O100" i="232"/>
  <c r="O114" i="232" s="1"/>
  <c r="O129" i="232" s="1"/>
  <c r="N98" i="232"/>
  <c r="N112" i="232" s="1"/>
  <c r="N127" i="232" s="1"/>
  <c r="M98" i="232"/>
  <c r="M112" i="232" s="1"/>
  <c r="M127" i="232" s="1"/>
  <c r="J98" i="232"/>
  <c r="J112" i="232" s="1"/>
  <c r="J127" i="232" s="1"/>
  <c r="F98" i="232"/>
  <c r="F112" i="232" s="1"/>
  <c r="F127" i="232" s="1"/>
  <c r="E98" i="232"/>
  <c r="E112" i="232" s="1"/>
  <c r="E127" i="232" s="1"/>
  <c r="O96" i="232"/>
  <c r="O110" i="232" s="1"/>
  <c r="O125" i="232" s="1"/>
  <c r="N95" i="232"/>
  <c r="N109" i="232" s="1"/>
  <c r="N124" i="232" s="1"/>
  <c r="J95" i="232"/>
  <c r="J109" i="232" s="1"/>
  <c r="J124" i="232" s="1"/>
  <c r="F95" i="232"/>
  <c r="F109" i="232" s="1"/>
  <c r="F124" i="232" s="1"/>
  <c r="M94" i="232"/>
  <c r="M108" i="232" s="1"/>
  <c r="M123" i="232" s="1"/>
  <c r="G94" i="232"/>
  <c r="G108" i="232" s="1"/>
  <c r="G123" i="232" s="1"/>
  <c r="F94" i="232"/>
  <c r="F108" i="232" s="1"/>
  <c r="F123" i="232" s="1"/>
  <c r="N93" i="232"/>
  <c r="N107" i="232" s="1"/>
  <c r="P76" i="232"/>
  <c r="O76" i="232"/>
  <c r="N76" i="232"/>
  <c r="M76" i="232"/>
  <c r="L76" i="232"/>
  <c r="L99" i="232" s="1"/>
  <c r="L113" i="232" s="1"/>
  <c r="L128" i="232" s="1"/>
  <c r="K76" i="232"/>
  <c r="J76" i="232"/>
  <c r="I76" i="232"/>
  <c r="H76" i="232"/>
  <c r="H93" i="232" s="1"/>
  <c r="H107" i="232" s="1"/>
  <c r="G76" i="232"/>
  <c r="F76" i="232"/>
  <c r="E76" i="232"/>
  <c r="D76" i="232"/>
  <c r="D96" i="232" s="1"/>
  <c r="P75" i="232"/>
  <c r="P74" i="232"/>
  <c r="O71" i="232"/>
  <c r="O104" i="232" s="1"/>
  <c r="O118" i="232" s="1"/>
  <c r="O133" i="232" s="1"/>
  <c r="N71" i="232"/>
  <c r="N104" i="232" s="1"/>
  <c r="N118" i="232" s="1"/>
  <c r="N133" i="232" s="1"/>
  <c r="M71" i="232"/>
  <c r="L71" i="232"/>
  <c r="K71" i="232"/>
  <c r="K104" i="232" s="1"/>
  <c r="K118" i="232" s="1"/>
  <c r="J71" i="232"/>
  <c r="J104" i="232" s="1"/>
  <c r="J118" i="232" s="1"/>
  <c r="J133" i="232" s="1"/>
  <c r="I71" i="232"/>
  <c r="H71" i="232"/>
  <c r="G71" i="232"/>
  <c r="G104" i="232" s="1"/>
  <c r="G118" i="232" s="1"/>
  <c r="G133" i="232" s="1"/>
  <c r="F71" i="232"/>
  <c r="F104" i="232" s="1"/>
  <c r="F118" i="232" s="1"/>
  <c r="F133" i="232" s="1"/>
  <c r="E71" i="232"/>
  <c r="D71" i="232"/>
  <c r="O70" i="232"/>
  <c r="O102" i="232" s="1"/>
  <c r="O116" i="232" s="1"/>
  <c r="N70" i="232"/>
  <c r="M70" i="232"/>
  <c r="L70" i="232"/>
  <c r="K70" i="232"/>
  <c r="K102" i="232" s="1"/>
  <c r="K116" i="232" s="1"/>
  <c r="K131" i="232" s="1"/>
  <c r="J70" i="232"/>
  <c r="I70" i="232"/>
  <c r="I102" i="232" s="1"/>
  <c r="I116" i="232" s="1"/>
  <c r="I131" i="232" s="1"/>
  <c r="H70" i="232"/>
  <c r="G70" i="232"/>
  <c r="G102" i="232" s="1"/>
  <c r="G116" i="232" s="1"/>
  <c r="G131" i="232" s="1"/>
  <c r="F70" i="232"/>
  <c r="E70" i="232"/>
  <c r="D70" i="232"/>
  <c r="O69" i="232"/>
  <c r="N69" i="232"/>
  <c r="N101" i="232" s="1"/>
  <c r="N115" i="232" s="1"/>
  <c r="N130" i="232" s="1"/>
  <c r="M69" i="232"/>
  <c r="M101" i="232" s="1"/>
  <c r="M115" i="232" s="1"/>
  <c r="M130" i="232" s="1"/>
  <c r="L69" i="232"/>
  <c r="K69" i="232"/>
  <c r="J69" i="232"/>
  <c r="J101" i="232" s="1"/>
  <c r="I69" i="232"/>
  <c r="I101" i="232" s="1"/>
  <c r="I115" i="232" s="1"/>
  <c r="I130" i="232" s="1"/>
  <c r="H69" i="232"/>
  <c r="G69" i="232"/>
  <c r="F69" i="232"/>
  <c r="F101" i="232" s="1"/>
  <c r="F115" i="232" s="1"/>
  <c r="F130" i="232" s="1"/>
  <c r="E69" i="232"/>
  <c r="E101" i="232" s="1"/>
  <c r="E115" i="232" s="1"/>
  <c r="E130" i="232" s="1"/>
  <c r="D69" i="232"/>
  <c r="O68" i="232"/>
  <c r="N68" i="232"/>
  <c r="N100" i="232" s="1"/>
  <c r="N114" i="232" s="1"/>
  <c r="N129" i="232" s="1"/>
  <c r="M68" i="232"/>
  <c r="M100" i="232" s="1"/>
  <c r="M114" i="232" s="1"/>
  <c r="M129" i="232" s="1"/>
  <c r="L68" i="232"/>
  <c r="K68" i="232"/>
  <c r="K100" i="232" s="1"/>
  <c r="K114" i="232" s="1"/>
  <c r="K129" i="232" s="1"/>
  <c r="J68" i="232"/>
  <c r="J100" i="232" s="1"/>
  <c r="J114" i="232" s="1"/>
  <c r="J129" i="232" s="1"/>
  <c r="I68" i="232"/>
  <c r="I100" i="232" s="1"/>
  <c r="I114" i="232" s="1"/>
  <c r="I129" i="232" s="1"/>
  <c r="H68" i="232"/>
  <c r="G68" i="232"/>
  <c r="G100" i="232" s="1"/>
  <c r="G114" i="232" s="1"/>
  <c r="G129" i="232" s="1"/>
  <c r="F68" i="232"/>
  <c r="F100" i="232" s="1"/>
  <c r="F114" i="232" s="1"/>
  <c r="F129" i="232" s="1"/>
  <c r="E68" i="232"/>
  <c r="E100" i="232" s="1"/>
  <c r="E114" i="232" s="1"/>
  <c r="E129" i="232" s="1"/>
  <c r="D68" i="232"/>
  <c r="O67" i="232"/>
  <c r="O99" i="232" s="1"/>
  <c r="O113" i="232" s="1"/>
  <c r="O128" i="232" s="1"/>
  <c r="N67" i="232"/>
  <c r="N99" i="232" s="1"/>
  <c r="N113" i="232" s="1"/>
  <c r="N128" i="232" s="1"/>
  <c r="M67" i="232"/>
  <c r="L67" i="232"/>
  <c r="K67" i="232"/>
  <c r="K99" i="232" s="1"/>
  <c r="K113" i="232" s="1"/>
  <c r="K128" i="232" s="1"/>
  <c r="J67" i="232"/>
  <c r="J99" i="232" s="1"/>
  <c r="J113" i="232" s="1"/>
  <c r="J128" i="232" s="1"/>
  <c r="I67" i="232"/>
  <c r="H67" i="232"/>
  <c r="G67" i="232"/>
  <c r="G99" i="232" s="1"/>
  <c r="G113" i="232" s="1"/>
  <c r="G128" i="232" s="1"/>
  <c r="F67" i="232"/>
  <c r="F99" i="232" s="1"/>
  <c r="F113" i="232" s="1"/>
  <c r="F128" i="232" s="1"/>
  <c r="E67" i="232"/>
  <c r="D67" i="232"/>
  <c r="O66" i="232"/>
  <c r="O98" i="232" s="1"/>
  <c r="O112" i="232" s="1"/>
  <c r="O127" i="232" s="1"/>
  <c r="N66" i="232"/>
  <c r="M66" i="232"/>
  <c r="L66" i="232"/>
  <c r="K66" i="232"/>
  <c r="K98" i="232" s="1"/>
  <c r="K112" i="232" s="1"/>
  <c r="K127" i="232" s="1"/>
  <c r="J66" i="232"/>
  <c r="I66" i="232"/>
  <c r="I98" i="232" s="1"/>
  <c r="I112" i="232" s="1"/>
  <c r="I127" i="232" s="1"/>
  <c r="H66" i="232"/>
  <c r="G66" i="232"/>
  <c r="G98" i="232" s="1"/>
  <c r="G112" i="232" s="1"/>
  <c r="G127" i="232" s="1"/>
  <c r="F66" i="232"/>
  <c r="E66" i="232"/>
  <c r="D66" i="232"/>
  <c r="O65" i="232"/>
  <c r="N65" i="232"/>
  <c r="N97" i="232" s="1"/>
  <c r="N111" i="232" s="1"/>
  <c r="N126" i="232" s="1"/>
  <c r="M65" i="232"/>
  <c r="M97" i="232" s="1"/>
  <c r="M111" i="232" s="1"/>
  <c r="M126" i="232" s="1"/>
  <c r="L65" i="232"/>
  <c r="L97" i="232" s="1"/>
  <c r="L111" i="232" s="1"/>
  <c r="L126" i="232" s="1"/>
  <c r="K65" i="232"/>
  <c r="J65" i="232"/>
  <c r="J97" i="232" s="1"/>
  <c r="J111" i="232" s="1"/>
  <c r="J126" i="232" s="1"/>
  <c r="I65" i="232"/>
  <c r="I97" i="232" s="1"/>
  <c r="I111" i="232" s="1"/>
  <c r="I126" i="232" s="1"/>
  <c r="H65" i="232"/>
  <c r="H97" i="232" s="1"/>
  <c r="H111" i="232" s="1"/>
  <c r="H126" i="232" s="1"/>
  <c r="G65" i="232"/>
  <c r="F65" i="232"/>
  <c r="F97" i="232" s="1"/>
  <c r="F111" i="232" s="1"/>
  <c r="F126" i="232" s="1"/>
  <c r="E65" i="232"/>
  <c r="E97" i="232" s="1"/>
  <c r="E111" i="232" s="1"/>
  <c r="D65" i="232"/>
  <c r="D97" i="232" s="1"/>
  <c r="O64" i="232"/>
  <c r="N64" i="232"/>
  <c r="N96" i="232" s="1"/>
  <c r="N110" i="232" s="1"/>
  <c r="N125" i="232" s="1"/>
  <c r="M64" i="232"/>
  <c r="M96" i="232" s="1"/>
  <c r="M110" i="232" s="1"/>
  <c r="M125" i="232" s="1"/>
  <c r="L64" i="232"/>
  <c r="K64" i="232"/>
  <c r="K96" i="232" s="1"/>
  <c r="J64" i="232"/>
  <c r="J96" i="232" s="1"/>
  <c r="J110" i="232" s="1"/>
  <c r="J125" i="232" s="1"/>
  <c r="I64" i="232"/>
  <c r="I96" i="232" s="1"/>
  <c r="I110" i="232" s="1"/>
  <c r="I125" i="232" s="1"/>
  <c r="H64" i="232"/>
  <c r="G64" i="232"/>
  <c r="G96" i="232" s="1"/>
  <c r="G110" i="232" s="1"/>
  <c r="G125" i="232" s="1"/>
  <c r="F64" i="232"/>
  <c r="F96" i="232" s="1"/>
  <c r="F110" i="232" s="1"/>
  <c r="F125" i="232" s="1"/>
  <c r="E64" i="232"/>
  <c r="E96" i="232" s="1"/>
  <c r="E110" i="232" s="1"/>
  <c r="E125" i="232" s="1"/>
  <c r="D64" i="232"/>
  <c r="P64" i="232" s="1"/>
  <c r="O63" i="232"/>
  <c r="O103" i="232" s="1"/>
  <c r="O117" i="232" s="1"/>
  <c r="O132" i="232" s="1"/>
  <c r="N63" i="232"/>
  <c r="N103" i="232" s="1"/>
  <c r="N117" i="232" s="1"/>
  <c r="N132" i="232" s="1"/>
  <c r="M63" i="232"/>
  <c r="L63" i="232"/>
  <c r="K63" i="232"/>
  <c r="K103" i="232" s="1"/>
  <c r="K117" i="232" s="1"/>
  <c r="K132" i="232" s="1"/>
  <c r="J63" i="232"/>
  <c r="J103" i="232" s="1"/>
  <c r="J117" i="232" s="1"/>
  <c r="J132" i="232" s="1"/>
  <c r="I63" i="232"/>
  <c r="H63" i="232"/>
  <c r="H103" i="232" s="1"/>
  <c r="H117" i="232" s="1"/>
  <c r="H132" i="232" s="1"/>
  <c r="G63" i="232"/>
  <c r="G103" i="232" s="1"/>
  <c r="G117" i="232" s="1"/>
  <c r="G132" i="232" s="1"/>
  <c r="F63" i="232"/>
  <c r="F103" i="232" s="1"/>
  <c r="F117" i="232" s="1"/>
  <c r="F132" i="232" s="1"/>
  <c r="E63" i="232"/>
  <c r="D63" i="232"/>
  <c r="P63" i="232" s="1"/>
  <c r="O62" i="232"/>
  <c r="O95" i="232" s="1"/>
  <c r="O109" i="232" s="1"/>
  <c r="N62" i="232"/>
  <c r="M62" i="232"/>
  <c r="M95" i="232" s="1"/>
  <c r="M109" i="232" s="1"/>
  <c r="M124" i="232" s="1"/>
  <c r="L62" i="232"/>
  <c r="K62" i="232"/>
  <c r="K95" i="232" s="1"/>
  <c r="K109" i="232" s="1"/>
  <c r="K124" i="232" s="1"/>
  <c r="J62" i="232"/>
  <c r="I62" i="232"/>
  <c r="I95" i="232" s="1"/>
  <c r="I109" i="232" s="1"/>
  <c r="I124" i="232" s="1"/>
  <c r="H62" i="232"/>
  <c r="H95" i="232" s="1"/>
  <c r="H109" i="232" s="1"/>
  <c r="H124" i="232" s="1"/>
  <c r="G62" i="232"/>
  <c r="G95" i="232" s="1"/>
  <c r="G109" i="232" s="1"/>
  <c r="G124" i="232" s="1"/>
  <c r="F62" i="232"/>
  <c r="E62" i="232"/>
  <c r="E95" i="232" s="1"/>
  <c r="E109" i="232" s="1"/>
  <c r="E124" i="232" s="1"/>
  <c r="D62" i="232"/>
  <c r="D95" i="232" s="1"/>
  <c r="O61" i="232"/>
  <c r="N61" i="232"/>
  <c r="N94" i="232" s="1"/>
  <c r="N108" i="232" s="1"/>
  <c r="N123" i="232" s="1"/>
  <c r="M61" i="232"/>
  <c r="L61" i="232"/>
  <c r="K61" i="232"/>
  <c r="J61" i="232"/>
  <c r="J94" i="232" s="1"/>
  <c r="J108" i="232" s="1"/>
  <c r="J123" i="232" s="1"/>
  <c r="I61" i="232"/>
  <c r="I94" i="232" s="1"/>
  <c r="I108" i="232" s="1"/>
  <c r="I123" i="232" s="1"/>
  <c r="H61" i="232"/>
  <c r="G61" i="232"/>
  <c r="F61" i="232"/>
  <c r="E61" i="232"/>
  <c r="E94" i="232" s="1"/>
  <c r="E108" i="232" s="1"/>
  <c r="E123" i="232" s="1"/>
  <c r="D61" i="232"/>
  <c r="O60" i="232"/>
  <c r="O93" i="232" s="1"/>
  <c r="O107" i="232" s="1"/>
  <c r="N60" i="232"/>
  <c r="M60" i="232"/>
  <c r="M93" i="232" s="1"/>
  <c r="M107" i="232" s="1"/>
  <c r="M122" i="232" s="1"/>
  <c r="L60" i="232"/>
  <c r="K60" i="232"/>
  <c r="K93" i="232" s="1"/>
  <c r="K107" i="232" s="1"/>
  <c r="J60" i="232"/>
  <c r="J93" i="232" s="1"/>
  <c r="J107" i="232" s="1"/>
  <c r="I60" i="232"/>
  <c r="I93" i="232" s="1"/>
  <c r="I107" i="232" s="1"/>
  <c r="H60" i="232"/>
  <c r="G60" i="232"/>
  <c r="G93" i="232" s="1"/>
  <c r="G107" i="232" s="1"/>
  <c r="F60" i="232"/>
  <c r="F93" i="232" s="1"/>
  <c r="F107" i="232" s="1"/>
  <c r="F122" i="232" s="1"/>
  <c r="E60" i="232"/>
  <c r="E93" i="232" s="1"/>
  <c r="E107" i="232" s="1"/>
  <c r="D60" i="232"/>
  <c r="O57" i="232"/>
  <c r="O284" i="232" s="1"/>
  <c r="N57" i="232"/>
  <c r="N284" i="232" s="1"/>
  <c r="M57" i="232"/>
  <c r="M284" i="232" s="1"/>
  <c r="L57" i="232"/>
  <c r="L284" i="232" s="1"/>
  <c r="K57" i="232"/>
  <c r="K284" i="232" s="1"/>
  <c r="J57" i="232"/>
  <c r="J284" i="232" s="1"/>
  <c r="I57" i="232"/>
  <c r="I284" i="232" s="1"/>
  <c r="H57" i="232"/>
  <c r="H284" i="232" s="1"/>
  <c r="G57" i="232"/>
  <c r="G284" i="232" s="1"/>
  <c r="F57" i="232"/>
  <c r="F284" i="232" s="1"/>
  <c r="E57" i="232"/>
  <c r="E284" i="232" s="1"/>
  <c r="D57" i="232"/>
  <c r="D284" i="232" s="1"/>
  <c r="P56" i="232"/>
  <c r="P55" i="232"/>
  <c r="P54" i="232"/>
  <c r="P53" i="232"/>
  <c r="P52" i="232"/>
  <c r="P51" i="232"/>
  <c r="P50" i="232"/>
  <c r="P49" i="232"/>
  <c r="P48" i="232"/>
  <c r="P47" i="232"/>
  <c r="P46" i="232"/>
  <c r="P45" i="232"/>
  <c r="P44" i="232"/>
  <c r="P43" i="232"/>
  <c r="P42" i="232"/>
  <c r="P41" i="232"/>
  <c r="P40" i="232"/>
  <c r="P39" i="232"/>
  <c r="P38" i="232"/>
  <c r="P37" i="232"/>
  <c r="P57" i="232" s="1"/>
  <c r="P284" i="232" s="1"/>
  <c r="P36" i="232"/>
  <c r="P35" i="232"/>
  <c r="O32" i="232"/>
  <c r="N32" i="232"/>
  <c r="M32" i="232"/>
  <c r="L32" i="232"/>
  <c r="K32" i="232"/>
  <c r="J32" i="232"/>
  <c r="I32" i="232"/>
  <c r="H32" i="232"/>
  <c r="G32" i="232"/>
  <c r="F32" i="232"/>
  <c r="E32" i="232"/>
  <c r="D32" i="232"/>
  <c r="O31" i="232"/>
  <c r="O281" i="232" s="1"/>
  <c r="N31" i="232"/>
  <c r="N281" i="232" s="1"/>
  <c r="M31" i="232"/>
  <c r="M281" i="232" s="1"/>
  <c r="L31" i="232"/>
  <c r="L281" i="232" s="1"/>
  <c r="K31" i="232"/>
  <c r="K281" i="232" s="1"/>
  <c r="J31" i="232"/>
  <c r="J281" i="232" s="1"/>
  <c r="I31" i="232"/>
  <c r="I281" i="232" s="1"/>
  <c r="H31" i="232"/>
  <c r="H281" i="232" s="1"/>
  <c r="G31" i="232"/>
  <c r="G281" i="232" s="1"/>
  <c r="F31" i="232"/>
  <c r="F281" i="232" s="1"/>
  <c r="E31" i="232"/>
  <c r="E281" i="232" s="1"/>
  <c r="D31" i="232"/>
  <c r="D281" i="232" s="1"/>
  <c r="P30" i="232"/>
  <c r="P29" i="232"/>
  <c r="P28" i="232"/>
  <c r="P27" i="232"/>
  <c r="P26" i="232"/>
  <c r="P25" i="232"/>
  <c r="P24" i="232"/>
  <c r="P23" i="232"/>
  <c r="P22" i="232"/>
  <c r="P21" i="232"/>
  <c r="P20" i="232"/>
  <c r="P19" i="232"/>
  <c r="P18" i="232"/>
  <c r="P17" i="232"/>
  <c r="P16" i="232"/>
  <c r="P15" i="232"/>
  <c r="P14" i="232"/>
  <c r="P13" i="232"/>
  <c r="P12" i="232"/>
  <c r="P11" i="232"/>
  <c r="P10" i="232"/>
  <c r="P31" i="232" s="1"/>
  <c r="P281" i="232" s="1"/>
  <c r="P9" i="232"/>
  <c r="N47" i="231"/>
  <c r="M47" i="231"/>
  <c r="L47" i="231"/>
  <c r="K47" i="231"/>
  <c r="J47" i="231"/>
  <c r="I47" i="231"/>
  <c r="H47" i="231"/>
  <c r="G47" i="231"/>
  <c r="F47" i="231"/>
  <c r="E47" i="231"/>
  <c r="D47" i="231"/>
  <c r="C47" i="231"/>
  <c r="B47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M45" i="231"/>
  <c r="L45" i="231"/>
  <c r="K45" i="231"/>
  <c r="J45" i="231"/>
  <c r="I45" i="231"/>
  <c r="H45" i="231"/>
  <c r="G45" i="231"/>
  <c r="F45" i="231"/>
  <c r="E45" i="231"/>
  <c r="D45" i="231"/>
  <c r="D48" i="231" s="1"/>
  <c r="D49" i="231" s="1"/>
  <c r="C45" i="231"/>
  <c r="B45" i="231"/>
  <c r="N44" i="231"/>
  <c r="M44" i="231"/>
  <c r="L44" i="231"/>
  <c r="K44" i="231"/>
  <c r="J44" i="231"/>
  <c r="J48" i="231" s="1"/>
  <c r="J49" i="231" s="1"/>
  <c r="I44" i="231"/>
  <c r="H44" i="231"/>
  <c r="G44" i="231"/>
  <c r="F44" i="231"/>
  <c r="E44" i="231"/>
  <c r="D44" i="231"/>
  <c r="C44" i="231"/>
  <c r="B44" i="231"/>
  <c r="M43" i="231"/>
  <c r="L43" i="231"/>
  <c r="K43" i="231"/>
  <c r="J43" i="231"/>
  <c r="I43" i="231"/>
  <c r="H43" i="231"/>
  <c r="G43" i="231"/>
  <c r="F43" i="231"/>
  <c r="E43" i="231"/>
  <c r="D43" i="231"/>
  <c r="C43" i="231"/>
  <c r="B43" i="231"/>
  <c r="N42" i="231"/>
  <c r="M42" i="231"/>
  <c r="L42" i="231"/>
  <c r="K42" i="231"/>
  <c r="J42" i="231"/>
  <c r="I42" i="231"/>
  <c r="H42" i="231"/>
  <c r="G42" i="231"/>
  <c r="F42" i="231"/>
  <c r="E42" i="231"/>
  <c r="D42" i="231"/>
  <c r="C42" i="231"/>
  <c r="B42" i="231"/>
  <c r="N41" i="231"/>
  <c r="M41" i="231"/>
  <c r="L41" i="231"/>
  <c r="K41" i="231"/>
  <c r="J41" i="231"/>
  <c r="I41" i="231"/>
  <c r="H41" i="231"/>
  <c r="G41" i="231"/>
  <c r="F41" i="231"/>
  <c r="E41" i="231"/>
  <c r="D41" i="231"/>
  <c r="C41" i="231"/>
  <c r="B41" i="231"/>
  <c r="M40" i="231"/>
  <c r="L40" i="231"/>
  <c r="K40" i="231"/>
  <c r="J40" i="231"/>
  <c r="I40" i="231"/>
  <c r="H40" i="231"/>
  <c r="G40" i="231"/>
  <c r="F40" i="231"/>
  <c r="E40" i="231"/>
  <c r="D40" i="231"/>
  <c r="C40" i="231"/>
  <c r="B40" i="231"/>
  <c r="M39" i="231"/>
  <c r="L39" i="231"/>
  <c r="K39" i="231"/>
  <c r="J39" i="231"/>
  <c r="I39" i="231"/>
  <c r="H39" i="231"/>
  <c r="G39" i="231"/>
  <c r="F39" i="231"/>
  <c r="E39" i="231"/>
  <c r="D39" i="231"/>
  <c r="C39" i="231"/>
  <c r="B39" i="231"/>
  <c r="M38" i="231"/>
  <c r="L38" i="231"/>
  <c r="K38" i="231"/>
  <c r="J38" i="231"/>
  <c r="I38" i="231"/>
  <c r="H38" i="231"/>
  <c r="G38" i="231"/>
  <c r="F38" i="231"/>
  <c r="E38" i="231"/>
  <c r="D38" i="231"/>
  <c r="C38" i="231"/>
  <c r="B38" i="231"/>
  <c r="M37" i="231"/>
  <c r="L37" i="231"/>
  <c r="K37" i="231"/>
  <c r="J37" i="231"/>
  <c r="I37" i="231"/>
  <c r="H37" i="231"/>
  <c r="G37" i="231"/>
  <c r="F37" i="231"/>
  <c r="F48" i="231" s="1"/>
  <c r="F49" i="231" s="1"/>
  <c r="E37" i="231"/>
  <c r="D37" i="231"/>
  <c r="C37" i="231"/>
  <c r="B37" i="231"/>
  <c r="B48" i="231" s="1"/>
  <c r="B49" i="231" s="1"/>
  <c r="M36" i="231"/>
  <c r="L36" i="231"/>
  <c r="K36" i="231"/>
  <c r="K48" i="231" s="1"/>
  <c r="K49" i="231" s="1"/>
  <c r="J36" i="231"/>
  <c r="I36" i="231"/>
  <c r="H36" i="231"/>
  <c r="G36" i="231"/>
  <c r="G48" i="231" s="1"/>
  <c r="G49" i="231" s="1"/>
  <c r="F36" i="231"/>
  <c r="E36" i="231"/>
  <c r="D36" i="231"/>
  <c r="C36" i="231"/>
  <c r="C48" i="231" s="1"/>
  <c r="C49" i="231" s="1"/>
  <c r="B36" i="231"/>
  <c r="L31" i="231"/>
  <c r="K31" i="231"/>
  <c r="J31" i="231"/>
  <c r="H31" i="231"/>
  <c r="G31" i="231"/>
  <c r="F31" i="231"/>
  <c r="D31" i="231"/>
  <c r="C31" i="231"/>
  <c r="B31" i="231"/>
  <c r="N30" i="231"/>
  <c r="M29" i="231"/>
  <c r="M31" i="231" s="1"/>
  <c r="L29" i="231"/>
  <c r="L32" i="231" s="1"/>
  <c r="K29" i="231"/>
  <c r="K32" i="231" s="1"/>
  <c r="J29" i="231"/>
  <c r="J32" i="231" s="1"/>
  <c r="I29" i="231"/>
  <c r="I31" i="231" s="1"/>
  <c r="H29" i="231"/>
  <c r="H32" i="231" s="1"/>
  <c r="G29" i="231"/>
  <c r="G32" i="231" s="1"/>
  <c r="F29" i="231"/>
  <c r="F32" i="231" s="1"/>
  <c r="E29" i="231"/>
  <c r="E31" i="231" s="1"/>
  <c r="D29" i="231"/>
  <c r="D32" i="231" s="1"/>
  <c r="C29" i="231"/>
  <c r="C32" i="231" s="1"/>
  <c r="B29" i="231"/>
  <c r="B32" i="231" s="1"/>
  <c r="O28" i="231"/>
  <c r="O47" i="231" s="1"/>
  <c r="N28" i="231"/>
  <c r="N27" i="231"/>
  <c r="O27" i="231" s="1"/>
  <c r="O26" i="231"/>
  <c r="N26" i="231"/>
  <c r="N25" i="231"/>
  <c r="N45" i="231" s="1"/>
  <c r="O24" i="231"/>
  <c r="N24" i="231"/>
  <c r="N23" i="231"/>
  <c r="O23" i="231" s="1"/>
  <c r="O22" i="231"/>
  <c r="N22" i="231"/>
  <c r="N21" i="231"/>
  <c r="O21" i="231" s="1"/>
  <c r="O20" i="231"/>
  <c r="N20" i="231"/>
  <c r="N19" i="231"/>
  <c r="O19" i="231" s="1"/>
  <c r="O18" i="231"/>
  <c r="N18" i="231"/>
  <c r="N17" i="231"/>
  <c r="N46" i="231" s="1"/>
  <c r="O16" i="231"/>
  <c r="O41" i="231" s="1"/>
  <c r="N16" i="231"/>
  <c r="N15" i="231"/>
  <c r="N40" i="231" s="1"/>
  <c r="O14" i="231"/>
  <c r="N14" i="231"/>
  <c r="N13" i="231"/>
  <c r="O13" i="231" s="1"/>
  <c r="O39" i="231" s="1"/>
  <c r="O12" i="231"/>
  <c r="O43" i="231" s="1"/>
  <c r="N12" i="231"/>
  <c r="N43" i="231" s="1"/>
  <c r="N11" i="231"/>
  <c r="N38" i="231" s="1"/>
  <c r="O10" i="231"/>
  <c r="O42" i="231" s="1"/>
  <c r="N10" i="231"/>
  <c r="N9" i="231"/>
  <c r="O9" i="231" s="1"/>
  <c r="O8" i="231"/>
  <c r="N8" i="231"/>
  <c r="N7" i="231"/>
  <c r="O7" i="231" s="1"/>
  <c r="O6" i="231"/>
  <c r="N6" i="231"/>
  <c r="N36" i="231" s="1"/>
  <c r="I220" i="230"/>
  <c r="F220" i="230"/>
  <c r="D220" i="230"/>
  <c r="K219" i="230"/>
  <c r="L219" i="230" s="1"/>
  <c r="K218" i="230"/>
  <c r="L218" i="230" s="1"/>
  <c r="K217" i="230"/>
  <c r="D213" i="230"/>
  <c r="D184" i="230"/>
  <c r="D183" i="230"/>
  <c r="D182" i="230"/>
  <c r="D181" i="230"/>
  <c r="D180" i="230"/>
  <c r="D179" i="230"/>
  <c r="D185" i="230" s="1"/>
  <c r="K176" i="230"/>
  <c r="F176" i="230"/>
  <c r="F174" i="230"/>
  <c r="D174" i="230"/>
  <c r="F173" i="230"/>
  <c r="D173" i="230"/>
  <c r="F167" i="230"/>
  <c r="D165" i="230"/>
  <c r="D167" i="230" s="1"/>
  <c r="I167" i="230" s="1"/>
  <c r="F164" i="230"/>
  <c r="F163" i="230"/>
  <c r="F183" i="230" s="1"/>
  <c r="H162" i="230"/>
  <c r="F162" i="230"/>
  <c r="F161" i="230"/>
  <c r="F181" i="230" s="1"/>
  <c r="F160" i="230"/>
  <c r="F180" i="230" s="1"/>
  <c r="F159" i="230"/>
  <c r="F179" i="230" s="1"/>
  <c r="I156" i="230"/>
  <c r="I176" i="230" s="1"/>
  <c r="Q155" i="230"/>
  <c r="I155" i="230"/>
  <c r="H155" i="230"/>
  <c r="F155" i="230"/>
  <c r="Q154" i="230"/>
  <c r="H154" i="230"/>
  <c r="I154" i="230" s="1"/>
  <c r="I173" i="230" s="1"/>
  <c r="F154" i="230"/>
  <c r="D146" i="230"/>
  <c r="I146" i="230" s="1"/>
  <c r="I189" i="230" s="1"/>
  <c r="D142" i="230"/>
  <c r="D145" i="230" s="1"/>
  <c r="H141" i="230"/>
  <c r="H164" i="230" s="1"/>
  <c r="F141" i="230"/>
  <c r="H140" i="230"/>
  <c r="F140" i="230"/>
  <c r="Q139" i="230"/>
  <c r="I139" i="230"/>
  <c r="K139" i="230" s="1"/>
  <c r="H139" i="230"/>
  <c r="F139" i="230"/>
  <c r="F182" i="230" s="1"/>
  <c r="Q138" i="230"/>
  <c r="H138" i="230"/>
  <c r="H161" i="230" s="1"/>
  <c r="Q161" i="230" s="1"/>
  <c r="F138" i="230"/>
  <c r="Q137" i="230"/>
  <c r="H137" i="230"/>
  <c r="H160" i="230" s="1"/>
  <c r="F137" i="230"/>
  <c r="H136" i="230"/>
  <c r="F136" i="230"/>
  <c r="I133" i="230"/>
  <c r="K133" i="230" s="1"/>
  <c r="Q132" i="230"/>
  <c r="D132" i="230"/>
  <c r="Q131" i="230"/>
  <c r="I131" i="230"/>
  <c r="K131" i="230" s="1"/>
  <c r="F131" i="230"/>
  <c r="Q130" i="230"/>
  <c r="I130" i="230"/>
  <c r="H130" i="230"/>
  <c r="F130" i="230"/>
  <c r="I121" i="230"/>
  <c r="D115" i="230"/>
  <c r="D114" i="230"/>
  <c r="D116" i="230" s="1"/>
  <c r="D119" i="230" s="1"/>
  <c r="D121" i="230" s="1"/>
  <c r="F111" i="230"/>
  <c r="D109" i="230"/>
  <c r="D120" i="230" s="1"/>
  <c r="D108" i="230"/>
  <c r="F102" i="230"/>
  <c r="F100" i="230"/>
  <c r="D100" i="230"/>
  <c r="D102" i="230" s="1"/>
  <c r="I102" i="230" s="1"/>
  <c r="F99" i="230"/>
  <c r="F115" i="230" s="1"/>
  <c r="Q98" i="230"/>
  <c r="K98" i="230"/>
  <c r="H98" i="230"/>
  <c r="I98" i="230" s="1"/>
  <c r="F98" i="230"/>
  <c r="K95" i="230"/>
  <c r="I95" i="230"/>
  <c r="Q94" i="230"/>
  <c r="I94" i="230"/>
  <c r="K94" i="230" s="1"/>
  <c r="H94" i="230"/>
  <c r="F94" i="230"/>
  <c r="Q93" i="230"/>
  <c r="K93" i="230"/>
  <c r="H93" i="230"/>
  <c r="I93" i="230" s="1"/>
  <c r="F93" i="230"/>
  <c r="D85" i="230"/>
  <c r="I85" i="230" s="1"/>
  <c r="I120" i="230" s="1"/>
  <c r="D81" i="230"/>
  <c r="H80" i="230"/>
  <c r="F80" i="230"/>
  <c r="Q79" i="230"/>
  <c r="I79" i="230"/>
  <c r="H79" i="230"/>
  <c r="F79" i="230"/>
  <c r="F114" i="230" s="1"/>
  <c r="I76" i="230"/>
  <c r="Q75" i="230"/>
  <c r="Q74" i="230"/>
  <c r="K74" i="230"/>
  <c r="I74" i="230"/>
  <c r="F74" i="230"/>
  <c r="F109" i="230" s="1"/>
  <c r="Q73" i="230"/>
  <c r="K73" i="230"/>
  <c r="H73" i="230"/>
  <c r="I73" i="230" s="1"/>
  <c r="F73" i="230"/>
  <c r="F108" i="230" s="1"/>
  <c r="F59" i="230"/>
  <c r="D59" i="230"/>
  <c r="D58" i="230"/>
  <c r="D57" i="230"/>
  <c r="D60" i="230" s="1"/>
  <c r="D211" i="230" s="1"/>
  <c r="I54" i="230"/>
  <c r="K54" i="230" s="1"/>
  <c r="F54" i="230"/>
  <c r="D52" i="230"/>
  <c r="D51" i="230"/>
  <c r="D43" i="230"/>
  <c r="D45" i="230" s="1"/>
  <c r="F42" i="230"/>
  <c r="F41" i="230"/>
  <c r="F40" i="230"/>
  <c r="K36" i="230"/>
  <c r="I36" i="230"/>
  <c r="Q35" i="230"/>
  <c r="I35" i="230"/>
  <c r="K35" i="230" s="1"/>
  <c r="H35" i="230"/>
  <c r="F35" i="230"/>
  <c r="Q34" i="230"/>
  <c r="K34" i="230"/>
  <c r="H34" i="230"/>
  <c r="I34" i="230" s="1"/>
  <c r="F34" i="230"/>
  <c r="F43" i="230" s="1"/>
  <c r="D25" i="230"/>
  <c r="I25" i="230" s="1"/>
  <c r="I64" i="230" s="1"/>
  <c r="D21" i="230"/>
  <c r="H20" i="230"/>
  <c r="F20" i="230"/>
  <c r="Q19" i="230"/>
  <c r="I19" i="230"/>
  <c r="H19" i="230"/>
  <c r="H41" i="230" s="1"/>
  <c r="Q41" i="230" s="1"/>
  <c r="F19" i="230"/>
  <c r="F58" i="230" s="1"/>
  <c r="Q18" i="230"/>
  <c r="H18" i="230"/>
  <c r="I18" i="230" s="1"/>
  <c r="K18" i="230" s="1"/>
  <c r="F18" i="230"/>
  <c r="F57" i="230" s="1"/>
  <c r="K15" i="230"/>
  <c r="I15" i="230"/>
  <c r="Q14" i="230"/>
  <c r="Q13" i="230"/>
  <c r="I13" i="230"/>
  <c r="I52" i="230" s="1"/>
  <c r="K52" i="230" s="1"/>
  <c r="F13" i="230"/>
  <c r="F52" i="230" s="1"/>
  <c r="Q12" i="230"/>
  <c r="H12" i="230"/>
  <c r="I12" i="230" s="1"/>
  <c r="F12" i="230"/>
  <c r="D123" i="229"/>
  <c r="D125" i="229" s="1"/>
  <c r="D95" i="229"/>
  <c r="D94" i="229"/>
  <c r="D93" i="229"/>
  <c r="D96" i="229" s="1"/>
  <c r="D124" i="229" s="1"/>
  <c r="D90" i="229"/>
  <c r="D88" i="229"/>
  <c r="D89" i="229" s="1"/>
  <c r="D77" i="229"/>
  <c r="F76" i="229"/>
  <c r="F95" i="229" s="1"/>
  <c r="H75" i="229"/>
  <c r="F75" i="229"/>
  <c r="F94" i="229" s="1"/>
  <c r="Q73" i="229"/>
  <c r="H71" i="229"/>
  <c r="Q70" i="229" s="1"/>
  <c r="F71" i="229"/>
  <c r="F90" i="229" s="1"/>
  <c r="H70" i="229"/>
  <c r="D70" i="229"/>
  <c r="F70" i="229" s="1"/>
  <c r="K69" i="229"/>
  <c r="H69" i="229"/>
  <c r="I69" i="229" s="1"/>
  <c r="F69" i="229"/>
  <c r="F88" i="229" s="1"/>
  <c r="Q68" i="229"/>
  <c r="D61" i="229"/>
  <c r="D60" i="229"/>
  <c r="D56" i="229"/>
  <c r="D55" i="229"/>
  <c r="H54" i="229"/>
  <c r="F54" i="229"/>
  <c r="I53" i="229"/>
  <c r="K53" i="229" s="1"/>
  <c r="H53" i="229"/>
  <c r="F53" i="229"/>
  <c r="Q52" i="229"/>
  <c r="H52" i="229"/>
  <c r="H74" i="229" s="1"/>
  <c r="I49" i="229"/>
  <c r="K49" i="229" s="1"/>
  <c r="F49" i="229"/>
  <c r="Q48" i="229"/>
  <c r="H48" i="229"/>
  <c r="D48" i="229"/>
  <c r="F48" i="229" s="1"/>
  <c r="H47" i="229"/>
  <c r="I47" i="229" s="1"/>
  <c r="F47" i="229"/>
  <c r="Q46" i="229"/>
  <c r="D36" i="229"/>
  <c r="D40" i="229" s="1"/>
  <c r="F35" i="229"/>
  <c r="D35" i="229"/>
  <c r="H29" i="229"/>
  <c r="I29" i="229" s="1"/>
  <c r="F29" i="229"/>
  <c r="D29" i="229"/>
  <c r="D26" i="229"/>
  <c r="F25" i="229"/>
  <c r="H24" i="229"/>
  <c r="F24" i="229"/>
  <c r="D17" i="229"/>
  <c r="I17" i="229" s="1"/>
  <c r="D14" i="229"/>
  <c r="H13" i="229"/>
  <c r="F13" i="229"/>
  <c r="Q12" i="229"/>
  <c r="I12" i="229"/>
  <c r="H12" i="229"/>
  <c r="F12" i="229"/>
  <c r="D51" i="228"/>
  <c r="H41" i="228"/>
  <c r="D41" i="228"/>
  <c r="H37" i="228"/>
  <c r="I37" i="228" s="1"/>
  <c r="K37" i="228" s="1"/>
  <c r="F37" i="228"/>
  <c r="L28" i="228"/>
  <c r="H28" i="228"/>
  <c r="F28" i="228"/>
  <c r="I28" i="228" s="1"/>
  <c r="K28" i="228" s="1"/>
  <c r="D28" i="228"/>
  <c r="I25" i="228"/>
  <c r="K25" i="228" s="1"/>
  <c r="F25" i="228"/>
  <c r="Q24" i="228"/>
  <c r="H24" i="228"/>
  <c r="I24" i="228" s="1"/>
  <c r="I26" i="228" s="1"/>
  <c r="F24" i="228"/>
  <c r="F26" i="228" s="1"/>
  <c r="F30" i="228" s="1"/>
  <c r="D16" i="228"/>
  <c r="H13" i="228"/>
  <c r="H25" i="228" s="1"/>
  <c r="Q25" i="228" s="1"/>
  <c r="F13" i="228"/>
  <c r="Q12" i="228"/>
  <c r="I12" i="228"/>
  <c r="F12" i="228"/>
  <c r="F14" i="228" s="1"/>
  <c r="D31" i="226"/>
  <c r="D27" i="226"/>
  <c r="C18" i="226"/>
  <c r="C14" i="226"/>
  <c r="A11" i="226"/>
  <c r="A10" i="226"/>
  <c r="A13" i="225"/>
  <c r="A14" i="225" s="1"/>
  <c r="E12" i="225"/>
  <c r="D12" i="225"/>
  <c r="A12" i="225"/>
  <c r="C14" i="225" s="1"/>
  <c r="A11" i="225"/>
  <c r="A11" i="224"/>
  <c r="A12" i="224" s="1"/>
  <c r="O13" i="223"/>
  <c r="E13" i="223"/>
  <c r="D13" i="223"/>
  <c r="O12" i="223"/>
  <c r="O14" i="223" s="1"/>
  <c r="N12" i="223"/>
  <c r="M12" i="223"/>
  <c r="I12" i="223"/>
  <c r="I14" i="223" s="1"/>
  <c r="A11" i="223"/>
  <c r="A12" i="223" s="1"/>
  <c r="A13" i="223" s="1"/>
  <c r="A14" i="223" s="1"/>
  <c r="A15" i="223" s="1"/>
  <c r="A16" i="223" s="1"/>
  <c r="A10" i="223"/>
  <c r="C16" i="223" s="1"/>
  <c r="D110" i="232" l="1"/>
  <c r="H122" i="232"/>
  <c r="L151" i="232"/>
  <c r="D214" i="230"/>
  <c r="I10" i="223"/>
  <c r="I16" i="223" s="1"/>
  <c r="I30" i="228"/>
  <c r="F36" i="229"/>
  <c r="F37" i="229" s="1"/>
  <c r="C14" i="224"/>
  <c r="A13" i="224"/>
  <c r="A14" i="224" s="1"/>
  <c r="O39" i="228"/>
  <c r="L37" i="228"/>
  <c r="O151" i="232"/>
  <c r="A12" i="226"/>
  <c r="A13" i="226" s="1"/>
  <c r="A14" i="226" s="1"/>
  <c r="A15" i="226" s="1"/>
  <c r="K12" i="229"/>
  <c r="L12" i="223"/>
  <c r="F51" i="230"/>
  <c r="I45" i="230"/>
  <c r="F45" i="230"/>
  <c r="D65" i="230"/>
  <c r="I160" i="230"/>
  <c r="Q160" i="230"/>
  <c r="F190" i="230"/>
  <c r="K220" i="230"/>
  <c r="L220" i="230" s="1"/>
  <c r="L217" i="230"/>
  <c r="K148" i="232"/>
  <c r="I154" i="232"/>
  <c r="I144" i="232"/>
  <c r="F50" i="228"/>
  <c r="F18" i="228"/>
  <c r="K24" i="228"/>
  <c r="K26" i="228" s="1"/>
  <c r="I26" i="229"/>
  <c r="K26" i="229" s="1"/>
  <c r="F26" i="229"/>
  <c r="K29" i="229"/>
  <c r="K47" i="229"/>
  <c r="Q53" i="229"/>
  <c r="H76" i="229"/>
  <c r="I54" i="229"/>
  <c r="K54" i="229" s="1"/>
  <c r="I60" i="229"/>
  <c r="F60" i="229"/>
  <c r="F89" i="229"/>
  <c r="F12" i="225"/>
  <c r="D81" i="229"/>
  <c r="D78" i="229"/>
  <c r="I51" i="230"/>
  <c r="K12" i="230"/>
  <c r="K19" i="230"/>
  <c r="D14" i="230"/>
  <c r="D24" i="230"/>
  <c r="I41" i="230"/>
  <c r="K41" i="230" s="1"/>
  <c r="I109" i="230"/>
  <c r="K109" i="230" s="1"/>
  <c r="K130" i="230"/>
  <c r="I164" i="230"/>
  <c r="Q164" i="230"/>
  <c r="F165" i="230"/>
  <c r="F168" i="230" s="1"/>
  <c r="Q162" i="230"/>
  <c r="I162" i="230"/>
  <c r="D212" i="230"/>
  <c r="I32" i="231"/>
  <c r="H48" i="231"/>
  <c r="H49" i="231" s="1"/>
  <c r="L48" i="231"/>
  <c r="L49" i="231" s="1"/>
  <c r="M146" i="232"/>
  <c r="M162" i="232" s="1"/>
  <c r="M145" i="232"/>
  <c r="M161" i="232" s="1"/>
  <c r="D99" i="232"/>
  <c r="H99" i="232"/>
  <c r="H113" i="232" s="1"/>
  <c r="H128" i="232" s="1"/>
  <c r="D102" i="232"/>
  <c r="H102" i="232"/>
  <c r="H116" i="232" s="1"/>
  <c r="H131" i="232" s="1"/>
  <c r="L102" i="232"/>
  <c r="L116" i="232" s="1"/>
  <c r="L131" i="232" s="1"/>
  <c r="P70" i="232"/>
  <c r="C14" i="223"/>
  <c r="I111" i="230"/>
  <c r="K111" i="230" s="1"/>
  <c r="K76" i="230"/>
  <c r="F121" i="230"/>
  <c r="F103" i="230"/>
  <c r="D111" i="232"/>
  <c r="L100" i="232"/>
  <c r="L114" i="232" s="1"/>
  <c r="L129" i="232" s="1"/>
  <c r="L152" i="232" s="1"/>
  <c r="L96" i="232"/>
  <c r="L110" i="232" s="1"/>
  <c r="L125" i="232" s="1"/>
  <c r="L93" i="232"/>
  <c r="L107" i="232" s="1"/>
  <c r="L95" i="232"/>
  <c r="L109" i="232" s="1"/>
  <c r="L124" i="232" s="1"/>
  <c r="J12" i="223"/>
  <c r="H12" i="223"/>
  <c r="K12" i="228"/>
  <c r="I41" i="228"/>
  <c r="K41" i="228" s="1"/>
  <c r="L41" i="228" s="1"/>
  <c r="F41" i="228"/>
  <c r="F27" i="229"/>
  <c r="F30" i="229" s="1"/>
  <c r="I61" i="229"/>
  <c r="F61" i="229"/>
  <c r="F102" i="229" s="1"/>
  <c r="I70" i="229"/>
  <c r="Q69" i="229"/>
  <c r="H99" i="230"/>
  <c r="Q80" i="230"/>
  <c r="I80" i="230"/>
  <c r="K102" i="230"/>
  <c r="I132" i="230"/>
  <c r="I142" i="230" s="1"/>
  <c r="F132" i="230"/>
  <c r="Q136" i="230"/>
  <c r="H159" i="230"/>
  <c r="I136" i="230"/>
  <c r="K136" i="230" s="1"/>
  <c r="I145" i="230"/>
  <c r="F145" i="230"/>
  <c r="K173" i="230"/>
  <c r="I190" i="230"/>
  <c r="K190" i="230" s="1"/>
  <c r="K167" i="230"/>
  <c r="M32" i="231"/>
  <c r="F153" i="232"/>
  <c r="F145" i="232"/>
  <c r="F161" i="232" s="1"/>
  <c r="F154" i="232"/>
  <c r="F134" i="232"/>
  <c r="F135" i="232" s="1"/>
  <c r="F144" i="232"/>
  <c r="F146" i="232"/>
  <c r="F162" i="232" s="1"/>
  <c r="J122" i="232"/>
  <c r="J119" i="232"/>
  <c r="F155" i="232"/>
  <c r="F149" i="232"/>
  <c r="F147" i="232"/>
  <c r="F148" i="232"/>
  <c r="J155" i="232"/>
  <c r="J149" i="232"/>
  <c r="J148" i="232"/>
  <c r="J147" i="232"/>
  <c r="N155" i="232"/>
  <c r="N149" i="232"/>
  <c r="N148" i="232"/>
  <c r="N147" i="232"/>
  <c r="N122" i="232"/>
  <c r="N119" i="232"/>
  <c r="I16" i="228"/>
  <c r="F16" i="228"/>
  <c r="F49" i="228" s="1"/>
  <c r="F51" i="228" s="1"/>
  <c r="I14" i="229"/>
  <c r="F14" i="229"/>
  <c r="F15" i="229" s="1"/>
  <c r="F118" i="229" s="1"/>
  <c r="Q20" i="230"/>
  <c r="I20" i="230"/>
  <c r="K121" i="230"/>
  <c r="F184" i="230"/>
  <c r="E32" i="231"/>
  <c r="D109" i="232"/>
  <c r="P65" i="232"/>
  <c r="D100" i="232"/>
  <c r="D93" i="232"/>
  <c r="H100" i="232"/>
  <c r="H114" i="232" s="1"/>
  <c r="H129" i="232" s="1"/>
  <c r="H96" i="232"/>
  <c r="H110" i="232" s="1"/>
  <c r="H125" i="232" s="1"/>
  <c r="L103" i="232"/>
  <c r="L117" i="232" s="1"/>
  <c r="L132" i="232" s="1"/>
  <c r="N13" i="223"/>
  <c r="N14" i="223" s="1"/>
  <c r="F43" i="228"/>
  <c r="Q13" i="229"/>
  <c r="H25" i="229"/>
  <c r="I13" i="229"/>
  <c r="I113" i="229"/>
  <c r="I40" i="229"/>
  <c r="Q23" i="229"/>
  <c r="I24" i="229"/>
  <c r="I48" i="229"/>
  <c r="I57" i="229" s="1"/>
  <c r="Q47" i="229"/>
  <c r="I56" i="229"/>
  <c r="F56" i="229"/>
  <c r="F57" i="229" s="1"/>
  <c r="I88" i="229"/>
  <c r="Q74" i="229"/>
  <c r="I75" i="229"/>
  <c r="K88" i="229"/>
  <c r="H42" i="230"/>
  <c r="I114" i="230"/>
  <c r="K114" i="230" s="1"/>
  <c r="K79" i="230"/>
  <c r="D75" i="230"/>
  <c r="D84" i="230"/>
  <c r="I75" i="230"/>
  <c r="I108" i="230"/>
  <c r="Q140" i="230"/>
  <c r="H163" i="230"/>
  <c r="I140" i="230"/>
  <c r="K140" i="230" s="1"/>
  <c r="K154" i="230"/>
  <c r="I174" i="230"/>
  <c r="K174" i="230" s="1"/>
  <c r="K155" i="230"/>
  <c r="I161" i="230"/>
  <c r="D190" i="230"/>
  <c r="D12" i="224"/>
  <c r="O37" i="231"/>
  <c r="E12" i="224" s="1"/>
  <c r="O44" i="231"/>
  <c r="O36" i="231"/>
  <c r="G122" i="232"/>
  <c r="K122" i="232"/>
  <c r="O122" i="232"/>
  <c r="F152" i="232"/>
  <c r="F150" i="232"/>
  <c r="F151" i="232"/>
  <c r="J152" i="232"/>
  <c r="J150" i="232"/>
  <c r="J151" i="232"/>
  <c r="N151" i="232"/>
  <c r="N152" i="232"/>
  <c r="N150" i="232"/>
  <c r="O155" i="232"/>
  <c r="F119" i="232"/>
  <c r="G207" i="232"/>
  <c r="G184" i="232"/>
  <c r="K207" i="232"/>
  <c r="K184" i="232"/>
  <c r="O207" i="232"/>
  <c r="O184" i="232"/>
  <c r="D64" i="230"/>
  <c r="N29" i="231"/>
  <c r="N37" i="231"/>
  <c r="N48" i="231" s="1"/>
  <c r="N39" i="231"/>
  <c r="P60" i="232"/>
  <c r="D94" i="232"/>
  <c r="H94" i="232"/>
  <c r="H108" i="232" s="1"/>
  <c r="H123" i="232" s="1"/>
  <c r="L94" i="232"/>
  <c r="L108" i="232" s="1"/>
  <c r="L123" i="232" s="1"/>
  <c r="P61" i="232"/>
  <c r="E155" i="232"/>
  <c r="E148" i="232"/>
  <c r="E149" i="232"/>
  <c r="I148" i="232"/>
  <c r="M147" i="232"/>
  <c r="D98" i="232"/>
  <c r="H98" i="232"/>
  <c r="H112" i="232" s="1"/>
  <c r="H127" i="232" s="1"/>
  <c r="L98" i="232"/>
  <c r="L112" i="232" s="1"/>
  <c r="L127" i="232" s="1"/>
  <c r="P66" i="232"/>
  <c r="K151" i="232"/>
  <c r="D104" i="232"/>
  <c r="H104" i="232"/>
  <c r="H118" i="232" s="1"/>
  <c r="H133" i="232" s="1"/>
  <c r="L104" i="232"/>
  <c r="L118" i="232" s="1"/>
  <c r="L133" i="232" s="1"/>
  <c r="P71" i="232"/>
  <c r="E104" i="232"/>
  <c r="E118" i="232" s="1"/>
  <c r="E133" i="232" s="1"/>
  <c r="E147" i="232" s="1"/>
  <c r="E103" i="232"/>
  <c r="E117" i="232" s="1"/>
  <c r="E132" i="232" s="1"/>
  <c r="E99" i="232"/>
  <c r="E113" i="232" s="1"/>
  <c r="E128" i="232" s="1"/>
  <c r="I104" i="232"/>
  <c r="I118" i="232" s="1"/>
  <c r="I133" i="232" s="1"/>
  <c r="I155" i="232" s="1"/>
  <c r="I103" i="232"/>
  <c r="I117" i="232" s="1"/>
  <c r="I132" i="232" s="1"/>
  <c r="I146" i="232" s="1"/>
  <c r="I162" i="232" s="1"/>
  <c r="I99" i="232"/>
  <c r="I113" i="232" s="1"/>
  <c r="I128" i="232" s="1"/>
  <c r="M104" i="232"/>
  <c r="M118" i="232" s="1"/>
  <c r="M133" i="232" s="1"/>
  <c r="M148" i="232" s="1"/>
  <c r="M103" i="232"/>
  <c r="M117" i="232" s="1"/>
  <c r="M132" i="232" s="1"/>
  <c r="M153" i="232" s="1"/>
  <c r="M99" i="232"/>
  <c r="M113" i="232" s="1"/>
  <c r="M128" i="232" s="1"/>
  <c r="I147" i="232"/>
  <c r="Q37" i="228"/>
  <c r="I71" i="229"/>
  <c r="F25" i="230"/>
  <c r="F64" i="230" s="1"/>
  <c r="K64" i="230" s="1"/>
  <c r="H40" i="230"/>
  <c r="F85" i="230"/>
  <c r="F120" i="230" s="1"/>
  <c r="K120" i="230" s="1"/>
  <c r="I137" i="230"/>
  <c r="K137" i="230" s="1"/>
  <c r="I141" i="230"/>
  <c r="K141" i="230" s="1"/>
  <c r="F146" i="230"/>
  <c r="O11" i="231"/>
  <c r="O38" i="231" s="1"/>
  <c r="O15" i="231"/>
  <c r="O40" i="231" s="1"/>
  <c r="O17" i="231"/>
  <c r="O46" i="231" s="1"/>
  <c r="O25" i="231"/>
  <c r="O45" i="231" s="1"/>
  <c r="E48" i="231"/>
  <c r="E49" i="231" s="1"/>
  <c r="I48" i="231"/>
  <c r="M48" i="231"/>
  <c r="M49" i="231" s="1"/>
  <c r="P32" i="232"/>
  <c r="P62" i="232"/>
  <c r="P67" i="232"/>
  <c r="D103" i="232"/>
  <c r="Q13" i="228"/>
  <c r="F17" i="229"/>
  <c r="I13" i="228"/>
  <c r="K13" i="228" s="1"/>
  <c r="L13" i="228" s="1"/>
  <c r="K13" i="230"/>
  <c r="I138" i="230"/>
  <c r="K138" i="230" s="1"/>
  <c r="P68" i="232"/>
  <c r="D101" i="232"/>
  <c r="H101" i="232"/>
  <c r="H115" i="232" s="1"/>
  <c r="H130" i="232" s="1"/>
  <c r="L101" i="232"/>
  <c r="L115" i="232" s="1"/>
  <c r="L130" i="232" s="1"/>
  <c r="P69" i="232"/>
  <c r="G101" i="232"/>
  <c r="G115" i="232" s="1"/>
  <c r="G130" i="232" s="1"/>
  <c r="G152" i="232" s="1"/>
  <c r="G97" i="232"/>
  <c r="G111" i="232" s="1"/>
  <c r="G126" i="232" s="1"/>
  <c r="G148" i="232" s="1"/>
  <c r="K94" i="232"/>
  <c r="K108" i="232" s="1"/>
  <c r="K123" i="232" s="1"/>
  <c r="K101" i="232"/>
  <c r="K115" i="232" s="1"/>
  <c r="K130" i="232" s="1"/>
  <c r="K152" i="232" s="1"/>
  <c r="K97" i="232"/>
  <c r="K111" i="232" s="1"/>
  <c r="K126" i="232" s="1"/>
  <c r="K155" i="232" s="1"/>
  <c r="O94" i="232"/>
  <c r="O108" i="232" s="1"/>
  <c r="O123" i="232" s="1"/>
  <c r="O101" i="232"/>
  <c r="O115" i="232" s="1"/>
  <c r="O130" i="232" s="1"/>
  <c r="O152" i="232" s="1"/>
  <c r="O97" i="232"/>
  <c r="O111" i="232" s="1"/>
  <c r="O126" i="232" s="1"/>
  <c r="O148" i="232" s="1"/>
  <c r="E122" i="232"/>
  <c r="J237" i="232"/>
  <c r="P178" i="232"/>
  <c r="D184" i="232"/>
  <c r="P175" i="232"/>
  <c r="P174" i="232"/>
  <c r="P182" i="232"/>
  <c r="H184" i="232"/>
  <c r="M184" i="232"/>
  <c r="E236" i="232"/>
  <c r="E237" i="232" s="1"/>
  <c r="I236" i="232"/>
  <c r="I237" i="232" s="1"/>
  <c r="M236" i="232"/>
  <c r="M237" i="232" s="1"/>
  <c r="P230" i="232"/>
  <c r="P231" i="232"/>
  <c r="P234" i="232"/>
  <c r="P214" i="232"/>
  <c r="D243" i="232"/>
  <c r="P243" i="232" s="1"/>
  <c r="P179" i="232"/>
  <c r="I184" i="232"/>
  <c r="F237" i="232"/>
  <c r="N237" i="232"/>
  <c r="F184" i="232"/>
  <c r="F207" i="232"/>
  <c r="J184" i="232"/>
  <c r="N207" i="232"/>
  <c r="P207" i="232" s="1"/>
  <c r="N184" i="232"/>
  <c r="L268" i="232"/>
  <c r="H268" i="232"/>
  <c r="M264" i="232"/>
  <c r="I264" i="232"/>
  <c r="E264" i="232"/>
  <c r="O268" i="232"/>
  <c r="K268" i="232"/>
  <c r="G268" i="232"/>
  <c r="L264" i="232"/>
  <c r="H264" i="232"/>
  <c r="N268" i="232"/>
  <c r="J268" i="232"/>
  <c r="F268" i="232"/>
  <c r="O264" i="232"/>
  <c r="K264" i="232"/>
  <c r="J264" i="232"/>
  <c r="G264" i="232"/>
  <c r="M268" i="232"/>
  <c r="F264" i="232"/>
  <c r="N264" i="232"/>
  <c r="D264" i="232"/>
  <c r="I268" i="232"/>
  <c r="E184" i="232"/>
  <c r="G236" i="232"/>
  <c r="G237" i="232" s="1"/>
  <c r="O236" i="232"/>
  <c r="O237" i="232" s="1"/>
  <c r="D217" i="232"/>
  <c r="K236" i="232"/>
  <c r="K237" i="232" s="1"/>
  <c r="D236" i="232"/>
  <c r="D237" i="232" s="1"/>
  <c r="H236" i="232"/>
  <c r="H237" i="232" s="1"/>
  <c r="L236" i="232"/>
  <c r="L237" i="232" s="1"/>
  <c r="P233" i="232"/>
  <c r="P232" i="232"/>
  <c r="P224" i="232"/>
  <c r="M169" i="232" l="1"/>
  <c r="M209" i="232" s="1"/>
  <c r="M190" i="232"/>
  <c r="O199" i="232"/>
  <c r="O164" i="232"/>
  <c r="K168" i="232"/>
  <c r="K196" i="232"/>
  <c r="M199" i="232"/>
  <c r="M164" i="232"/>
  <c r="L10" i="223"/>
  <c r="L196" i="232"/>
  <c r="L168" i="232"/>
  <c r="G168" i="232"/>
  <c r="G196" i="232"/>
  <c r="N49" i="231"/>
  <c r="O196" i="232"/>
  <c r="O168" i="232"/>
  <c r="K171" i="232"/>
  <c r="K202" i="232"/>
  <c r="I202" i="232"/>
  <c r="I171" i="232"/>
  <c r="G164" i="232"/>
  <c r="G199" i="232"/>
  <c r="I210" i="232"/>
  <c r="E198" i="232"/>
  <c r="E163" i="232"/>
  <c r="I149" i="230"/>
  <c r="D249" i="232"/>
  <c r="P249" i="232" s="1"/>
  <c r="P217" i="232"/>
  <c r="I198" i="232"/>
  <c r="I163" i="232"/>
  <c r="I150" i="232"/>
  <c r="I151" i="232"/>
  <c r="I152" i="232"/>
  <c r="K195" i="232"/>
  <c r="K167" i="232"/>
  <c r="M163" i="232"/>
  <c r="M198" i="232"/>
  <c r="D108" i="232"/>
  <c r="P94" i="232"/>
  <c r="N32" i="231"/>
  <c r="N31" i="231"/>
  <c r="O171" i="232"/>
  <c r="O202" i="232"/>
  <c r="N194" i="232"/>
  <c r="N166" i="232"/>
  <c r="J194" i="232"/>
  <c r="J166" i="232"/>
  <c r="F168" i="232"/>
  <c r="F196" i="232"/>
  <c r="O119" i="232"/>
  <c r="G119" i="232"/>
  <c r="I110" i="230"/>
  <c r="K75" i="229"/>
  <c r="K94" i="229" s="1"/>
  <c r="I94" i="229"/>
  <c r="K24" i="229"/>
  <c r="I27" i="229"/>
  <c r="K12" i="223"/>
  <c r="K14" i="223" s="1"/>
  <c r="H155" i="232"/>
  <c r="H147" i="232"/>
  <c r="H149" i="232"/>
  <c r="H148" i="232"/>
  <c r="N165" i="232"/>
  <c r="N201" i="232"/>
  <c r="J201" i="232"/>
  <c r="J165" i="232"/>
  <c r="F165" i="232"/>
  <c r="F201" i="232"/>
  <c r="F262" i="232"/>
  <c r="F188" i="230"/>
  <c r="F147" i="230"/>
  <c r="F201" i="230" s="1"/>
  <c r="K80" i="230"/>
  <c r="P97" i="232"/>
  <c r="I43" i="228"/>
  <c r="M262" i="232"/>
  <c r="K51" i="230"/>
  <c r="Q75" i="229"/>
  <c r="I76" i="229"/>
  <c r="I189" i="232"/>
  <c r="I160" i="232"/>
  <c r="I191" i="232"/>
  <c r="I170" i="232"/>
  <c r="I263" i="232" s="1"/>
  <c r="K164" i="232"/>
  <c r="K199" i="232"/>
  <c r="I180" i="230"/>
  <c r="K180" i="230" s="1"/>
  <c r="K160" i="230"/>
  <c r="F65" i="230"/>
  <c r="F46" i="230"/>
  <c r="I35" i="229"/>
  <c r="O167" i="232"/>
  <c r="O195" i="232"/>
  <c r="L195" i="232"/>
  <c r="L167" i="232"/>
  <c r="D125" i="232"/>
  <c r="P110" i="232"/>
  <c r="P236" i="232"/>
  <c r="P237" i="232" s="1"/>
  <c r="P264" i="232"/>
  <c r="P268" i="232"/>
  <c r="E154" i="232"/>
  <c r="E146" i="232"/>
  <c r="E162" i="232" s="1"/>
  <c r="E134" i="232"/>
  <c r="E135" i="232" s="1"/>
  <c r="E145" i="232"/>
  <c r="E161" i="232" s="1"/>
  <c r="E153" i="232"/>
  <c r="E144" i="232"/>
  <c r="D115" i="232"/>
  <c r="P101" i="232"/>
  <c r="I149" i="232"/>
  <c r="M119" i="232"/>
  <c r="M150" i="232"/>
  <c r="M151" i="232"/>
  <c r="M152" i="232"/>
  <c r="D118" i="232"/>
  <c r="P104" i="232"/>
  <c r="K150" i="232"/>
  <c r="M149" i="232"/>
  <c r="O149" i="232"/>
  <c r="N196" i="232"/>
  <c r="N168" i="232"/>
  <c r="J196" i="232"/>
  <c r="J168" i="232"/>
  <c r="G149" i="232"/>
  <c r="O144" i="232"/>
  <c r="O153" i="232"/>
  <c r="O146" i="232"/>
  <c r="O162" i="232" s="1"/>
  <c r="O154" i="232"/>
  <c r="O145" i="232"/>
  <c r="O161" i="232" s="1"/>
  <c r="O134" i="232"/>
  <c r="O135" i="232" s="1"/>
  <c r="G144" i="232"/>
  <c r="G154" i="232"/>
  <c r="G145" i="232"/>
  <c r="G161" i="232" s="1"/>
  <c r="G134" i="232"/>
  <c r="G135" i="232" s="1"/>
  <c r="G153" i="232"/>
  <c r="G146" i="232"/>
  <c r="G162" i="232" s="1"/>
  <c r="O29" i="231"/>
  <c r="O32" i="231" s="1"/>
  <c r="K108" i="230"/>
  <c r="I84" i="230"/>
  <c r="F84" i="230"/>
  <c r="I81" i="230"/>
  <c r="K56" i="229"/>
  <c r="K57" i="229" s="1"/>
  <c r="K13" i="229"/>
  <c r="K15" i="229" s="1"/>
  <c r="I14" i="228"/>
  <c r="P95" i="232"/>
  <c r="K14" i="229"/>
  <c r="N153" i="232"/>
  <c r="N145" i="232"/>
  <c r="N161" i="232" s="1"/>
  <c r="N144" i="232"/>
  <c r="N146" i="232"/>
  <c r="N162" i="232" s="1"/>
  <c r="N154" i="232"/>
  <c r="N134" i="232"/>
  <c r="N135" i="232" s="1"/>
  <c r="N202" i="232"/>
  <c r="N171" i="232"/>
  <c r="J202" i="232"/>
  <c r="J171" i="232"/>
  <c r="F202" i="232"/>
  <c r="F171" i="232"/>
  <c r="F189" i="232"/>
  <c r="F160" i="232"/>
  <c r="F156" i="232"/>
  <c r="F157" i="232" s="1"/>
  <c r="F190" i="232"/>
  <c r="F169" i="232"/>
  <c r="F209" i="232" s="1"/>
  <c r="I188" i="230"/>
  <c r="I147" i="230"/>
  <c r="K145" i="230"/>
  <c r="F175" i="230"/>
  <c r="F185" i="230" s="1"/>
  <c r="F142" i="230"/>
  <c r="K142" i="230" s="1"/>
  <c r="I102" i="229"/>
  <c r="K61" i="229"/>
  <c r="K102" i="229" s="1"/>
  <c r="L12" i="228"/>
  <c r="K14" i="228"/>
  <c r="L122" i="232"/>
  <c r="L119" i="232"/>
  <c r="D126" i="232"/>
  <c r="P126" i="232" s="1"/>
  <c r="P111" i="232"/>
  <c r="D116" i="232"/>
  <c r="P102" i="232"/>
  <c r="M144" i="232"/>
  <c r="M154" i="232"/>
  <c r="K25" i="230"/>
  <c r="I58" i="230"/>
  <c r="K58" i="230" s="1"/>
  <c r="D97" i="229"/>
  <c r="I78" i="229"/>
  <c r="F78" i="229"/>
  <c r="F101" i="229"/>
  <c r="F104" i="229" s="1"/>
  <c r="F62" i="229"/>
  <c r="I153" i="232"/>
  <c r="K149" i="232"/>
  <c r="G151" i="232"/>
  <c r="I65" i="230"/>
  <c r="K45" i="230"/>
  <c r="I15" i="229"/>
  <c r="H119" i="232"/>
  <c r="F189" i="230"/>
  <c r="K189" i="230" s="1"/>
  <c r="K146" i="230"/>
  <c r="E202" i="232"/>
  <c r="E171" i="232"/>
  <c r="P184" i="232"/>
  <c r="F19" i="229"/>
  <c r="F40" i="229"/>
  <c r="F41" i="229" s="1"/>
  <c r="F113" i="229"/>
  <c r="K17" i="229"/>
  <c r="L17" i="229" s="1"/>
  <c r="D117" i="232"/>
  <c r="P103" i="232"/>
  <c r="I119" i="232"/>
  <c r="I49" i="231"/>
  <c r="I90" i="229"/>
  <c r="K71" i="229"/>
  <c r="K90" i="229" s="1"/>
  <c r="O150" i="232"/>
  <c r="D112" i="232"/>
  <c r="P98" i="232"/>
  <c r="M155" i="232"/>
  <c r="E201" i="232"/>
  <c r="E165" i="232"/>
  <c r="G155" i="232"/>
  <c r="O147" i="232"/>
  <c r="N167" i="232"/>
  <c r="N195" i="232"/>
  <c r="F195" i="232"/>
  <c r="F167" i="232"/>
  <c r="G147" i="232"/>
  <c r="K119" i="232"/>
  <c r="O48" i="231"/>
  <c r="I181" i="230"/>
  <c r="K181" i="230" s="1"/>
  <c r="K161" i="230"/>
  <c r="D110" i="230"/>
  <c r="F75" i="230"/>
  <c r="K75" i="230" s="1"/>
  <c r="K81" i="230" s="1"/>
  <c r="Q42" i="230"/>
  <c r="I42" i="230"/>
  <c r="K42" i="230" s="1"/>
  <c r="I79" i="229"/>
  <c r="I119" i="229" s="1"/>
  <c r="Q24" i="229"/>
  <c r="I25" i="229"/>
  <c r="K25" i="229" s="1"/>
  <c r="D107" i="232"/>
  <c r="P93" i="232"/>
  <c r="D124" i="232"/>
  <c r="P124" i="232" s="1"/>
  <c r="P109" i="232"/>
  <c r="I59" i="230"/>
  <c r="K59" i="230" s="1"/>
  <c r="K20" i="230"/>
  <c r="N198" i="232"/>
  <c r="N163" i="232"/>
  <c r="J198" i="232"/>
  <c r="J163" i="232"/>
  <c r="F164" i="232"/>
  <c r="F199" i="232"/>
  <c r="K132" i="230"/>
  <c r="I175" i="230"/>
  <c r="K175" i="230" s="1"/>
  <c r="Q99" i="230"/>
  <c r="I99" i="230"/>
  <c r="I115" i="230" s="1"/>
  <c r="I89" i="229"/>
  <c r="K70" i="229"/>
  <c r="M13" i="223"/>
  <c r="M14" i="223" s="1"/>
  <c r="H14" i="223"/>
  <c r="D12" i="223"/>
  <c r="D14" i="223" s="1"/>
  <c r="L155" i="232"/>
  <c r="L147" i="232"/>
  <c r="L149" i="232"/>
  <c r="L148" i="232"/>
  <c r="H151" i="232"/>
  <c r="H150" i="232"/>
  <c r="H152" i="232"/>
  <c r="I182" i="230"/>
  <c r="K182" i="230" s="1"/>
  <c r="K162" i="230"/>
  <c r="I24" i="230"/>
  <c r="F24" i="230"/>
  <c r="D63" i="230"/>
  <c r="I81" i="229"/>
  <c r="F81" i="229"/>
  <c r="F103" i="229" s="1"/>
  <c r="K60" i="229"/>
  <c r="I62" i="229"/>
  <c r="I101" i="229"/>
  <c r="G150" i="232"/>
  <c r="I134" i="232"/>
  <c r="I135" i="232" s="1"/>
  <c r="K147" i="232"/>
  <c r="F12" i="223"/>
  <c r="A16" i="226"/>
  <c r="A17" i="226" s="1"/>
  <c r="A18" i="226" s="1"/>
  <c r="A19" i="226" s="1"/>
  <c r="K43" i="228"/>
  <c r="L43" i="228" s="1"/>
  <c r="L150" i="232"/>
  <c r="H153" i="232"/>
  <c r="H146" i="232"/>
  <c r="H162" i="232" s="1"/>
  <c r="H144" i="232"/>
  <c r="H154" i="232"/>
  <c r="H134" i="232"/>
  <c r="H135" i="232" s="1"/>
  <c r="H145" i="232"/>
  <c r="H161" i="232" s="1"/>
  <c r="I40" i="230"/>
  <c r="Q40" i="230"/>
  <c r="I199" i="232"/>
  <c r="I164" i="232"/>
  <c r="E119" i="232"/>
  <c r="F12" i="224"/>
  <c r="E150" i="232"/>
  <c r="E152" i="232"/>
  <c r="E151" i="232"/>
  <c r="E199" i="232"/>
  <c r="E164" i="232"/>
  <c r="J195" i="232"/>
  <c r="J167" i="232"/>
  <c r="F194" i="232"/>
  <c r="F166" i="232"/>
  <c r="K144" i="232"/>
  <c r="K154" i="232"/>
  <c r="K145" i="232"/>
  <c r="K161" i="232" s="1"/>
  <c r="K134" i="232"/>
  <c r="K135" i="232" s="1"/>
  <c r="K146" i="232"/>
  <c r="K162" i="232" s="1"/>
  <c r="K153" i="232"/>
  <c r="I163" i="230"/>
  <c r="Q163" i="230"/>
  <c r="K85" i="230"/>
  <c r="L13" i="223"/>
  <c r="F13" i="223" s="1"/>
  <c r="K48" i="229"/>
  <c r="K113" i="229"/>
  <c r="D114" i="232"/>
  <c r="P100" i="232"/>
  <c r="I49" i="228"/>
  <c r="K16" i="228"/>
  <c r="L16" i="228" s="1"/>
  <c r="N199" i="232"/>
  <c r="N164" i="232"/>
  <c r="J199" i="232"/>
  <c r="J164" i="232"/>
  <c r="F198" i="232"/>
  <c r="F163" i="232"/>
  <c r="J153" i="232"/>
  <c r="J145" i="232"/>
  <c r="J161" i="232" s="1"/>
  <c r="J146" i="232"/>
  <c r="J162" i="232" s="1"/>
  <c r="J154" i="232"/>
  <c r="J134" i="232"/>
  <c r="J135" i="232" s="1"/>
  <c r="J144" i="232"/>
  <c r="F170" i="232"/>
  <c r="F263" i="232" s="1"/>
  <c r="F191" i="232"/>
  <c r="I159" i="230"/>
  <c r="Q159" i="230"/>
  <c r="E12" i="223"/>
  <c r="E14" i="223" s="1"/>
  <c r="J14" i="223"/>
  <c r="P99" i="232"/>
  <c r="D113" i="232"/>
  <c r="M134" i="232"/>
  <c r="M135" i="232" s="1"/>
  <c r="I184" i="230"/>
  <c r="K184" i="230" s="1"/>
  <c r="K164" i="230"/>
  <c r="F14" i="230"/>
  <c r="D53" i="230"/>
  <c r="I14" i="230"/>
  <c r="K30" i="228"/>
  <c r="L30" i="228" s="1"/>
  <c r="L26" i="228"/>
  <c r="I145" i="232"/>
  <c r="I161" i="232" s="1"/>
  <c r="P96" i="232"/>
  <c r="L142" i="230" l="1"/>
  <c r="L15" i="229"/>
  <c r="K19" i="229"/>
  <c r="L19" i="229" s="1"/>
  <c r="L57" i="229"/>
  <c r="K115" i="230"/>
  <c r="I116" i="230"/>
  <c r="I179" i="230"/>
  <c r="K159" i="230"/>
  <c r="I165" i="230"/>
  <c r="L199" i="232"/>
  <c r="L164" i="232"/>
  <c r="J266" i="232"/>
  <c r="J215" i="232"/>
  <c r="J247" i="232" s="1"/>
  <c r="O163" i="232"/>
  <c r="O198" i="232"/>
  <c r="I118" i="229"/>
  <c r="J10" i="223"/>
  <c r="I19" i="229"/>
  <c r="N273" i="232"/>
  <c r="N219" i="232"/>
  <c r="N251" i="232" s="1"/>
  <c r="G267" i="232"/>
  <c r="G216" i="232"/>
  <c r="G248" i="232" s="1"/>
  <c r="J190" i="232"/>
  <c r="J169" i="232"/>
  <c r="J209" i="232" s="1"/>
  <c r="L166" i="232"/>
  <c r="L194" i="232"/>
  <c r="K62" i="229"/>
  <c r="K101" i="229"/>
  <c r="F269" i="232"/>
  <c r="F218" i="232"/>
  <c r="F250" i="232" s="1"/>
  <c r="N269" i="232"/>
  <c r="N218" i="232"/>
  <c r="N250" i="232" s="1"/>
  <c r="H163" i="232"/>
  <c r="H198" i="232"/>
  <c r="K27" i="229"/>
  <c r="K30" i="229" s="1"/>
  <c r="N270" i="232"/>
  <c r="N211" i="232"/>
  <c r="N244" i="232" s="1"/>
  <c r="I196" i="232"/>
  <c r="I168" i="232"/>
  <c r="I242" i="232"/>
  <c r="I273" i="232"/>
  <c r="I219" i="232"/>
  <c r="I251" i="232" s="1"/>
  <c r="F270" i="232"/>
  <c r="F211" i="232"/>
  <c r="F244" i="232" s="1"/>
  <c r="F212" i="232"/>
  <c r="F245" i="232" s="1"/>
  <c r="F271" i="232"/>
  <c r="G262" i="232"/>
  <c r="O189" i="232"/>
  <c r="O160" i="232"/>
  <c r="O156" i="232"/>
  <c r="O157" i="232" s="1"/>
  <c r="N272" i="232"/>
  <c r="N213" i="232"/>
  <c r="N246" i="232" s="1"/>
  <c r="M195" i="232"/>
  <c r="M167" i="232"/>
  <c r="I261" i="232"/>
  <c r="I208" i="232"/>
  <c r="H201" i="232"/>
  <c r="H165" i="232"/>
  <c r="O273" i="232"/>
  <c r="O219" i="232"/>
  <c r="O251" i="232" s="1"/>
  <c r="I266" i="232"/>
  <c r="I215" i="232"/>
  <c r="I247" i="232" s="1"/>
  <c r="K273" i="232"/>
  <c r="K219" i="232"/>
  <c r="K251" i="232" s="1"/>
  <c r="I51" i="228"/>
  <c r="K49" i="228"/>
  <c r="I183" i="230"/>
  <c r="K183" i="230" s="1"/>
  <c r="K163" i="230"/>
  <c r="H191" i="232"/>
  <c r="H170" i="232"/>
  <c r="L14" i="223"/>
  <c r="L16" i="223" s="1"/>
  <c r="L165" i="232"/>
  <c r="L201" i="232"/>
  <c r="G202" i="232"/>
  <c r="G171" i="232"/>
  <c r="K201" i="232"/>
  <c r="K165" i="232"/>
  <c r="D131" i="232"/>
  <c r="P131" i="232" s="1"/>
  <c r="P116" i="232"/>
  <c r="I201" i="230"/>
  <c r="K147" i="230"/>
  <c r="L147" i="230" s="1"/>
  <c r="N189" i="232"/>
  <c r="N160" i="232"/>
  <c r="N156" i="232"/>
  <c r="N157" i="232" s="1"/>
  <c r="G201" i="232"/>
  <c r="G165" i="232"/>
  <c r="M166" i="232"/>
  <c r="M194" i="232"/>
  <c r="D130" i="232"/>
  <c r="P130" i="232" s="1"/>
  <c r="P115" i="232"/>
  <c r="I156" i="232"/>
  <c r="I157" i="232" s="1"/>
  <c r="D128" i="232"/>
  <c r="P113" i="232"/>
  <c r="N216" i="232"/>
  <c r="N248" i="232" s="1"/>
  <c r="N267" i="232"/>
  <c r="K170" i="232"/>
  <c r="K191" i="232"/>
  <c r="E267" i="232"/>
  <c r="E216" i="232"/>
  <c r="E248" i="232" s="1"/>
  <c r="L198" i="232"/>
  <c r="L163" i="232"/>
  <c r="E269" i="232"/>
  <c r="E218" i="232"/>
  <c r="E250" i="232" s="1"/>
  <c r="P112" i="232"/>
  <c r="D127" i="232"/>
  <c r="P127" i="232" s="1"/>
  <c r="I169" i="232"/>
  <c r="I209" i="232" s="1"/>
  <c r="I190" i="232"/>
  <c r="I97" i="229"/>
  <c r="K78" i="229"/>
  <c r="K97" i="229" s="1"/>
  <c r="M191" i="232"/>
  <c r="M170" i="232"/>
  <c r="K18" i="228"/>
  <c r="L18" i="228" s="1"/>
  <c r="O14" i="228"/>
  <c r="L14" i="228"/>
  <c r="F207" i="230"/>
  <c r="F149" i="230"/>
  <c r="I191" i="230"/>
  <c r="K188" i="230"/>
  <c r="K191" i="230" s="1"/>
  <c r="F208" i="232"/>
  <c r="F261" i="232"/>
  <c r="F172" i="232"/>
  <c r="F185" i="232" s="1"/>
  <c r="F274" i="232" s="1"/>
  <c r="J273" i="232"/>
  <c r="J219" i="232"/>
  <c r="J251" i="232" s="1"/>
  <c r="I50" i="228"/>
  <c r="K50" i="228" s="1"/>
  <c r="L50" i="228" s="1"/>
  <c r="I18" i="228"/>
  <c r="H10" i="223"/>
  <c r="N10" i="223"/>
  <c r="N16" i="223" s="1"/>
  <c r="G190" i="232"/>
  <c r="G169" i="232"/>
  <c r="G209" i="232" s="1"/>
  <c r="G189" i="232"/>
  <c r="G203" i="232" s="1"/>
  <c r="G204" i="232" s="1"/>
  <c r="G160" i="232"/>
  <c r="G156" i="232"/>
  <c r="G157" i="232" s="1"/>
  <c r="J272" i="232"/>
  <c r="J213" i="232"/>
  <c r="J246" i="232" s="1"/>
  <c r="O201" i="232"/>
  <c r="O165" i="232"/>
  <c r="D133" i="232"/>
  <c r="P133" i="232" s="1"/>
  <c r="P118" i="232"/>
  <c r="E156" i="232"/>
  <c r="E157" i="232" s="1"/>
  <c r="E160" i="232"/>
  <c r="E189" i="232"/>
  <c r="E263" i="232"/>
  <c r="D155" i="232"/>
  <c r="D147" i="232"/>
  <c r="P125" i="232"/>
  <c r="D149" i="232"/>
  <c r="O271" i="232"/>
  <c r="O212" i="232"/>
  <c r="O245" i="232" s="1"/>
  <c r="F213" i="230"/>
  <c r="F210" i="232"/>
  <c r="J269" i="232"/>
  <c r="J218" i="232"/>
  <c r="J250" i="232" s="1"/>
  <c r="H202" i="232"/>
  <c r="H171" i="232"/>
  <c r="F272" i="232"/>
  <c r="F213" i="232"/>
  <c r="F246" i="232" s="1"/>
  <c r="M266" i="232"/>
  <c r="M215" i="232"/>
  <c r="M247" i="232" s="1"/>
  <c r="I195" i="232"/>
  <c r="I167" i="232"/>
  <c r="O272" i="232"/>
  <c r="O213" i="232"/>
  <c r="O246" i="232" s="1"/>
  <c r="G272" i="232"/>
  <c r="G213" i="232"/>
  <c r="G246" i="232" s="1"/>
  <c r="K272" i="232"/>
  <c r="K213" i="232"/>
  <c r="K246" i="232" s="1"/>
  <c r="I53" i="230"/>
  <c r="K14" i="230"/>
  <c r="K21" i="230" s="1"/>
  <c r="I21" i="230"/>
  <c r="J189" i="232"/>
  <c r="J160" i="232"/>
  <c r="J156" i="232"/>
  <c r="J157" i="232" s="1"/>
  <c r="J216" i="232"/>
  <c r="J248" i="232" s="1"/>
  <c r="J267" i="232"/>
  <c r="E195" i="232"/>
  <c r="E167" i="232"/>
  <c r="H169" i="232"/>
  <c r="H209" i="232" s="1"/>
  <c r="H190" i="232"/>
  <c r="I64" i="229"/>
  <c r="I114" i="229"/>
  <c r="M202" i="232"/>
  <c r="M171" i="232"/>
  <c r="G195" i="232"/>
  <c r="G167" i="232"/>
  <c r="F273" i="232"/>
  <c r="F219" i="232"/>
  <c r="F251" i="232" s="1"/>
  <c r="I86" i="230"/>
  <c r="I119" i="230"/>
  <c r="K84" i="230"/>
  <c r="K86" i="230" s="1"/>
  <c r="K166" i="232"/>
  <c r="K194" i="232"/>
  <c r="K10" i="223"/>
  <c r="K16" i="223" s="1"/>
  <c r="I30" i="229"/>
  <c r="P108" i="232"/>
  <c r="D123" i="232"/>
  <c r="P123" i="232" s="1"/>
  <c r="K262" i="232"/>
  <c r="E196" i="232"/>
  <c r="E168" i="232"/>
  <c r="G194" i="232"/>
  <c r="G166" i="232"/>
  <c r="F63" i="230"/>
  <c r="F66" i="230" s="1"/>
  <c r="F26" i="230"/>
  <c r="F199" i="230" s="1"/>
  <c r="H196" i="232"/>
  <c r="H168" i="232"/>
  <c r="K99" i="230"/>
  <c r="K100" i="230" s="1"/>
  <c r="K103" i="230" s="1"/>
  <c r="I100" i="230"/>
  <c r="D122" i="232"/>
  <c r="D119" i="232"/>
  <c r="P107" i="232"/>
  <c r="K40" i="229"/>
  <c r="L40" i="229" s="1"/>
  <c r="F110" i="230"/>
  <c r="F116" i="230" s="1"/>
  <c r="F81" i="230"/>
  <c r="F206" i="230" s="1"/>
  <c r="O49" i="231"/>
  <c r="D132" i="232"/>
  <c r="P132" i="232" s="1"/>
  <c r="P117" i="232"/>
  <c r="F97" i="229"/>
  <c r="F98" i="229" s="1"/>
  <c r="F106" i="229" s="1"/>
  <c r="F79" i="229"/>
  <c r="L154" i="232"/>
  <c r="L145" i="232"/>
  <c r="L161" i="232" s="1"/>
  <c r="L134" i="232"/>
  <c r="L135" i="232" s="1"/>
  <c r="L153" i="232"/>
  <c r="L146" i="232"/>
  <c r="L162" i="232" s="1"/>
  <c r="L144" i="232"/>
  <c r="G263" i="232"/>
  <c r="G191" i="232"/>
  <c r="G170" i="232"/>
  <c r="G210" i="232" s="1"/>
  <c r="O191" i="232"/>
  <c r="O170" i="232"/>
  <c r="O263" i="232" s="1"/>
  <c r="K267" i="232"/>
  <c r="K216" i="232"/>
  <c r="K248" i="232" s="1"/>
  <c r="F53" i="230"/>
  <c r="F60" i="230" s="1"/>
  <c r="F68" i="230" s="1"/>
  <c r="F21" i="230"/>
  <c r="J191" i="232"/>
  <c r="J170" i="232"/>
  <c r="F266" i="232"/>
  <c r="F215" i="232"/>
  <c r="F247" i="232" s="1"/>
  <c r="F256" i="232" s="1"/>
  <c r="K190" i="232"/>
  <c r="K169" i="232"/>
  <c r="K209" i="232" s="1"/>
  <c r="J212" i="232"/>
  <c r="J245" i="232" s="1"/>
  <c r="J271" i="232"/>
  <c r="E166" i="232"/>
  <c r="E194" i="232"/>
  <c r="K40" i="230"/>
  <c r="K43" i="230" s="1"/>
  <c r="L43" i="230" s="1"/>
  <c r="I57" i="230"/>
  <c r="K57" i="230" s="1"/>
  <c r="I43" i="230"/>
  <c r="I46" i="230" s="1"/>
  <c r="H189" i="232"/>
  <c r="H156" i="232"/>
  <c r="H157" i="232" s="1"/>
  <c r="H160" i="232"/>
  <c r="F14" i="223"/>
  <c r="I63" i="230"/>
  <c r="I26" i="230"/>
  <c r="I199" i="230" s="1"/>
  <c r="K24" i="230"/>
  <c r="K26" i="230" s="1"/>
  <c r="H194" i="232"/>
  <c r="H166" i="232"/>
  <c r="N266" i="232"/>
  <c r="N215" i="232"/>
  <c r="N247" i="232" s="1"/>
  <c r="N256" i="232" s="1"/>
  <c r="M10" i="223"/>
  <c r="M16" i="223" s="1"/>
  <c r="I82" i="229"/>
  <c r="J263" i="232"/>
  <c r="J210" i="232"/>
  <c r="P114" i="232"/>
  <c r="D129" i="232"/>
  <c r="P129" i="232" s="1"/>
  <c r="K263" i="232"/>
  <c r="K210" i="232"/>
  <c r="K189" i="232"/>
  <c r="K160" i="232"/>
  <c r="K156" i="232"/>
  <c r="K157" i="232" s="1"/>
  <c r="I267" i="232"/>
  <c r="I216" i="232"/>
  <c r="I248" i="232" s="1"/>
  <c r="H210" i="232"/>
  <c r="H263" i="232"/>
  <c r="A20" i="226"/>
  <c r="A21" i="226" s="1"/>
  <c r="A22" i="226" s="1"/>
  <c r="A23" i="226" s="1"/>
  <c r="K198" i="232"/>
  <c r="K163" i="232"/>
  <c r="I104" i="229"/>
  <c r="I103" i="229"/>
  <c r="K81" i="229"/>
  <c r="K103" i="229" s="1"/>
  <c r="H167" i="232"/>
  <c r="H195" i="232"/>
  <c r="L202" i="232"/>
  <c r="L171" i="232"/>
  <c r="K89" i="229"/>
  <c r="F216" i="232"/>
  <c r="F248" i="232" s="1"/>
  <c r="F267" i="232"/>
  <c r="G198" i="232"/>
  <c r="G163" i="232"/>
  <c r="N212" i="232"/>
  <c r="N245" i="232" s="1"/>
  <c r="N271" i="232"/>
  <c r="O194" i="232"/>
  <c r="O166" i="232"/>
  <c r="F123" i="229"/>
  <c r="E273" i="232"/>
  <c r="E219" i="232"/>
  <c r="E251" i="232" s="1"/>
  <c r="K65" i="230"/>
  <c r="F114" i="229"/>
  <c r="F64" i="229"/>
  <c r="M156" i="232"/>
  <c r="M157" i="232" s="1"/>
  <c r="M189" i="232"/>
  <c r="M160" i="232"/>
  <c r="F241" i="232"/>
  <c r="P14" i="226"/>
  <c r="F203" i="232"/>
  <c r="F204" i="232" s="1"/>
  <c r="N191" i="232"/>
  <c r="N170" i="232"/>
  <c r="N210" i="232" s="1"/>
  <c r="N190" i="232"/>
  <c r="N169" i="232"/>
  <c r="N209" i="232" s="1"/>
  <c r="I36" i="229"/>
  <c r="K36" i="229" s="1"/>
  <c r="F119" i="230"/>
  <c r="F122" i="230" s="1"/>
  <c r="F86" i="230"/>
  <c r="O190" i="232"/>
  <c r="O169" i="232"/>
  <c r="O209" i="232" s="1"/>
  <c r="M201" i="232"/>
  <c r="M165" i="232"/>
  <c r="M196" i="232"/>
  <c r="M168" i="232"/>
  <c r="I201" i="232"/>
  <c r="I165" i="232"/>
  <c r="E190" i="232"/>
  <c r="E169" i="232"/>
  <c r="E209" i="232" s="1"/>
  <c r="E191" i="232"/>
  <c r="E170" i="232"/>
  <c r="E210" i="232" s="1"/>
  <c r="L271" i="232"/>
  <c r="L212" i="232"/>
  <c r="L245" i="232" s="1"/>
  <c r="K35" i="229"/>
  <c r="K37" i="229" s="1"/>
  <c r="K76" i="229"/>
  <c r="K95" i="229" s="1"/>
  <c r="I95" i="229"/>
  <c r="I98" i="229" s="1"/>
  <c r="I106" i="229" s="1"/>
  <c r="F191" i="230"/>
  <c r="F193" i="230" s="1"/>
  <c r="H199" i="232"/>
  <c r="H164" i="232"/>
  <c r="J270" i="232"/>
  <c r="J211" i="232"/>
  <c r="J244" i="232" s="1"/>
  <c r="K271" i="232"/>
  <c r="K212" i="232"/>
  <c r="K245" i="232" s="1"/>
  <c r="I194" i="232"/>
  <c r="I203" i="232" s="1"/>
  <c r="I204" i="232" s="1"/>
  <c r="I166" i="232"/>
  <c r="E266" i="232"/>
  <c r="E215" i="232"/>
  <c r="E247" i="232" s="1"/>
  <c r="E256" i="232" s="1"/>
  <c r="L272" i="232"/>
  <c r="L213" i="232"/>
  <c r="L246" i="232" s="1"/>
  <c r="M267" i="232"/>
  <c r="M216" i="232"/>
  <c r="M248" i="232" s="1"/>
  <c r="O267" i="232"/>
  <c r="O216" i="232"/>
  <c r="O248" i="232" s="1"/>
  <c r="M241" i="232"/>
  <c r="K14" i="226"/>
  <c r="G242" i="232" l="1"/>
  <c r="N242" i="232"/>
  <c r="L18" i="226"/>
  <c r="E242" i="232"/>
  <c r="I211" i="230"/>
  <c r="K199" i="230"/>
  <c r="H241" i="232"/>
  <c r="F14" i="226"/>
  <c r="K41" i="229"/>
  <c r="L41" i="229" s="1"/>
  <c r="L37" i="229"/>
  <c r="O211" i="232"/>
  <c r="O244" i="232" s="1"/>
  <c r="O270" i="232"/>
  <c r="G215" i="232"/>
  <c r="G247" i="232" s="1"/>
  <c r="G266" i="232"/>
  <c r="K79" i="229"/>
  <c r="K203" i="232"/>
  <c r="K204" i="232" s="1"/>
  <c r="E270" i="232"/>
  <c r="E211" i="232"/>
  <c r="E244" i="232" s="1"/>
  <c r="L189" i="232"/>
  <c r="L160" i="232"/>
  <c r="L156" i="232"/>
  <c r="L157" i="232" s="1"/>
  <c r="K46" i="230"/>
  <c r="L46" i="230" s="1"/>
  <c r="H272" i="232"/>
  <c r="H213" i="232"/>
  <c r="H246" i="232" s="1"/>
  <c r="G211" i="232"/>
  <c r="G244" i="232" s="1"/>
  <c r="G270" i="232"/>
  <c r="K88" i="230"/>
  <c r="L88" i="230" s="1"/>
  <c r="L86" i="230"/>
  <c r="N263" i="232"/>
  <c r="J208" i="232"/>
  <c r="J261" i="232"/>
  <c r="J172" i="232"/>
  <c r="J185" i="232" s="1"/>
  <c r="J274" i="232" s="1"/>
  <c r="K53" i="230"/>
  <c r="K60" i="230" s="1"/>
  <c r="I60" i="230"/>
  <c r="D148" i="232"/>
  <c r="L191" i="230"/>
  <c r="I241" i="232"/>
  <c r="G14" i="226"/>
  <c r="G269" i="232"/>
  <c r="G218" i="232"/>
  <c r="G250" i="232" s="1"/>
  <c r="N208" i="232"/>
  <c r="N261" i="232"/>
  <c r="N172" i="232"/>
  <c r="N185" i="232" s="1"/>
  <c r="N274" i="232" s="1"/>
  <c r="G273" i="232"/>
  <c r="G219" i="232"/>
  <c r="G251" i="232" s="1"/>
  <c r="G10" i="226"/>
  <c r="I240" i="232"/>
  <c r="O203" i="232"/>
  <c r="O204" i="232" s="1"/>
  <c r="L267" i="232"/>
  <c r="L216" i="232"/>
  <c r="L248" i="232" s="1"/>
  <c r="K179" i="230"/>
  <c r="K185" i="230" s="1"/>
  <c r="I185" i="230"/>
  <c r="I193" i="230" s="1"/>
  <c r="H267" i="232"/>
  <c r="H216" i="232"/>
  <c r="H248" i="232" s="1"/>
  <c r="L190" i="232"/>
  <c r="L169" i="232"/>
  <c r="L209" i="232" s="1"/>
  <c r="F82" i="229"/>
  <c r="F119" i="229"/>
  <c r="O10" i="223"/>
  <c r="O16" i="223" s="1"/>
  <c r="I103" i="230"/>
  <c r="E213" i="232"/>
  <c r="E246" i="232" s="1"/>
  <c r="E272" i="232"/>
  <c r="K211" i="232"/>
  <c r="K244" i="232" s="1"/>
  <c r="K270" i="232"/>
  <c r="I88" i="230"/>
  <c r="I200" i="230"/>
  <c r="I28" i="230"/>
  <c r="I205" i="230"/>
  <c r="I270" i="232"/>
  <c r="I211" i="232"/>
  <c r="I244" i="232" s="1"/>
  <c r="E241" i="232"/>
  <c r="O14" i="226"/>
  <c r="M213" i="232"/>
  <c r="M246" i="232" s="1"/>
  <c r="M272" i="232"/>
  <c r="O241" i="232"/>
  <c r="M14" i="226"/>
  <c r="K98" i="229"/>
  <c r="H271" i="232"/>
  <c r="H212" i="232"/>
  <c r="H245" i="232" s="1"/>
  <c r="K215" i="232"/>
  <c r="K247" i="232" s="1"/>
  <c r="K266" i="232"/>
  <c r="K242" i="232"/>
  <c r="I18" i="226"/>
  <c r="J242" i="232"/>
  <c r="H18" i="226"/>
  <c r="L26" i="230"/>
  <c r="H261" i="232"/>
  <c r="H208" i="232"/>
  <c r="H172" i="232"/>
  <c r="H185" i="232" s="1"/>
  <c r="H274" i="232" s="1"/>
  <c r="F28" i="230"/>
  <c r="F205" i="230"/>
  <c r="F208" i="230" s="1"/>
  <c r="L263" i="232"/>
  <c r="L170" i="232"/>
  <c r="L210" i="232" s="1"/>
  <c r="L191" i="232"/>
  <c r="F124" i="230"/>
  <c r="D153" i="232"/>
  <c r="D146" i="232"/>
  <c r="D144" i="232"/>
  <c r="P122" i="232"/>
  <c r="D154" i="232"/>
  <c r="D145" i="232"/>
  <c r="D134" i="232"/>
  <c r="D135" i="232" s="1"/>
  <c r="I122" i="230"/>
  <c r="K119" i="230"/>
  <c r="K122" i="230" s="1"/>
  <c r="L122" i="230" s="1"/>
  <c r="M273" i="232"/>
  <c r="M219" i="232"/>
  <c r="M251" i="232" s="1"/>
  <c r="J203" i="232"/>
  <c r="J204" i="232" s="1"/>
  <c r="H219" i="232"/>
  <c r="H251" i="232" s="1"/>
  <c r="H273" i="232"/>
  <c r="F242" i="232"/>
  <c r="P18" i="226"/>
  <c r="D163" i="232"/>
  <c r="D198" i="232"/>
  <c r="P198" i="232" s="1"/>
  <c r="P147" i="232"/>
  <c r="E203" i="232"/>
  <c r="E204" i="232" s="1"/>
  <c r="G261" i="232"/>
  <c r="G208" i="232"/>
  <c r="G172" i="232"/>
  <c r="G185" i="232" s="1"/>
  <c r="G274" i="232" s="1"/>
  <c r="I206" i="230"/>
  <c r="K206" i="230" s="1"/>
  <c r="L266" i="232"/>
  <c r="L215" i="232"/>
  <c r="L247" i="232" s="1"/>
  <c r="L256" i="232" s="1"/>
  <c r="N203" i="232"/>
  <c r="N204" i="232" s="1"/>
  <c r="K51" i="228"/>
  <c r="L51" i="228" s="1"/>
  <c r="H218" i="232"/>
  <c r="H250" i="232" s="1"/>
  <c r="H269" i="232"/>
  <c r="H266" i="232"/>
  <c r="H215" i="232"/>
  <c r="H247" i="232" s="1"/>
  <c r="L270" i="232"/>
  <c r="L211" i="232"/>
  <c r="L244" i="232" s="1"/>
  <c r="O215" i="232"/>
  <c r="O247" i="232" s="1"/>
  <c r="O256" i="232" s="1"/>
  <c r="O266" i="232"/>
  <c r="I262" i="232"/>
  <c r="K149" i="230"/>
  <c r="L149" i="230" s="1"/>
  <c r="N241" i="232"/>
  <c r="L14" i="226"/>
  <c r="M261" i="232"/>
  <c r="M208" i="232"/>
  <c r="M172" i="232"/>
  <c r="M185" i="232" s="1"/>
  <c r="M274" i="232" s="1"/>
  <c r="F124" i="229"/>
  <c r="F115" i="229"/>
  <c r="L273" i="232"/>
  <c r="L219" i="232"/>
  <c r="L251" i="232" s="1"/>
  <c r="H242" i="232"/>
  <c r="F18" i="226"/>
  <c r="D201" i="232"/>
  <c r="P201" i="232" s="1"/>
  <c r="D165" i="232"/>
  <c r="P149" i="232"/>
  <c r="D202" i="232"/>
  <c r="P202" i="232" s="1"/>
  <c r="D171" i="232"/>
  <c r="P155" i="232"/>
  <c r="E261" i="232"/>
  <c r="E208" i="232"/>
  <c r="E172" i="232"/>
  <c r="E185" i="232" s="1"/>
  <c r="E274" i="232" s="1"/>
  <c r="O269" i="232"/>
  <c r="O218" i="232"/>
  <c r="O250" i="232" s="1"/>
  <c r="O210" i="232"/>
  <c r="N262" i="232"/>
  <c r="D151" i="232"/>
  <c r="P128" i="232"/>
  <c r="D150" i="232"/>
  <c r="D152" i="232"/>
  <c r="K269" i="232"/>
  <c r="K218" i="232"/>
  <c r="K250" i="232" s="1"/>
  <c r="M271" i="232"/>
  <c r="M212" i="232"/>
  <c r="M245" i="232" s="1"/>
  <c r="I213" i="232"/>
  <c r="I246" i="232" s="1"/>
  <c r="I272" i="232"/>
  <c r="K110" i="230"/>
  <c r="K116" i="230" s="1"/>
  <c r="K104" i="229"/>
  <c r="L104" i="229" s="1"/>
  <c r="J241" i="232"/>
  <c r="H14" i="226"/>
  <c r="E262" i="232"/>
  <c r="J16" i="223"/>
  <c r="E10" i="223"/>
  <c r="E16" i="223" s="1"/>
  <c r="J256" i="232"/>
  <c r="I168" i="230"/>
  <c r="I207" i="230"/>
  <c r="K207" i="230" s="1"/>
  <c r="I124" i="230"/>
  <c r="L81" i="230"/>
  <c r="I37" i="229"/>
  <c r="I41" i="229" s="1"/>
  <c r="I269" i="232"/>
  <c r="I218" i="232"/>
  <c r="I250" i="232" s="1"/>
  <c r="I256" i="232" s="1"/>
  <c r="M269" i="232"/>
  <c r="M218" i="232"/>
  <c r="M250" i="232" s="1"/>
  <c r="M256" i="232" s="1"/>
  <c r="F200" i="230"/>
  <c r="F212" i="230" s="1"/>
  <c r="F88" i="230"/>
  <c r="M203" i="232"/>
  <c r="M204" i="232" s="1"/>
  <c r="F125" i="229"/>
  <c r="A24" i="226"/>
  <c r="A25" i="226" s="1"/>
  <c r="A26" i="226" s="1"/>
  <c r="A27" i="226" s="1"/>
  <c r="D24" i="226"/>
  <c r="H262" i="232"/>
  <c r="K208" i="232"/>
  <c r="K172" i="232"/>
  <c r="K185" i="232" s="1"/>
  <c r="K274" i="232" s="1"/>
  <c r="K261" i="232"/>
  <c r="H270" i="232"/>
  <c r="H211" i="232"/>
  <c r="H244" i="232" s="1"/>
  <c r="I66" i="230"/>
  <c r="K63" i="230"/>
  <c r="K66" i="230" s="1"/>
  <c r="L66" i="230" s="1"/>
  <c r="H203" i="232"/>
  <c r="H204" i="232" s="1"/>
  <c r="K241" i="232"/>
  <c r="I14" i="226"/>
  <c r="P119" i="232"/>
  <c r="O262" i="232"/>
  <c r="G271" i="232"/>
  <c r="G212" i="232"/>
  <c r="G245" i="232" s="1"/>
  <c r="K114" i="229"/>
  <c r="K115" i="229" s="1"/>
  <c r="I124" i="229"/>
  <c r="K124" i="229" s="1"/>
  <c r="L124" i="229" s="1"/>
  <c r="I115" i="229"/>
  <c r="E271" i="232"/>
  <c r="E212" i="232"/>
  <c r="E245" i="232" s="1"/>
  <c r="K28" i="230"/>
  <c r="L28" i="230" s="1"/>
  <c r="L21" i="230"/>
  <c r="O13" i="230"/>
  <c r="I271" i="232"/>
  <c r="I212" i="232"/>
  <c r="G241" i="232"/>
  <c r="E14" i="226"/>
  <c r="D10" i="223"/>
  <c r="D16" i="223" s="1"/>
  <c r="H16" i="223"/>
  <c r="P10" i="226"/>
  <c r="F240" i="232"/>
  <c r="F220" i="232"/>
  <c r="F221" i="232" s="1"/>
  <c r="M210" i="232"/>
  <c r="M263" i="232"/>
  <c r="M270" i="232"/>
  <c r="M211" i="232"/>
  <c r="M244" i="232" s="1"/>
  <c r="I213" i="230"/>
  <c r="K213" i="230" s="1"/>
  <c r="K201" i="230"/>
  <c r="L218" i="232"/>
  <c r="L250" i="232" s="1"/>
  <c r="L269" i="232"/>
  <c r="I172" i="232"/>
  <c r="I185" i="232" s="1"/>
  <c r="I274" i="232" s="1"/>
  <c r="O261" i="232"/>
  <c r="O208" i="232"/>
  <c r="O172" i="232"/>
  <c r="O185" i="232" s="1"/>
  <c r="O274" i="232" s="1"/>
  <c r="J262" i="232"/>
  <c r="L62" i="229"/>
  <c r="K64" i="229"/>
  <c r="L64" i="229" s="1"/>
  <c r="K118" i="229"/>
  <c r="I120" i="229"/>
  <c r="I123" i="229"/>
  <c r="K165" i="230"/>
  <c r="O14" i="229"/>
  <c r="O74" i="230"/>
  <c r="L242" i="232" l="1"/>
  <c r="J18" i="226"/>
  <c r="D194" i="232"/>
  <c r="P194" i="232" s="1"/>
  <c r="D166" i="232"/>
  <c r="P150" i="232"/>
  <c r="O242" i="232"/>
  <c r="M18" i="226"/>
  <c r="O10" i="226"/>
  <c r="E240" i="232"/>
  <c r="E220" i="232"/>
  <c r="E221" i="232" s="1"/>
  <c r="F211" i="230"/>
  <c r="F214" i="230" s="1"/>
  <c r="L261" i="232"/>
  <c r="L208" i="232"/>
  <c r="L172" i="232"/>
  <c r="L185" i="232" s="1"/>
  <c r="L274" i="232" s="1"/>
  <c r="K211" i="230"/>
  <c r="K214" i="230" s="1"/>
  <c r="L118" i="229"/>
  <c r="D10" i="225"/>
  <c r="D14" i="225" s="1"/>
  <c r="D10" i="224"/>
  <c r="D14" i="224" s="1"/>
  <c r="Q23" i="226" s="1"/>
  <c r="H256" i="232"/>
  <c r="D266" i="232"/>
  <c r="P266" i="232" s="1"/>
  <c r="D215" i="232"/>
  <c r="P163" i="232"/>
  <c r="D161" i="232"/>
  <c r="P145" i="232"/>
  <c r="D162" i="232"/>
  <c r="P146" i="232"/>
  <c r="I212" i="230"/>
  <c r="K212" i="230" s="1"/>
  <c r="K200" i="230"/>
  <c r="L241" i="232"/>
  <c r="J14" i="226"/>
  <c r="F10" i="223"/>
  <c r="F16" i="223" s="1"/>
  <c r="I68" i="230"/>
  <c r="H10" i="226"/>
  <c r="J220" i="232"/>
  <c r="J221" i="232" s="1"/>
  <c r="J240" i="232"/>
  <c r="L203" i="232"/>
  <c r="L204" i="232" s="1"/>
  <c r="K82" i="229"/>
  <c r="L82" i="229" s="1"/>
  <c r="L79" i="229"/>
  <c r="O48" i="229"/>
  <c r="D189" i="232"/>
  <c r="D160" i="232"/>
  <c r="D156" i="232"/>
  <c r="D157" i="232" s="1"/>
  <c r="P144" i="232"/>
  <c r="D199" i="232"/>
  <c r="P199" i="232" s="1"/>
  <c r="D164" i="232"/>
  <c r="P148" i="232"/>
  <c r="L165" i="230"/>
  <c r="K168" i="230"/>
  <c r="L168" i="230" s="1"/>
  <c r="O131" i="230"/>
  <c r="M10" i="226"/>
  <c r="O220" i="232"/>
  <c r="O221" i="232" s="1"/>
  <c r="O240" i="232"/>
  <c r="F252" i="232"/>
  <c r="F253" i="232" s="1"/>
  <c r="F255" i="232"/>
  <c r="F257" i="232" s="1"/>
  <c r="F258" i="232" s="1"/>
  <c r="A28" i="226"/>
  <c r="A29" i="226" s="1"/>
  <c r="A30" i="226" s="1"/>
  <c r="A31" i="226" s="1"/>
  <c r="D28" i="226"/>
  <c r="E10" i="224"/>
  <c r="E14" i="224" s="1"/>
  <c r="Q27" i="226" s="1"/>
  <c r="E10" i="225"/>
  <c r="E14" i="225" s="1"/>
  <c r="D167" i="232"/>
  <c r="D195" i="232"/>
  <c r="P195" i="232" s="1"/>
  <c r="P151" i="232"/>
  <c r="D218" i="232"/>
  <c r="D269" i="232"/>
  <c r="P269" i="232" s="1"/>
  <c r="P165" i="232"/>
  <c r="D191" i="232"/>
  <c r="P191" i="232" s="1"/>
  <c r="D170" i="232"/>
  <c r="P170" i="232" s="1"/>
  <c r="P154" i="232"/>
  <c r="D190" i="232"/>
  <c r="P190" i="232" s="1"/>
  <c r="D169" i="232"/>
  <c r="P153" i="232"/>
  <c r="K106" i="229"/>
  <c r="L106" i="229" s="1"/>
  <c r="L98" i="229"/>
  <c r="K193" i="230"/>
  <c r="L193" i="230" s="1"/>
  <c r="L185" i="230"/>
  <c r="L10" i="226"/>
  <c r="N220" i="232"/>
  <c r="N221" i="232" s="1"/>
  <c r="N240" i="232"/>
  <c r="K68" i="230"/>
  <c r="L68" i="230" s="1"/>
  <c r="L60" i="230"/>
  <c r="L262" i="232"/>
  <c r="K202" i="230"/>
  <c r="O18" i="226"/>
  <c r="E18" i="226"/>
  <c r="M242" i="232"/>
  <c r="K18" i="226"/>
  <c r="I245" i="232"/>
  <c r="I252" i="232" s="1"/>
  <c r="I253" i="232" s="1"/>
  <c r="G18" i="226"/>
  <c r="L116" i="230"/>
  <c r="K124" i="230"/>
  <c r="L124" i="230" s="1"/>
  <c r="E10" i="226"/>
  <c r="G220" i="232"/>
  <c r="G221" i="232" s="1"/>
  <c r="G240" i="232"/>
  <c r="I125" i="229"/>
  <c r="K123" i="229"/>
  <c r="I10" i="226"/>
  <c r="K240" i="232"/>
  <c r="K220" i="232"/>
  <c r="K221" i="232" s="1"/>
  <c r="D196" i="232"/>
  <c r="P196" i="232" s="1"/>
  <c r="P152" i="232"/>
  <c r="D168" i="232"/>
  <c r="D273" i="232"/>
  <c r="P273" i="232" s="1"/>
  <c r="D219" i="232"/>
  <c r="D251" i="232" s="1"/>
  <c r="P251" i="232" s="1"/>
  <c r="P171" i="232"/>
  <c r="P219" i="232" s="1"/>
  <c r="K10" i="226"/>
  <c r="M220" i="232"/>
  <c r="M221" i="232" s="1"/>
  <c r="M240" i="232"/>
  <c r="P134" i="232"/>
  <c r="P135" i="232" s="1"/>
  <c r="F10" i="226"/>
  <c r="H240" i="232"/>
  <c r="H220" i="232"/>
  <c r="H221" i="232" s="1"/>
  <c r="K256" i="232"/>
  <c r="I208" i="230"/>
  <c r="K205" i="230"/>
  <c r="K208" i="230" s="1"/>
  <c r="F202" i="230"/>
  <c r="F120" i="229"/>
  <c r="K119" i="229"/>
  <c r="L119" i="229" s="1"/>
  <c r="I220" i="232"/>
  <c r="I221" i="232" s="1"/>
  <c r="G256" i="232"/>
  <c r="I202" i="230"/>
  <c r="K125" i="229" l="1"/>
  <c r="L125" i="229" s="1"/>
  <c r="L123" i="229"/>
  <c r="P156" i="232"/>
  <c r="P157" i="232" s="1"/>
  <c r="J252" i="232"/>
  <c r="J253" i="232" s="1"/>
  <c r="J255" i="232"/>
  <c r="J257" i="232" s="1"/>
  <c r="D210" i="232"/>
  <c r="D263" i="232"/>
  <c r="P263" i="232" s="1"/>
  <c r="P162" i="232"/>
  <c r="D247" i="232"/>
  <c r="P215" i="232"/>
  <c r="K120" i="229"/>
  <c r="L120" i="229" s="1"/>
  <c r="I255" i="232"/>
  <c r="I257" i="232" s="1"/>
  <c r="I258" i="232" s="1"/>
  <c r="O252" i="232"/>
  <c r="O253" i="232" s="1"/>
  <c r="O255" i="232"/>
  <c r="O257" i="232" s="1"/>
  <c r="D270" i="232"/>
  <c r="P270" i="232" s="1"/>
  <c r="D211" i="232"/>
  <c r="P166" i="232"/>
  <c r="D272" i="232"/>
  <c r="P272" i="232" s="1"/>
  <c r="D213" i="232"/>
  <c r="P168" i="232"/>
  <c r="K255" i="232"/>
  <c r="K257" i="232" s="1"/>
  <c r="K252" i="232"/>
  <c r="K253" i="232" s="1"/>
  <c r="N252" i="232"/>
  <c r="N253" i="232" s="1"/>
  <c r="N255" i="232"/>
  <c r="N257" i="232" s="1"/>
  <c r="D271" i="232"/>
  <c r="P271" i="232" s="1"/>
  <c r="D212" i="232"/>
  <c r="P167" i="232"/>
  <c r="A32" i="226"/>
  <c r="D32" i="226"/>
  <c r="M255" i="232"/>
  <c r="M257" i="232" s="1"/>
  <c r="M252" i="232"/>
  <c r="M253" i="232" s="1"/>
  <c r="D203" i="232"/>
  <c r="D204" i="232" s="1"/>
  <c r="P189" i="232"/>
  <c r="P203" i="232" s="1"/>
  <c r="H255" i="232"/>
  <c r="H257" i="232" s="1"/>
  <c r="H252" i="232"/>
  <c r="H253" i="232" s="1"/>
  <c r="G255" i="232"/>
  <c r="G257" i="232" s="1"/>
  <c r="G252" i="232"/>
  <c r="G253" i="232" s="1"/>
  <c r="D209" i="232"/>
  <c r="P169" i="232"/>
  <c r="D250" i="232"/>
  <c r="P250" i="232" s="1"/>
  <c r="P218" i="232"/>
  <c r="D216" i="232"/>
  <c r="D267" i="232"/>
  <c r="P267" i="232" s="1"/>
  <c r="P164" i="232"/>
  <c r="D261" i="232"/>
  <c r="P261" i="232" s="1"/>
  <c r="D208" i="232"/>
  <c r="D172" i="232"/>
  <c r="D185" i="232" s="1"/>
  <c r="D274" i="232" s="1"/>
  <c r="P274" i="232" s="1"/>
  <c r="P160" i="232"/>
  <c r="F10" i="225"/>
  <c r="F14" i="225" s="1"/>
  <c r="F10" i="224"/>
  <c r="F14" i="224" s="1"/>
  <c r="Q31" i="226" s="1"/>
  <c r="D262" i="232"/>
  <c r="P262" i="232" s="1"/>
  <c r="P161" i="232"/>
  <c r="I214" i="230"/>
  <c r="J10" i="226"/>
  <c r="L220" i="232"/>
  <c r="L221" i="232" s="1"/>
  <c r="L240" i="232"/>
  <c r="E252" i="232"/>
  <c r="E253" i="232" s="1"/>
  <c r="E255" i="232"/>
  <c r="E257" i="232" s="1"/>
  <c r="D248" i="232" l="1"/>
  <c r="P248" i="232" s="1"/>
  <c r="P216" i="232"/>
  <c r="P212" i="232"/>
  <c r="D245" i="232"/>
  <c r="P245" i="232" s="1"/>
  <c r="P211" i="232"/>
  <c r="D244" i="232"/>
  <c r="P244" i="232" s="1"/>
  <c r="E258" i="232"/>
  <c r="P208" i="232"/>
  <c r="N10" i="226"/>
  <c r="D220" i="232"/>
  <c r="D221" i="232" s="1"/>
  <c r="D240" i="232"/>
  <c r="D241" i="232"/>
  <c r="P241" i="232" s="1"/>
  <c r="P209" i="232"/>
  <c r="N14" i="226"/>
  <c r="D246" i="232"/>
  <c r="P246" i="232" s="1"/>
  <c r="P213" i="232"/>
  <c r="L255" i="232"/>
  <c r="L257" i="232" s="1"/>
  <c r="L252" i="232"/>
  <c r="L253" i="232" s="1"/>
  <c r="P204" i="232"/>
  <c r="D242" i="232"/>
  <c r="P242" i="232" s="1"/>
  <c r="P210" i="232"/>
  <c r="N18" i="226"/>
  <c r="P172" i="232"/>
  <c r="P185" i="232" s="1"/>
  <c r="G258" i="232"/>
  <c r="H258" i="232"/>
  <c r="M258" i="232"/>
  <c r="N258" i="232"/>
  <c r="K258" i="232"/>
  <c r="O258" i="232"/>
  <c r="D256" i="232"/>
  <c r="P256" i="232" s="1"/>
  <c r="P247" i="232"/>
  <c r="J258" i="232"/>
  <c r="Q18" i="226" l="1"/>
  <c r="L258" i="232"/>
  <c r="N11" i="226"/>
  <c r="N24" i="226" s="1"/>
  <c r="Q14" i="226"/>
  <c r="P220" i="232"/>
  <c r="P221" i="232" s="1"/>
  <c r="D255" i="232"/>
  <c r="D252" i="232"/>
  <c r="D253" i="232" s="1"/>
  <c r="P240" i="232"/>
  <c r="P252" i="232" s="1"/>
  <c r="Q10" i="226"/>
  <c r="P255" i="232" l="1"/>
  <c r="P257" i="232" s="1"/>
  <c r="P258" i="232" s="1"/>
  <c r="D257" i="232"/>
  <c r="D258" i="232" s="1"/>
  <c r="P253" i="232"/>
  <c r="K15" i="226"/>
  <c r="K28" i="226" s="1"/>
  <c r="P15" i="226"/>
  <c r="P28" i="226" s="1"/>
  <c r="I15" i="226"/>
  <c r="I28" i="226" s="1"/>
  <c r="M15" i="226"/>
  <c r="M28" i="226" s="1"/>
  <c r="O15" i="226"/>
  <c r="O28" i="226" s="1"/>
  <c r="E15" i="226"/>
  <c r="L15" i="226"/>
  <c r="L28" i="226" s="1"/>
  <c r="F15" i="226"/>
  <c r="F28" i="226" s="1"/>
  <c r="H15" i="226"/>
  <c r="H28" i="226" s="1"/>
  <c r="G15" i="226"/>
  <c r="G28" i="226" s="1"/>
  <c r="J15" i="226"/>
  <c r="J28" i="226" s="1"/>
  <c r="P19" i="226"/>
  <c r="P32" i="226" s="1"/>
  <c r="L19" i="226"/>
  <c r="L32" i="226" s="1"/>
  <c r="F19" i="226"/>
  <c r="F32" i="226" s="1"/>
  <c r="H19" i="226"/>
  <c r="H32" i="226" s="1"/>
  <c r="I19" i="226"/>
  <c r="I32" i="226" s="1"/>
  <c r="M19" i="226"/>
  <c r="M32" i="226" s="1"/>
  <c r="O19" i="226"/>
  <c r="O32" i="226" s="1"/>
  <c r="G19" i="226"/>
  <c r="G32" i="226" s="1"/>
  <c r="K19" i="226"/>
  <c r="K32" i="226" s="1"/>
  <c r="E19" i="226"/>
  <c r="J19" i="226"/>
  <c r="J32" i="226" s="1"/>
  <c r="P11" i="226"/>
  <c r="P24" i="226" s="1"/>
  <c r="G11" i="226"/>
  <c r="G24" i="226" s="1"/>
  <c r="E11" i="226"/>
  <c r="F11" i="226"/>
  <c r="F24" i="226" s="1"/>
  <c r="H11" i="226"/>
  <c r="H24" i="226" s="1"/>
  <c r="L11" i="226"/>
  <c r="L24" i="226" s="1"/>
  <c r="M11" i="226"/>
  <c r="M24" i="226" s="1"/>
  <c r="K11" i="226"/>
  <c r="K24" i="226" s="1"/>
  <c r="O11" i="226"/>
  <c r="O24" i="226" s="1"/>
  <c r="I11" i="226"/>
  <c r="I24" i="226" s="1"/>
  <c r="J11" i="226"/>
  <c r="J24" i="226" s="1"/>
  <c r="N15" i="226"/>
  <c r="N28" i="226" s="1"/>
  <c r="N19" i="226"/>
  <c r="N32" i="226" s="1"/>
  <c r="Q11" i="226" l="1"/>
  <c r="E24" i="226"/>
  <c r="Q24" i="226" s="1"/>
  <c r="Q19" i="226"/>
  <c r="E32" i="226"/>
  <c r="Q32" i="226" s="1"/>
  <c r="Q15" i="226"/>
  <c r="E28" i="226"/>
  <c r="Q28" i="226" s="1"/>
  <c r="E35" i="222" l="1"/>
  <c r="E14" i="222"/>
  <c r="A23" i="222" l="1"/>
  <c r="A22" i="222"/>
  <c r="A20" i="222"/>
  <c r="E36" i="222"/>
  <c r="E15" i="222"/>
  <c r="C16" i="222"/>
  <c r="E11" i="222"/>
  <c r="C12" i="222"/>
  <c r="E16" i="222" l="1"/>
  <c r="E10" i="222"/>
  <c r="E12" i="222" s="1"/>
  <c r="B30" i="222" l="1"/>
  <c r="C10" i="220"/>
  <c r="E16" i="219"/>
  <c r="D16" i="219"/>
  <c r="C16" i="219"/>
  <c r="B16" i="219"/>
  <c r="E20" i="219"/>
  <c r="D11" i="219"/>
  <c r="D8" i="219" s="1"/>
  <c r="D10" i="219"/>
  <c r="C18" i="221"/>
  <c r="C14" i="221"/>
  <c r="B14" i="221"/>
  <c r="C10" i="221"/>
  <c r="C8" i="221"/>
  <c r="C18" i="218"/>
  <c r="C14" i="218"/>
  <c r="B14" i="218"/>
  <c r="B12" i="218"/>
  <c r="C8" i="218"/>
  <c r="C18" i="220"/>
  <c r="C14" i="220"/>
  <c r="B14" i="220"/>
  <c r="B12" i="220"/>
  <c r="C8" i="220"/>
  <c r="B16" i="220" l="1"/>
  <c r="B20" i="220" s="1"/>
  <c r="C12" i="219"/>
  <c r="C14" i="219" s="1"/>
  <c r="E11" i="219"/>
  <c r="E8" i="219" s="1"/>
  <c r="E10" i="219"/>
  <c r="E12" i="219" s="1"/>
  <c r="C12" i="221"/>
  <c r="C16" i="221" s="1"/>
  <c r="C20" i="221" s="1"/>
  <c r="C18" i="219"/>
  <c r="B16" i="218"/>
  <c r="B20" i="218" s="1"/>
  <c r="C12" i="220"/>
  <c r="D12" i="219"/>
  <c r="D14" i="219" s="1"/>
  <c r="D18" i="219" s="1"/>
  <c r="C22" i="219"/>
  <c r="B12" i="219"/>
  <c r="B14" i="219" s="1"/>
  <c r="B18" i="219" s="1"/>
  <c r="D20" i="219"/>
  <c r="B12" i="221"/>
  <c r="B16" i="221" s="1"/>
  <c r="B20" i="221" s="1"/>
  <c r="C10" i="218"/>
  <c r="C12" i="218" s="1"/>
  <c r="C16" i="218" s="1"/>
  <c r="C20" i="218" s="1"/>
  <c r="C16" i="220" l="1"/>
  <c r="C20" i="220" s="1"/>
  <c r="E14" i="219"/>
  <c r="E18" i="219" s="1"/>
  <c r="E22" i="219" s="1"/>
  <c r="D22" i="219"/>
  <c r="B22" i="219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2.xml><?xml version="1.0" encoding="utf-8"?>
<comments xmlns="http://schemas.openxmlformats.org/spreadsheetml/2006/main">
  <authors>
    <author>Kelly Xu</author>
    <author>Puget Sound Energy</author>
  </authors>
  <commentList>
    <comment ref="B9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A11a report.</t>
        </r>
      </text>
    </comment>
    <comment ref="B137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System total based on system model run with four-year ending June 30, 2012. </t>
        </r>
      </text>
    </comment>
  </commentList>
</comments>
</file>

<file path=xl/sharedStrings.xml><?xml version="1.0" encoding="utf-8"?>
<sst xmlns="http://schemas.openxmlformats.org/spreadsheetml/2006/main" count="1049" uniqueCount="355">
  <si>
    <t>Residential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</si>
  <si>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</si>
  <si>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</si>
  <si>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</si>
  <si>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</si>
  <si>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</si>
  <si>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</si>
  <si>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</si>
  <si>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</si>
  <si>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</si>
  <si>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</si>
  <si>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</si>
  <si>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</si>
  <si>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</si>
  <si>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</si>
  <si>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</si>
  <si>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</si>
  <si>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Puget Sound Energy</t>
  </si>
  <si>
    <t>Test Year Customers</t>
  </si>
  <si>
    <t>Schedule 31</t>
  </si>
  <si>
    <t>Schedule 41</t>
  </si>
  <si>
    <t>Schedule 86</t>
  </si>
  <si>
    <t xml:space="preserve">Billing </t>
  </si>
  <si>
    <t>Target</t>
  </si>
  <si>
    <t>Description</t>
  </si>
  <si>
    <t>Units</t>
  </si>
  <si>
    <t>Determinants</t>
  </si>
  <si>
    <t>Rates</t>
  </si>
  <si>
    <t>Revenues</t>
  </si>
  <si>
    <t>Percent</t>
  </si>
  <si>
    <t>Basic Charge</t>
  </si>
  <si>
    <t>Bills</t>
  </si>
  <si>
    <t>Delivery Charge</t>
  </si>
  <si>
    <t>Therms</t>
  </si>
  <si>
    <t>Mantles</t>
  </si>
  <si>
    <t>Change</t>
  </si>
  <si>
    <t>Procurement Charge</t>
  </si>
  <si>
    <t>Demand</t>
  </si>
  <si>
    <t>Minimum Bill</t>
  </si>
  <si>
    <t>Demand Charge</t>
  </si>
  <si>
    <t>Delivery Charge:</t>
  </si>
  <si>
    <t>First 900 therms</t>
  </si>
  <si>
    <t>in minimum bills</t>
  </si>
  <si>
    <t>Next 4,100 therms</t>
  </si>
  <si>
    <t>All over 5,000 therms</t>
  </si>
  <si>
    <t>Total Volume</t>
  </si>
  <si>
    <t>Total</t>
  </si>
  <si>
    <t>Minimum Bills</t>
  </si>
  <si>
    <t>First 25,000 Therms</t>
  </si>
  <si>
    <t>Next 25,000 Therms</t>
  </si>
  <si>
    <t>All over 50,000 Therms</t>
  </si>
  <si>
    <t>Next 50,000 Therms</t>
  </si>
  <si>
    <t>First 1,000 therms</t>
  </si>
  <si>
    <t>All over 1,000 therms</t>
  </si>
  <si>
    <t xml:space="preserve"> </t>
  </si>
  <si>
    <t>Next 100,000 therms</t>
  </si>
  <si>
    <t>Next 300,000 therms</t>
  </si>
  <si>
    <t>All over 500,000 therms</t>
  </si>
  <si>
    <t>Check</t>
  </si>
  <si>
    <t>Schedule 86T</t>
  </si>
  <si>
    <t>Schedule 41T</t>
  </si>
  <si>
    <t>Contracts</t>
  </si>
  <si>
    <t>41T</t>
  </si>
  <si>
    <t>85T</t>
  </si>
  <si>
    <t>86T</t>
  </si>
  <si>
    <t>87T</t>
  </si>
  <si>
    <t>Interruptible</t>
  </si>
  <si>
    <t>Transportation</t>
  </si>
  <si>
    <t>Weather Normalization of Volume</t>
  </si>
  <si>
    <t>Rate Class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</si>
  <si>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</si>
  <si>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</si>
  <si>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</si>
  <si>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</si>
  <si>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</si>
  <si>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</si>
  <si>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</si>
  <si>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</si>
  <si>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</si>
  <si>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</si>
  <si>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</si>
  <si>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</si>
  <si>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</si>
  <si>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</si>
  <si>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</si>
  <si>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</si>
  <si>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</si>
  <si>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</si>
  <si>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</si>
  <si>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</si>
  <si>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</si>
  <si>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</si>
  <si>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</si>
  <si>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</si>
  <si>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</si>
  <si>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</si>
  <si>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</si>
  <si>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</si>
  <si>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</si>
  <si>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</si>
  <si>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</si>
  <si>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</si>
  <si>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</si>
  <si>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</si>
  <si>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</si>
  <si>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</si>
  <si>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</si>
  <si>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</si>
  <si>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</si>
  <si>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</si>
  <si>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</si>
  <si>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</si>
  <si>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</si>
  <si>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</si>
  <si>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</si>
  <si>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</si>
  <si>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</si>
  <si>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</si>
  <si>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</si>
  <si>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</si>
  <si>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</si>
  <si>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</si>
  <si>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</si>
  <si>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</si>
  <si>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</si>
  <si>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</si>
  <si>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</si>
  <si>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</si>
  <si>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</si>
  <si>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</si>
  <si>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</si>
  <si>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</si>
  <si>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</si>
  <si>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</si>
  <si>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</si>
  <si>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</si>
  <si>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</si>
  <si>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</si>
  <si>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</si>
  <si>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</si>
  <si>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</si>
  <si>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</si>
  <si>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</si>
  <si>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</si>
  <si>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</si>
  <si>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</si>
  <si>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SC</t>
  </si>
  <si>
    <t>(o)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</si>
  <si>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</si>
  <si>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</si>
  <si>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</si>
  <si>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</si>
  <si>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</si>
  <si>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</si>
  <si>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</si>
  <si>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</si>
  <si>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</si>
  <si>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</si>
  <si>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</si>
  <si>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</si>
  <si>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</si>
  <si>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Current</t>
  </si>
  <si>
    <t>Proposed</t>
  </si>
  <si>
    <t>Schedule 23</t>
  </si>
  <si>
    <t>Schedule 53</t>
  </si>
  <si>
    <t>Average</t>
  </si>
  <si>
    <t>16R</t>
  </si>
  <si>
    <t>C31</t>
  </si>
  <si>
    <t>C41</t>
  </si>
  <si>
    <t>C41T</t>
  </si>
  <si>
    <t>C85</t>
  </si>
  <si>
    <t>C85T</t>
  </si>
  <si>
    <t>C86</t>
  </si>
  <si>
    <t>C87</t>
  </si>
  <si>
    <t>C87T</t>
  </si>
  <si>
    <t>C98</t>
  </si>
  <si>
    <t>I31</t>
  </si>
  <si>
    <t>I41</t>
  </si>
  <si>
    <t>I41T</t>
  </si>
  <si>
    <t>I85</t>
  </si>
  <si>
    <t>I85T</t>
  </si>
  <si>
    <t>I86</t>
  </si>
  <si>
    <t>I86T</t>
  </si>
  <si>
    <t>I87</t>
  </si>
  <si>
    <t>I87T</t>
  </si>
  <si>
    <t>SC-99G</t>
  </si>
  <si>
    <t>Gas Decoupling Mechanism</t>
  </si>
  <si>
    <t>Schedule 31T</t>
  </si>
  <si>
    <t>(c) = Σ (f &amp; g)</t>
  </si>
  <si>
    <t>(d) = Σ (h &amp; i)</t>
  </si>
  <si>
    <t>(e) = Σ (j thru m)</t>
  </si>
  <si>
    <t xml:space="preserve">Natural Gas Customers by Rate Schedule </t>
  </si>
  <si>
    <t>C31T</t>
  </si>
  <si>
    <t>Commercial &amp; industrial (31,61)</t>
  </si>
  <si>
    <t>Trans. General Services (31T)</t>
  </si>
  <si>
    <t>Trans. interrupt with firm option (86T)</t>
  </si>
  <si>
    <t>Development of Monthly Allowed Delivery Revenue Per Customer</t>
  </si>
  <si>
    <t>31T</t>
  </si>
  <si>
    <t>Trans. - commercial</t>
  </si>
  <si>
    <t>Trans. General services (31T)</t>
  </si>
  <si>
    <t>Schedules 23 &amp; 53</t>
  </si>
  <si>
    <t>Schedules 31 &amp; 31T</t>
  </si>
  <si>
    <t>Schedules 41, 41T, 86 &amp; 86T</t>
  </si>
  <si>
    <t>% of Annual Total</t>
  </si>
  <si>
    <t>Sales</t>
  </si>
  <si>
    <t>Grand Total</t>
  </si>
  <si>
    <t>Current and Proposed Rates by Rate Schedule</t>
  </si>
  <si>
    <t xml:space="preserve">Difference </t>
  </si>
  <si>
    <t>Resulting</t>
  </si>
  <si>
    <t>$</t>
  </si>
  <si>
    <t>%</t>
  </si>
  <si>
    <t>Increase</t>
  </si>
  <si>
    <t>TARGET 23/53</t>
  </si>
  <si>
    <t>over (under)</t>
  </si>
  <si>
    <t>Gas Revenue (Schedule 101) (1)</t>
  </si>
  <si>
    <t>Total Revenues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</si>
  <si>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</si>
  <si>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</si>
  <si>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</si>
  <si>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</si>
  <si>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</si>
  <si>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</si>
  <si>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</si>
  <si>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</si>
  <si>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</si>
  <si>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</si>
  <si>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</si>
  <si>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</si>
  <si>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</si>
  <si>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</si>
  <si>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</si>
  <si>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</si>
  <si>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</si>
  <si>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</si>
  <si>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</si>
  <si>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</si>
  <si>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</si>
  <si>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</si>
  <si>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</si>
  <si>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</si>
  <si>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</si>
  <si>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</si>
  <si>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</si>
  <si>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</si>
  <si>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</si>
  <si>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</si>
  <si>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</si>
  <si>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</si>
  <si>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</si>
  <si>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</si>
  <si>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</si>
  <si>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</si>
  <si>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</si>
  <si>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</si>
  <si>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</si>
  <si>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</si>
  <si>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</si>
  <si>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</si>
  <si>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</si>
  <si>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</si>
  <si>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</si>
  <si>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</si>
  <si>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</si>
  <si>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</si>
  <si>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 xml:space="preserve">   Basic Charge Revenue</t>
  </si>
  <si>
    <t xml:space="preserve">   Minimum Charge Revenue</t>
  </si>
  <si>
    <t>% of (C(o):R(2))</t>
  </si>
  <si>
    <t>% of (C(o):R(6))</t>
  </si>
  <si>
    <t>% of (C(o):R(10))</t>
  </si>
  <si>
    <t>Conditioned &amp; Calendarized Volume Net of Restating Adjustments (Therms)</t>
  </si>
  <si>
    <t>Trans. General Services - commercial</t>
  </si>
  <si>
    <t>CDARS calendar therms plus Schedule 16 less adj</t>
  </si>
  <si>
    <t>CLX customer counts less 98 less adj</t>
  </si>
  <si>
    <t>Weather-Normalized Therm Sales (Oct15-Sep16)</t>
  </si>
  <si>
    <t>No.</t>
  </si>
  <si>
    <t>Schedules</t>
  </si>
  <si>
    <t>Line</t>
  </si>
  <si>
    <t>23 &amp; 53</t>
  </si>
  <si>
    <t>31 &amp; 31T</t>
  </si>
  <si>
    <t>41, 41T, 86 &amp; 86T</t>
  </si>
  <si>
    <t>Development of Allowed Delivery Revenue Per Customer</t>
  </si>
  <si>
    <t>Test Year Base Sales (therms)</t>
  </si>
  <si>
    <t>Total Proforma Delivery Revenue</t>
  </si>
  <si>
    <t>Net Proforma Delivery Revenue</t>
  </si>
  <si>
    <t>Test Year Delivery Revenue</t>
  </si>
  <si>
    <t>Annual Allowed Delivery Revenue Per Customer</t>
  </si>
  <si>
    <t>Volumetric Delivery Revenue Per Unit ($/therm)</t>
  </si>
  <si>
    <t>Allowed Delivery Revenue Per Customer</t>
  </si>
  <si>
    <t>Monthly Allowed Delivery Revenue Per Customer</t>
  </si>
  <si>
    <t>Development of Decoupled Revenue by Decoupling Group</t>
  </si>
  <si>
    <t>Total Basic &amp; Minimum Charge Revenue</t>
  </si>
  <si>
    <t>Development of Delivery Revenue Per Unit Rates ($/therm)</t>
  </si>
  <si>
    <t>Exhibit JAP-40</t>
  </si>
  <si>
    <t>UG-170034 WP</t>
  </si>
  <si>
    <t>JAP-42 Page 1</t>
  </si>
  <si>
    <t>JAP-42 Page 2</t>
  </si>
  <si>
    <t>31 &amp; 31T*</t>
  </si>
  <si>
    <t>41, 41T, 86 &amp; 86T*</t>
  </si>
  <si>
    <t>* Actual delivery revenue will be calculated using actual delivery rates.</t>
  </si>
  <si>
    <t>Total from data file</t>
  </si>
  <si>
    <t>Total less 98</t>
  </si>
  <si>
    <t>Data Source: Historic Customer Counts.xls</t>
  </si>
  <si>
    <t>Residential Rates</t>
  </si>
  <si>
    <t xml:space="preserve">  - Months per Year</t>
  </si>
  <si>
    <t>Annual Basic Charge Revenue</t>
  </si>
  <si>
    <t>Annual Allowed Revenue Per Customer</t>
  </si>
  <si>
    <t>Annual Revenue</t>
  </si>
  <si>
    <t>After-Tax Return Grossed Up For Taxes</t>
  </si>
  <si>
    <t>Allowance</t>
  </si>
  <si>
    <t>Allowance Per Therm</t>
  </si>
  <si>
    <t>Average Monthly Basic Charge</t>
  </si>
  <si>
    <t>Annual Average Basic  Charge Revenue</t>
  </si>
  <si>
    <t>Allowance Per Customer</t>
  </si>
  <si>
    <t>Non-Residential Rates (85/85T/87/87T)</t>
  </si>
  <si>
    <t>Sch 85/85T</t>
  </si>
  <si>
    <t>Sch 87/87T</t>
  </si>
  <si>
    <t>Annual "Allowed" Revenue Per Customer</t>
  </si>
  <si>
    <t>Non-Residential Rates (31/31T)</t>
  </si>
  <si>
    <t>Non-Residential Rates (41/41T/86/86T)</t>
  </si>
  <si>
    <t>PRO FORMA COST OF CAPITAL</t>
  </si>
  <si>
    <t>LINE</t>
  </si>
  <si>
    <t>PRO FORMA</t>
  </si>
  <si>
    <t>COST OF</t>
  </si>
  <si>
    <t>NO.</t>
  </si>
  <si>
    <t>DESCRIPTION</t>
  </si>
  <si>
    <t>CAPITAL %</t>
  </si>
  <si>
    <t>COST %</t>
  </si>
  <si>
    <t>CAPITAL</t>
  </si>
  <si>
    <t>EQUITY</t>
  </si>
  <si>
    <t>TOTAL AFTER TAX COST OF CAPITAL</t>
  </si>
  <si>
    <t>PUGET SOUND ENERGY-GAS</t>
  </si>
  <si>
    <t>CONVERSION FACTOR - GAS</t>
  </si>
  <si>
    <t>RATE</t>
  </si>
  <si>
    <t>BAD DEBTS</t>
  </si>
  <si>
    <t>ANNUAL FILING FEE</t>
  </si>
  <si>
    <t>SUM OF TAXES OTHER</t>
  </si>
  <si>
    <t>CONVERSION FACTOR EXCLUDING FEDERAL INCOME TAX ( 1 - LINE 5)</t>
  </si>
  <si>
    <t xml:space="preserve">CONVERSION FACTOR INCL FEDERAL INCOME TAX ( LINE 5 + LINE 8 ) </t>
  </si>
  <si>
    <t>After Tax Cost of Capital Grossed Up for Taxes</t>
  </si>
  <si>
    <t>SHORT TERM AND LONG TERM DEBT</t>
  </si>
  <si>
    <t>TOTAL COST OF CAPITAL</t>
  </si>
  <si>
    <t>AFTER TAX SHORT AND LONG TERM DEBT</t>
  </si>
  <si>
    <t>FOR THE TWELVE MONTHS ENDED SEPTEMBER 30, 2016</t>
  </si>
  <si>
    <t>Modifications</t>
  </si>
  <si>
    <t>New Facilities</t>
  </si>
  <si>
    <t>Annual Therm Per Customer</t>
  </si>
  <si>
    <t xml:space="preserve">Annual Therm Per Customer </t>
  </si>
  <si>
    <t>Annual Margin Revenue</t>
  </si>
  <si>
    <t>Number of Customers</t>
  </si>
  <si>
    <t>TAX REFORM FILING</t>
  </si>
  <si>
    <t>FEDERAL INCOME TAX ( LINE 7 * 21%)</t>
  </si>
  <si>
    <t>2017 Gas General Rate Case</t>
  </si>
  <si>
    <t>Test Year Ended September 2016</t>
  </si>
  <si>
    <t>Test Year Ended September 30, 2016</t>
  </si>
  <si>
    <t>2017 General Rate Case -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</si>
</sst>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0.000000"/>
    <numFmt numFmtId="168" formatCode="0.000%"/>
    <numFmt numFmtId="169" formatCode="_(&quot;$&quot;* #,##0.00000_);_(&quot;$&quot;* \(#,##0.00000\);_(&quot;$&quot;* &quot;-&quot;??_);_(@_)"/>
    <numFmt numFmtId="170" formatCode="&quot;$&quot;#,##0.00\ ;\(&quot;$&quot;#,##0.00\)"/>
    <numFmt numFmtId="171" formatCode="&quot;$&quot;#,##0\ ;\(&quot;$&quot;#,##0\)"/>
    <numFmt numFmtId="172" formatCode="&quot;$&quot;#,##0.00000"/>
    <numFmt numFmtId="173" formatCode="0.0%"/>
    <numFmt numFmtId="174" formatCode="&quot;$&quot;#,##0.00000\ ;\(&quot;$&quot;#,##0.00000\)"/>
    <numFmt numFmtId="175" formatCode="&quot;$&quot;#,##0.0000\ ;\(&quot;$&quot;#,##0.0000\)"/>
    <numFmt numFmtId="176" formatCode="0.0000"/>
    <numFmt numFmtId="177" formatCode="0.00000"/>
    <numFmt numFmtId="178" formatCode="&quot;$&quot;#,##0"/>
    <numFmt numFmtId="179" formatCode="_(* #,##0.000000_);_(* \(#,##0.000000\);_(* &quot;-&quot;??_);_(@_)"/>
    <numFmt numFmtId="180" formatCode="0.0000%"/>
    <numFmt numFmtId="181" formatCode="#,##0.00000"/>
    <numFmt numFmtId="182" formatCode="#,##0.0"/>
    <numFmt numFmtId="183" formatCode="&quot;$&quot;#,##0.000\ ;\(&quot;$&quot;#,##0.000\)"/>
    <numFmt numFmtId="184" formatCode="_(* #,##0.0_);_(* \(#,##0.0\);_(* &quot;-&quot;_);_(@_)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color indexed="21"/>
      <name val="Arial"/>
      <family val="2"/>
    </font>
    <font>
      <sz val="11"/>
      <color indexed="12"/>
      <name val="Calibri"/>
      <family val="2"/>
      <scheme val="minor"/>
    </font>
    <font>
      <sz val="10"/>
      <color rgb="FF0000FF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8080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indexed="21"/>
      <name val="Arial"/>
      <family val="2"/>
    </font>
    <font>
      <sz val="10"/>
      <color indexed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11"/>
      <color rgb="FF00808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0" fontId="1" fillId="0" borderId="0"/>
    <xf numFmtId="0" fontId="1" fillId="0" borderId="0" applyNumberFormat="0" applyBorder="0" applyAlignment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184" fontId="1" fillId="0" borderId="0">
      <alignment horizontal="left" wrapText="1"/>
    </xf>
  </cellStyleXfs>
  <cellXfs count="663">
    <xf numFmtId="0" fontId="0" fillId="0" borderId="0" xfId="0"/>
    <xf numFmtId="3" fontId="5" fillId="0" borderId="0" xfId="0" applyNumberFormat="1" applyFo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5" fillId="0" borderId="4" xfId="0" applyFont="1" applyFill="1" applyBorder="1"/>
    <xf numFmtId="44" fontId="4" fillId="0" borderId="0" xfId="0" applyNumberFormat="1" applyFont="1" applyFill="1"/>
    <xf numFmtId="43" fontId="4" fillId="0" borderId="0" xfId="0" applyNumberFormat="1" applyFont="1" applyFill="1"/>
    <xf numFmtId="0" fontId="2" fillId="0" borderId="0" xfId="0" applyFont="1" applyFill="1" applyAlignment="1"/>
    <xf numFmtId="164" fontId="5" fillId="0" borderId="0" xfId="0" applyNumberFormat="1" applyFont="1" applyFill="1" applyBorder="1"/>
    <xf numFmtId="41" fontId="2" fillId="0" borderId="4" xfId="0" applyNumberFormat="1" applyFont="1" applyFill="1" applyBorder="1" applyAlignment="1">
      <alignment horizontal="center" vertical="center" wrapText="1"/>
    </xf>
    <xf numFmtId="166" fontId="2" fillId="0" borderId="4" xfId="0" applyNumberFormat="1" applyFont="1" applyFill="1" applyBorder="1" applyAlignment="1">
      <alignment horizontal="center" vertical="center" wrapText="1"/>
    </xf>
    <xf numFmtId="0" fontId="15" fillId="0" borderId="0" xfId="0" applyFont="1" applyFill="1"/>
    <xf numFmtId="3" fontId="5" fillId="0" borderId="0" xfId="0" applyNumberFormat="1" applyFont="1" applyFill="1"/>
    <xf numFmtId="0" fontId="1" fillId="0" borderId="0" xfId="0" quotePrefix="1" applyFont="1" applyFill="1" applyAlignment="1">
      <alignment horizontal="center"/>
    </xf>
    <xf numFmtId="10" fontId="5" fillId="0" borderId="0" xfId="0" applyNumberFormat="1" applyFont="1" applyFill="1"/>
    <xf numFmtId="44" fontId="5" fillId="0" borderId="0" xfId="0" applyNumberFormat="1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0" fontId="16" fillId="0" borderId="0" xfId="0" applyFont="1" applyFill="1"/>
    <xf numFmtId="165" fontId="5" fillId="0" borderId="0" xfId="0" applyNumberFormat="1" applyFont="1" applyFill="1" applyBorder="1"/>
    <xf numFmtId="165" fontId="5" fillId="0" borderId="3" xfId="0" applyNumberFormat="1" applyFont="1" applyFill="1" applyBorder="1"/>
    <xf numFmtId="44" fontId="5" fillId="0" borderId="0" xfId="0" applyNumberFormat="1" applyFont="1" applyFill="1"/>
    <xf numFmtId="10" fontId="1" fillId="0" borderId="0" xfId="0" applyNumberFormat="1" applyFont="1" applyFill="1"/>
    <xf numFmtId="0" fontId="6" fillId="0" borderId="0" xfId="0" applyFont="1" applyFill="1" applyAlignment="1">
      <alignment horizontal="left"/>
    </xf>
    <xf numFmtId="0" fontId="5" fillId="0" borderId="0" xfId="0" quotePrefix="1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1" fillId="0" borderId="0" xfId="0" applyFont="1" applyFill="1" applyAlignment="1">
      <alignment horizontal="center"/>
    </xf>
    <xf numFmtId="0" fontId="4" fillId="0" borderId="0" xfId="0" applyFont="1" applyFill="1" applyBorder="1"/>
    <xf numFmtId="0" fontId="5" fillId="0" borderId="0" xfId="0" applyFont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65" fontId="5" fillId="0" borderId="0" xfId="0" applyNumberFormat="1" applyFont="1" applyFill="1"/>
    <xf numFmtId="0" fontId="5" fillId="0" borderId="0" xfId="0" applyFont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165" fontId="14" fillId="0" borderId="0" xfId="0" applyNumberFormat="1" applyFont="1" applyFill="1"/>
    <xf numFmtId="165" fontId="14" fillId="0" borderId="0" xfId="0" applyNumberFormat="1" applyFont="1" applyFill="1" applyBorder="1"/>
    <xf numFmtId="0" fontId="2" fillId="0" borderId="0" xfId="0" applyNumberFormat="1" applyFont="1" applyFill="1" applyAlignment="1">
      <alignment horizontal="center"/>
    </xf>
    <xf numFmtId="0" fontId="5" fillId="0" borderId="4" xfId="0" applyNumberFormat="1" applyFont="1" applyFill="1" applyBorder="1" applyAlignment="1"/>
    <xf numFmtId="0" fontId="14" fillId="0" borderId="0" xfId="0" applyFont="1" applyFill="1"/>
    <xf numFmtId="164" fontId="14" fillId="0" borderId="0" xfId="0" applyNumberFormat="1" applyFont="1" applyFill="1" applyBorder="1"/>
    <xf numFmtId="44" fontId="5" fillId="0" borderId="3" xfId="0" applyNumberFormat="1" applyFont="1" applyFill="1" applyBorder="1"/>
    <xf numFmtId="44" fontId="14" fillId="0" borderId="0" xfId="0" applyNumberFormat="1" applyFont="1" applyFill="1" applyAlignment="1">
      <alignment horizontal="center"/>
    </xf>
    <xf numFmtId="0" fontId="5" fillId="0" borderId="4" xfId="0" applyFont="1" applyFill="1" applyBorder="1" applyAlignment="1"/>
    <xf numFmtId="44" fontId="4" fillId="0" borderId="0" xfId="0" applyNumberFormat="1" applyFont="1"/>
    <xf numFmtId="41" fontId="2" fillId="0" borderId="0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/>
    </xf>
    <xf numFmtId="169" fontId="5" fillId="0" borderId="1" xfId="0" applyNumberFormat="1" applyFont="1" applyFill="1" applyBorder="1"/>
    <xf numFmtId="164" fontId="0" fillId="0" borderId="0" xfId="0" applyNumberFormat="1" applyFont="1"/>
    <xf numFmtId="0" fontId="0" fillId="0" borderId="0" xfId="0" applyAlignment="1">
      <alignment horizontal="left"/>
    </xf>
    <xf numFmtId="3" fontId="0" fillId="0" borderId="0" xfId="0" applyNumberFormat="1"/>
    <xf numFmtId="173" fontId="1" fillId="0" borderId="0" xfId="0" applyNumberFormat="1" applyFont="1" applyFill="1" applyBorder="1"/>
    <xf numFmtId="0" fontId="1" fillId="0" borderId="0" xfId="0" applyFont="1" applyAlignment="1">
      <alignment horizontal="centerContinuous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/>
    <xf numFmtId="3" fontId="8" fillId="0" borderId="0" xfId="0" applyNumberFormat="1" applyFont="1" applyFill="1" applyBorder="1"/>
    <xf numFmtId="167" fontId="3" fillId="0" borderId="0" xfId="0" applyNumberFormat="1" applyFont="1" applyFill="1"/>
    <xf numFmtId="176" fontId="3" fillId="0" borderId="0" xfId="0" applyNumberFormat="1" applyFont="1" applyFill="1"/>
    <xf numFmtId="177" fontId="3" fillId="0" borderId="0" xfId="0" applyNumberFormat="1" applyFont="1" applyFill="1" applyBorder="1"/>
    <xf numFmtId="167" fontId="3" fillId="0" borderId="0" xfId="0" applyNumberFormat="1" applyFont="1" applyFill="1" applyBorder="1"/>
    <xf numFmtId="9" fontId="1" fillId="0" borderId="0" xfId="0" applyNumberFormat="1" applyFont="1" applyFill="1" applyBorder="1"/>
    <xf numFmtId="0" fontId="1" fillId="0" borderId="0" xfId="0" applyFont="1" applyBorder="1" applyAlignment="1">
      <alignment horizontal="left"/>
    </xf>
    <xf numFmtId="3" fontId="1" fillId="0" borderId="0" xfId="0" applyNumberFormat="1" applyFont="1" applyFill="1" applyAlignment="1"/>
    <xf numFmtId="3" fontId="7" fillId="0" borderId="0" xfId="0" applyNumberFormat="1" applyFont="1" applyBorder="1"/>
    <xf numFmtId="170" fontId="1" fillId="0" borderId="0" xfId="0" applyNumberFormat="1" applyFont="1" applyBorder="1"/>
    <xf numFmtId="171" fontId="1" fillId="0" borderId="0" xfId="0" applyNumberFormat="1" applyFont="1" applyAlignment="1">
      <alignment horizontal="right"/>
    </xf>
    <xf numFmtId="0" fontId="1" fillId="0" borderId="0" xfId="0" applyFont="1"/>
    <xf numFmtId="168" fontId="1" fillId="0" borderId="0" xfId="0" applyNumberFormat="1" applyFont="1" applyAlignment="1">
      <alignment horizontal="left"/>
    </xf>
    <xf numFmtId="0" fontId="1" fillId="0" borderId="0" xfId="0" applyFont="1" applyBorder="1"/>
    <xf numFmtId="172" fontId="1" fillId="0" borderId="0" xfId="0" applyNumberFormat="1" applyFont="1"/>
    <xf numFmtId="3" fontId="1" fillId="0" borderId="0" xfId="0" applyNumberFormat="1" applyFont="1" applyBorder="1"/>
    <xf numFmtId="3" fontId="14" fillId="0" borderId="0" xfId="0" applyNumberFormat="1" applyFont="1" applyFill="1" applyBorder="1"/>
    <xf numFmtId="3" fontId="1" fillId="0" borderId="0" xfId="0" applyNumberFormat="1" applyFont="1" applyFill="1" applyBorder="1"/>
    <xf numFmtId="169" fontId="22" fillId="0" borderId="0" xfId="0" applyNumberFormat="1" applyFont="1" applyFill="1"/>
    <xf numFmtId="178" fontId="1" fillId="0" borderId="0" xfId="0" applyNumberFormat="1" applyFont="1"/>
    <xf numFmtId="0" fontId="1" fillId="0" borderId="0" xfId="0" applyFont="1" applyFill="1" applyBorder="1"/>
    <xf numFmtId="0" fontId="1" fillId="0" borderId="0" xfId="0" applyFont="1" applyFill="1"/>
    <xf numFmtId="3" fontId="1" fillId="0" borderId="0" xfId="0" applyNumberFormat="1" applyFont="1" applyFill="1"/>
    <xf numFmtId="173" fontId="1" fillId="0" borderId="0" xfId="0" applyNumberFormat="1" applyFont="1"/>
    <xf numFmtId="0" fontId="2" fillId="0" borderId="0" xfId="0" applyFont="1"/>
    <xf numFmtId="3" fontId="1" fillId="0" borderId="0" xfId="0" applyNumberFormat="1" applyFont="1"/>
    <xf numFmtId="178" fontId="1" fillId="0" borderId="0" xfId="0" applyNumberFormat="1" applyFont="1" applyFill="1"/>
    <xf numFmtId="168" fontId="1" fillId="0" borderId="0" xfId="0" applyNumberFormat="1" applyFont="1"/>
    <xf numFmtId="178" fontId="1" fillId="0" borderId="0" xfId="0" applyNumberFormat="1" applyFont="1" applyAlignment="1">
      <alignment horizontal="left"/>
    </xf>
    <xf numFmtId="3" fontId="1" fillId="0" borderId="21" xfId="0" applyNumberFormat="1" applyFont="1" applyBorder="1"/>
    <xf numFmtId="170" fontId="1" fillId="0" borderId="0" xfId="0" applyNumberFormat="1" applyFont="1"/>
    <xf numFmtId="168" fontId="1" fillId="0" borderId="0" xfId="0" applyNumberFormat="1" applyFont="1" applyBorder="1" applyAlignment="1">
      <alignment horizontal="right"/>
    </xf>
    <xf numFmtId="168" fontId="1" fillId="0" borderId="0" xfId="0" applyNumberFormat="1" applyFont="1" applyAlignment="1">
      <alignment horizontal="right"/>
    </xf>
    <xf numFmtId="174" fontId="1" fillId="0" borderId="0" xfId="0" applyNumberFormat="1" applyFont="1"/>
    <xf numFmtId="170" fontId="1" fillId="0" borderId="0" xfId="0" applyNumberFormat="1" applyFont="1" applyFill="1"/>
    <xf numFmtId="0" fontId="1" fillId="0" borderId="0" xfId="1" applyFont="1"/>
    <xf numFmtId="0" fontId="2" fillId="0" borderId="0" xfId="1" applyFont="1" applyAlignment="1">
      <alignment horizontal="centerContinuous"/>
    </xf>
    <xf numFmtId="0" fontId="1" fillId="0" borderId="0" xfId="1" applyFont="1" applyFill="1" applyAlignment="1">
      <alignment horizontal="centerContinuous"/>
    </xf>
    <xf numFmtId="3" fontId="1" fillId="0" borderId="0" xfId="1" applyNumberFormat="1" applyFont="1" applyBorder="1" applyAlignment="1">
      <alignment horizontal="centerContinuous"/>
    </xf>
    <xf numFmtId="0" fontId="1" fillId="0" borderId="0" xfId="1" applyFont="1" applyAlignment="1">
      <alignment horizontal="centerContinuous"/>
    </xf>
    <xf numFmtId="170" fontId="1" fillId="0" borderId="0" xfId="1" applyNumberFormat="1" applyFont="1" applyAlignment="1">
      <alignment horizontal="centerContinuous"/>
    </xf>
    <xf numFmtId="170" fontId="1" fillId="0" borderId="0" xfId="1" applyNumberFormat="1" applyFont="1" applyBorder="1" applyAlignment="1">
      <alignment horizontal="centerContinuous"/>
    </xf>
    <xf numFmtId="171" fontId="1" fillId="0" borderId="0" xfId="1" applyNumberFormat="1" applyFont="1" applyAlignment="1">
      <alignment horizontal="centerContinuous"/>
    </xf>
    <xf numFmtId="172" fontId="1" fillId="0" borderId="0" xfId="1" applyNumberFormat="1" applyFont="1" applyAlignment="1">
      <alignment horizontal="centerContinuous"/>
    </xf>
    <xf numFmtId="0" fontId="2" fillId="0" borderId="0" xfId="1" applyFont="1" applyFill="1" applyAlignment="1">
      <alignment horizontal="centerContinuous"/>
    </xf>
    <xf numFmtId="0" fontId="17" fillId="0" borderId="0" xfId="1" applyFont="1" applyAlignment="1">
      <alignment horizontal="centerContinuous"/>
    </xf>
    <xf numFmtId="0" fontId="2" fillId="0" borderId="0" xfId="2" applyFont="1" applyAlignment="1">
      <alignment horizontal="centerContinuous"/>
    </xf>
    <xf numFmtId="171" fontId="1" fillId="0" borderId="0" xfId="1" applyNumberFormat="1" applyFont="1" applyBorder="1" applyAlignment="1">
      <alignment horizontal="centerContinuous"/>
    </xf>
    <xf numFmtId="0" fontId="1" fillId="0" borderId="0" xfId="1" applyFont="1" applyBorder="1" applyAlignment="1">
      <alignment horizontal="centerContinuous"/>
    </xf>
    <xf numFmtId="0" fontId="2" fillId="0" borderId="0" xfId="1" applyFont="1"/>
    <xf numFmtId="0" fontId="1" fillId="0" borderId="0" xfId="1" applyFont="1" applyFill="1"/>
    <xf numFmtId="3" fontId="1" fillId="0" borderId="0" xfId="1" applyNumberFormat="1" applyFont="1" applyBorder="1"/>
    <xf numFmtId="170" fontId="1" fillId="0" borderId="0" xfId="1" applyNumberFormat="1" applyFont="1"/>
    <xf numFmtId="170" fontId="1" fillId="0" borderId="0" xfId="1" applyNumberFormat="1" applyFont="1" applyBorder="1"/>
    <xf numFmtId="171" fontId="1" fillId="0" borderId="0" xfId="1" applyNumberFormat="1" applyFont="1" applyAlignment="1">
      <alignment horizontal="right"/>
    </xf>
    <xf numFmtId="171" fontId="1" fillId="0" borderId="0" xfId="1" applyNumberFormat="1" applyFont="1" applyBorder="1" applyAlignment="1">
      <alignment horizontal="right"/>
    </xf>
    <xf numFmtId="0" fontId="1" fillId="0" borderId="0" xfId="1" applyFont="1" applyBorder="1"/>
    <xf numFmtId="172" fontId="1" fillId="0" borderId="0" xfId="1" applyNumberFormat="1" applyFont="1"/>
    <xf numFmtId="0" fontId="1" fillId="0" borderId="12" xfId="1" applyFont="1" applyBorder="1" applyAlignment="1">
      <alignment horizontal="center"/>
    </xf>
    <xf numFmtId="0" fontId="1" fillId="0" borderId="21" xfId="1" applyFont="1" applyBorder="1" applyAlignment="1">
      <alignment horizontal="center"/>
    </xf>
    <xf numFmtId="0" fontId="1" fillId="0" borderId="21" xfId="1" applyFont="1" applyFill="1" applyBorder="1" applyAlignment="1">
      <alignment horizontal="center"/>
    </xf>
    <xf numFmtId="0" fontId="1" fillId="0" borderId="1" xfId="1" applyFont="1" applyFill="1" applyBorder="1" applyAlignment="1">
      <alignment horizontal="centerContinuous"/>
    </xf>
    <xf numFmtId="170" fontId="1" fillId="0" borderId="1" xfId="1" applyNumberFormat="1" applyFont="1" applyBorder="1" applyAlignment="1">
      <alignment horizontal="centerContinuous"/>
    </xf>
    <xf numFmtId="0" fontId="1" fillId="0" borderId="21" xfId="1" applyFont="1" applyBorder="1" applyAlignment="1">
      <alignment horizontal="left"/>
    </xf>
    <xf numFmtId="0" fontId="1" fillId="0" borderId="1" xfId="1" applyFont="1" applyBorder="1" applyAlignment="1">
      <alignment horizontal="centerContinuous"/>
    </xf>
    <xf numFmtId="170" fontId="1" fillId="0" borderId="21" xfId="1" applyNumberFormat="1" applyFont="1" applyBorder="1" applyAlignment="1">
      <alignment horizontal="left"/>
    </xf>
    <xf numFmtId="170" fontId="1" fillId="0" borderId="13" xfId="1" applyNumberFormat="1" applyFont="1" applyBorder="1" applyAlignment="1">
      <alignment horizontal="centerContinuous"/>
    </xf>
    <xf numFmtId="170" fontId="1" fillId="0" borderId="0" xfId="1" applyNumberFormat="1" applyFont="1" applyBorder="1" applyAlignment="1">
      <alignment horizontal="left"/>
    </xf>
    <xf numFmtId="0" fontId="1" fillId="0" borderId="0" xfId="2" applyBorder="1" applyAlignment="1">
      <alignment horizontal="center"/>
    </xf>
    <xf numFmtId="172" fontId="1" fillId="0" borderId="0" xfId="1" applyNumberFormat="1" applyFont="1" applyBorder="1" applyAlignment="1">
      <alignment horizontal="center"/>
    </xf>
    <xf numFmtId="0" fontId="1" fillId="0" borderId="14" xfId="1" applyFont="1" applyBorder="1" applyAlignment="1">
      <alignment horizontal="center"/>
    </xf>
    <xf numFmtId="0" fontId="1" fillId="0" borderId="4" xfId="1" applyFont="1" applyBorder="1" applyAlignment="1">
      <alignment horizontal="center"/>
    </xf>
    <xf numFmtId="0" fontId="1" fillId="0" borderId="4" xfId="1" applyFont="1" applyFill="1" applyBorder="1" applyAlignment="1">
      <alignment horizontal="center"/>
    </xf>
    <xf numFmtId="170" fontId="1" fillId="0" borderId="4" xfId="1" applyNumberFormat="1" applyFont="1" applyBorder="1" applyAlignment="1">
      <alignment horizontal="center"/>
    </xf>
    <xf numFmtId="168" fontId="1" fillId="0" borderId="15" xfId="1" applyNumberFormat="1" applyFont="1" applyBorder="1" applyAlignment="1">
      <alignment horizontal="center"/>
    </xf>
    <xf numFmtId="168" fontId="1" fillId="0" borderId="0" xfId="1" applyNumberFormat="1" applyFont="1" applyBorder="1" applyAlignment="1">
      <alignment horizontal="center"/>
    </xf>
    <xf numFmtId="0" fontId="1" fillId="0" borderId="4" xfId="2" applyBorder="1" applyAlignment="1">
      <alignment horizontal="center"/>
    </xf>
    <xf numFmtId="172" fontId="1" fillId="0" borderId="4" xfId="1" applyNumberFormat="1" applyFont="1" applyBorder="1" applyAlignment="1">
      <alignment horizontal="center"/>
    </xf>
    <xf numFmtId="0" fontId="1" fillId="0" borderId="0" xfId="1" applyFont="1" applyFill="1" applyBorder="1"/>
    <xf numFmtId="0" fontId="2" fillId="0" borderId="16" xfId="1" applyFont="1" applyBorder="1" applyProtection="1">
      <protection locked="0"/>
    </xf>
    <xf numFmtId="0" fontId="2" fillId="0" borderId="21" xfId="1" applyFont="1" applyBorder="1" applyProtection="1">
      <protection locked="0"/>
    </xf>
    <xf numFmtId="0" fontId="1" fillId="0" borderId="21" xfId="1" applyFont="1" applyFill="1" applyBorder="1"/>
    <xf numFmtId="0" fontId="1" fillId="0" borderId="21" xfId="1" applyFont="1" applyBorder="1"/>
    <xf numFmtId="3" fontId="1" fillId="0" borderId="21" xfId="1" applyNumberFormat="1" applyFont="1" applyBorder="1"/>
    <xf numFmtId="171" fontId="1" fillId="0" borderId="21" xfId="1" applyNumberFormat="1" applyFont="1" applyBorder="1"/>
    <xf numFmtId="173" fontId="1" fillId="0" borderId="17" xfId="3" applyNumberFormat="1" applyFont="1" applyBorder="1" applyAlignment="1">
      <alignment horizontal="right"/>
    </xf>
    <xf numFmtId="0" fontId="1" fillId="0" borderId="18" xfId="1" applyFont="1" applyBorder="1"/>
    <xf numFmtId="3" fontId="1" fillId="0" borderId="0" xfId="1" applyNumberFormat="1" applyFont="1" applyBorder="1" applyProtection="1">
      <protection locked="0"/>
    </xf>
    <xf numFmtId="171" fontId="1" fillId="0" borderId="0" xfId="1" applyNumberFormat="1" applyFont="1" applyBorder="1"/>
    <xf numFmtId="173" fontId="1" fillId="0" borderId="19" xfId="3" applyNumberFormat="1" applyFont="1" applyBorder="1" applyAlignment="1">
      <alignment horizontal="right"/>
    </xf>
    <xf numFmtId="0" fontId="1" fillId="0" borderId="20" xfId="1" applyFont="1" applyBorder="1" applyAlignment="1">
      <alignment horizontal="center"/>
    </xf>
    <xf numFmtId="0" fontId="1" fillId="0" borderId="18" xfId="1" applyFont="1" applyFill="1" applyBorder="1" applyProtection="1">
      <protection locked="0"/>
    </xf>
    <xf numFmtId="0" fontId="1" fillId="0" borderId="0" xfId="1" applyFont="1" applyFill="1" applyBorder="1" applyProtection="1">
      <protection locked="0"/>
    </xf>
    <xf numFmtId="3" fontId="14" fillId="0" borderId="0" xfId="1" applyNumberFormat="1" applyFont="1" applyFill="1" applyBorder="1"/>
    <xf numFmtId="170" fontId="14" fillId="0" borderId="0" xfId="1" applyNumberFormat="1" applyFont="1" applyFill="1" applyBorder="1"/>
    <xf numFmtId="170" fontId="9" fillId="0" borderId="0" xfId="1" applyNumberFormat="1" applyFont="1" applyFill="1" applyBorder="1"/>
    <xf numFmtId="173" fontId="1" fillId="0" borderId="19" xfId="3" applyNumberFormat="1" applyFont="1" applyBorder="1"/>
    <xf numFmtId="171" fontId="7" fillId="0" borderId="5" xfId="1" applyNumberFormat="1" applyFont="1" applyFill="1" applyBorder="1" applyAlignment="1">
      <alignment horizontal="center"/>
    </xf>
    <xf numFmtId="168" fontId="1" fillId="0" borderId="0" xfId="3" applyNumberFormat="1" applyFont="1" applyBorder="1"/>
    <xf numFmtId="3" fontId="14" fillId="0" borderId="0" xfId="1" applyNumberFormat="1" applyFont="1" applyBorder="1"/>
    <xf numFmtId="174" fontId="14" fillId="0" borderId="0" xfId="1" applyNumberFormat="1" applyFont="1" applyFill="1" applyBorder="1"/>
    <xf numFmtId="174" fontId="1" fillId="0" borderId="0" xfId="1" applyNumberFormat="1" applyFont="1" applyFill="1" applyBorder="1"/>
    <xf numFmtId="171" fontId="1" fillId="0" borderId="5" xfId="1" applyNumberFormat="1" applyFont="1" applyBorder="1" applyAlignment="1">
      <alignment horizontal="center"/>
    </xf>
    <xf numFmtId="0" fontId="2" fillId="0" borderId="18" xfId="1" applyFont="1" applyBorder="1"/>
    <xf numFmtId="0" fontId="1" fillId="0" borderId="0" xfId="1" applyFont="1" applyBorder="1" applyProtection="1">
      <protection locked="0"/>
    </xf>
    <xf numFmtId="3" fontId="1" fillId="0" borderId="0" xfId="1" applyNumberFormat="1" applyFont="1" applyFill="1" applyBorder="1"/>
    <xf numFmtId="0" fontId="14" fillId="0" borderId="0" xfId="1" applyFont="1" applyFill="1" applyBorder="1"/>
    <xf numFmtId="173" fontId="1" fillId="0" borderId="17" xfId="3" applyNumberFormat="1" applyFont="1" applyBorder="1"/>
    <xf numFmtId="171" fontId="1" fillId="0" borderId="6" xfId="1" applyNumberFormat="1" applyFont="1" applyBorder="1" applyAlignment="1">
      <alignment horizontal="center"/>
    </xf>
    <xf numFmtId="172" fontId="1" fillId="0" borderId="0" xfId="1" applyNumberFormat="1" applyFont="1" applyFill="1" applyBorder="1" applyAlignment="1">
      <alignment horizontal="center"/>
    </xf>
    <xf numFmtId="0" fontId="2" fillId="0" borderId="0" xfId="1" applyFont="1" applyBorder="1"/>
    <xf numFmtId="171" fontId="2" fillId="0" borderId="0" xfId="1" applyNumberFormat="1" applyFont="1" applyBorder="1"/>
    <xf numFmtId="9" fontId="1" fillId="0" borderId="0" xfId="3" applyFont="1" applyBorder="1" applyAlignment="1">
      <alignment horizontal="center"/>
    </xf>
    <xf numFmtId="172" fontId="1" fillId="0" borderId="0" xfId="1" applyNumberFormat="1" applyFont="1" applyBorder="1"/>
    <xf numFmtId="180" fontId="3" fillId="0" borderId="2" xfId="3" applyNumberFormat="1" applyFont="1" applyFill="1" applyBorder="1" applyAlignment="1">
      <alignment horizontal="center"/>
    </xf>
    <xf numFmtId="0" fontId="1" fillId="0" borderId="0" xfId="1" applyFont="1" applyBorder="1" applyAlignment="1">
      <alignment horizontal="center"/>
    </xf>
    <xf numFmtId="180" fontId="3" fillId="0" borderId="0" xfId="3" applyNumberFormat="1" applyFont="1" applyFill="1" applyBorder="1" applyAlignment="1">
      <alignment horizontal="center"/>
    </xf>
    <xf numFmtId="181" fontId="1" fillId="0" borderId="0" xfId="1" applyNumberFormat="1" applyFont="1" applyFill="1" applyBorder="1"/>
    <xf numFmtId="0" fontId="1" fillId="0" borderId="18" xfId="1" applyFont="1" applyBorder="1" applyProtection="1">
      <protection locked="0"/>
    </xf>
    <xf numFmtId="3" fontId="3" fillId="0" borderId="0" xfId="1" applyNumberFormat="1" applyFont="1" applyBorder="1"/>
    <xf numFmtId="174" fontId="1" fillId="0" borderId="0" xfId="1" applyNumberFormat="1" applyFont="1"/>
    <xf numFmtId="3" fontId="3" fillId="0" borderId="0" xfId="1" applyNumberFormat="1" applyFont="1" applyFill="1" applyBorder="1"/>
    <xf numFmtId="171" fontId="1" fillId="0" borderId="0" xfId="1" applyNumberFormat="1" applyFont="1" applyFill="1" applyBorder="1"/>
    <xf numFmtId="171" fontId="1" fillId="0" borderId="0" xfId="4" applyNumberFormat="1" applyFont="1" applyBorder="1"/>
    <xf numFmtId="0" fontId="1" fillId="0" borderId="14" xfId="1" applyFont="1" applyFill="1" applyBorder="1"/>
    <xf numFmtId="0" fontId="1" fillId="0" borderId="4" xfId="1" applyFont="1" applyFill="1" applyBorder="1"/>
    <xf numFmtId="171" fontId="1" fillId="0" borderId="4" xfId="1" applyNumberFormat="1" applyFont="1" applyFill="1" applyBorder="1"/>
    <xf numFmtId="3" fontId="1" fillId="0" borderId="4" xfId="1" applyNumberFormat="1" applyFont="1" applyFill="1" applyBorder="1"/>
    <xf numFmtId="173" fontId="1" fillId="0" borderId="15" xfId="3" applyNumberFormat="1" applyFont="1" applyFill="1" applyBorder="1"/>
    <xf numFmtId="171" fontId="1" fillId="0" borderId="0" xfId="1" applyNumberFormat="1" applyFont="1" applyFill="1"/>
    <xf numFmtId="173" fontId="1" fillId="0" borderId="0" xfId="3" applyNumberFormat="1" applyFont="1" applyFill="1" applyBorder="1"/>
    <xf numFmtId="0" fontId="2" fillId="0" borderId="16" xfId="1" applyFont="1" applyFill="1" applyBorder="1" applyProtection="1">
      <protection locked="0"/>
    </xf>
    <xf numFmtId="0" fontId="2" fillId="0" borderId="21" xfId="1" applyFont="1" applyFill="1" applyBorder="1" applyProtection="1">
      <protection locked="0"/>
    </xf>
    <xf numFmtId="0" fontId="18" fillId="0" borderId="21" xfId="1" applyFont="1" applyFill="1" applyBorder="1"/>
    <xf numFmtId="171" fontId="18" fillId="0" borderId="21" xfId="1" applyNumberFormat="1" applyFont="1" applyBorder="1"/>
    <xf numFmtId="0" fontId="1" fillId="0" borderId="18" xfId="1" applyFont="1" applyFill="1" applyBorder="1"/>
    <xf numFmtId="3" fontId="1" fillId="0" borderId="0" xfId="1" applyNumberFormat="1" applyFont="1" applyFill="1" applyBorder="1" applyProtection="1">
      <protection locked="0"/>
    </xf>
    <xf numFmtId="173" fontId="1" fillId="0" borderId="19" xfId="3" applyNumberFormat="1" applyFont="1" applyFill="1" applyBorder="1" applyAlignment="1">
      <alignment horizontal="right"/>
    </xf>
    <xf numFmtId="171" fontId="1" fillId="0" borderId="0" xfId="1" applyNumberFormat="1" applyFont="1" applyFill="1" applyBorder="1" applyAlignment="1">
      <alignment horizontal="right"/>
    </xf>
    <xf numFmtId="172" fontId="1" fillId="0" borderId="0" xfId="1" applyNumberFormat="1" applyFont="1" applyFill="1" applyBorder="1"/>
    <xf numFmtId="170" fontId="1" fillId="0" borderId="0" xfId="1" applyNumberFormat="1" applyFont="1" applyFill="1" applyBorder="1"/>
    <xf numFmtId="171" fontId="7" fillId="0" borderId="0" xfId="1" applyNumberFormat="1" applyFont="1" applyFill="1" applyBorder="1" applyAlignment="1">
      <alignment horizontal="center"/>
    </xf>
    <xf numFmtId="173" fontId="1" fillId="0" borderId="19" xfId="3" applyNumberFormat="1" applyFont="1" applyFill="1" applyBorder="1"/>
    <xf numFmtId="171" fontId="1" fillId="0" borderId="0" xfId="1" applyNumberFormat="1" applyFont="1" applyBorder="1" applyAlignment="1">
      <alignment horizontal="center"/>
    </xf>
    <xf numFmtId="0" fontId="2" fillId="0" borderId="18" xfId="1" applyFont="1" applyFill="1" applyBorder="1"/>
    <xf numFmtId="0" fontId="2" fillId="0" borderId="0" xfId="1" applyFont="1" applyFill="1" applyBorder="1"/>
    <xf numFmtId="171" fontId="2" fillId="0" borderId="0" xfId="1" applyNumberFormat="1" applyFont="1" applyFill="1" applyBorder="1"/>
    <xf numFmtId="0" fontId="1" fillId="0" borderId="0" xfId="1" applyFont="1" applyFill="1" applyBorder="1" applyAlignment="1">
      <alignment horizontal="center"/>
    </xf>
    <xf numFmtId="174" fontId="1" fillId="0" borderId="0" xfId="1" applyNumberFormat="1" applyFont="1" applyBorder="1" applyAlignment="1">
      <alignment horizontal="center"/>
    </xf>
    <xf numFmtId="174" fontId="3" fillId="0" borderId="0" xfId="1" applyNumberFormat="1" applyFont="1" applyFill="1" applyBorder="1"/>
    <xf numFmtId="168" fontId="1" fillId="0" borderId="0" xfId="3" applyNumberFormat="1" applyFont="1" applyFill="1" applyBorder="1"/>
    <xf numFmtId="174" fontId="1" fillId="0" borderId="0" xfId="1" applyNumberFormat="1" applyFont="1" applyFill="1" applyAlignment="1">
      <alignment horizontal="center"/>
    </xf>
    <xf numFmtId="171" fontId="18" fillId="0" borderId="0" xfId="1" applyNumberFormat="1" applyFont="1" applyFill="1" applyBorder="1"/>
    <xf numFmtId="0" fontId="18" fillId="0" borderId="0" xfId="1" applyFont="1" applyFill="1" applyBorder="1"/>
    <xf numFmtId="3" fontId="1" fillId="0" borderId="0" xfId="1" applyNumberFormat="1" applyFont="1" applyBorder="1" applyAlignment="1" applyProtection="1">
      <alignment horizontal="center"/>
      <protection locked="0"/>
    </xf>
    <xf numFmtId="0" fontId="1" fillId="0" borderId="20" xfId="1" applyFont="1" applyFill="1" applyBorder="1" applyAlignment="1">
      <alignment horizontal="center"/>
    </xf>
    <xf numFmtId="3" fontId="1" fillId="0" borderId="0" xfId="1" applyNumberFormat="1" applyFont="1" applyFill="1" applyBorder="1" applyAlignment="1" applyProtection="1">
      <alignment horizontal="center"/>
      <protection locked="0"/>
    </xf>
    <xf numFmtId="175" fontId="1" fillId="0" borderId="0" xfId="1" applyNumberFormat="1" applyFont="1" applyBorder="1" applyAlignment="1">
      <alignment horizontal="right"/>
    </xf>
    <xf numFmtId="171" fontId="1" fillId="0" borderId="0" xfId="1" applyNumberFormat="1" applyFill="1" applyBorder="1"/>
    <xf numFmtId="182" fontId="1" fillId="0" borderId="0" xfId="1" applyNumberFormat="1" applyFont="1" applyBorder="1"/>
    <xf numFmtId="174" fontId="9" fillId="0" borderId="0" xfId="1" applyNumberFormat="1" applyFont="1" applyFill="1" applyBorder="1"/>
    <xf numFmtId="173" fontId="1" fillId="0" borderId="19" xfId="3" applyNumberFormat="1" applyFont="1" applyBorder="1" applyAlignment="1">
      <alignment horizontal="center"/>
    </xf>
    <xf numFmtId="17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0" fontId="2" fillId="0" borderId="14" xfId="1" applyFont="1" applyBorder="1"/>
    <xf numFmtId="0" fontId="2" fillId="0" borderId="4" xfId="1" applyFont="1" applyBorder="1"/>
    <xf numFmtId="171" fontId="2" fillId="0" borderId="4" xfId="1" applyNumberFormat="1" applyFont="1" applyBorder="1"/>
    <xf numFmtId="3" fontId="1" fillId="0" borderId="4" xfId="1" applyNumberFormat="1" applyFont="1" applyBorder="1"/>
    <xf numFmtId="0" fontId="1" fillId="0" borderId="4" xfId="1" applyFont="1" applyBorder="1"/>
    <xf numFmtId="170" fontId="1" fillId="0" borderId="4" xfId="1" applyNumberFormat="1" applyFont="1" applyBorder="1"/>
    <xf numFmtId="173" fontId="1" fillId="0" borderId="15" xfId="3" applyNumberFormat="1" applyFont="1" applyBorder="1" applyAlignment="1">
      <alignment horizontal="right"/>
    </xf>
    <xf numFmtId="3" fontId="1" fillId="0" borderId="4" xfId="2" applyNumberFormat="1" applyFont="1" applyFill="1" applyBorder="1" applyAlignment="1">
      <alignment horizontal="center"/>
    </xf>
    <xf numFmtId="171" fontId="1" fillId="0" borderId="0" xfId="1" applyNumberFormat="1" applyFont="1"/>
    <xf numFmtId="173" fontId="1" fillId="0" borderId="0" xfId="3" applyNumberFormat="1" applyFont="1"/>
    <xf numFmtId="3" fontId="1" fillId="0" borderId="0" xfId="1" applyNumberFormat="1" applyFont="1" applyFill="1"/>
    <xf numFmtId="44" fontId="1" fillId="0" borderId="0" xfId="1" applyNumberFormat="1" applyFont="1"/>
    <xf numFmtId="171" fontId="3" fillId="0" borderId="0" xfId="1" applyNumberFormat="1" applyFont="1"/>
    <xf numFmtId="0" fontId="1" fillId="0" borderId="0" xfId="1"/>
    <xf numFmtId="0" fontId="1" fillId="0" borderId="0" xfId="1" applyFill="1"/>
    <xf numFmtId="0" fontId="1" fillId="0" borderId="0" xfId="2"/>
    <xf numFmtId="170" fontId="1" fillId="0" borderId="0" xfId="2" applyNumberFormat="1"/>
    <xf numFmtId="3" fontId="1" fillId="0" borderId="0" xfId="2" applyNumberFormat="1" applyFill="1"/>
    <xf numFmtId="0" fontId="1" fillId="0" borderId="0" xfId="2" applyFill="1"/>
    <xf numFmtId="173" fontId="1" fillId="0" borderId="0" xfId="2" applyNumberFormat="1"/>
    <xf numFmtId="168" fontId="1" fillId="0" borderId="0" xfId="2" applyNumberFormat="1" applyAlignment="1">
      <alignment horizontal="left"/>
    </xf>
    <xf numFmtId="168" fontId="1" fillId="0" borderId="0" xfId="2" applyNumberFormat="1"/>
    <xf numFmtId="172" fontId="1" fillId="0" borderId="0" xfId="2" applyNumberFormat="1"/>
    <xf numFmtId="0" fontId="1" fillId="0" borderId="0" xfId="2" applyAlignment="1">
      <alignment horizontal="centerContinuous"/>
    </xf>
    <xf numFmtId="170" fontId="1" fillId="0" borderId="0" xfId="2" applyNumberFormat="1" applyAlignment="1">
      <alignment horizontal="centerContinuous"/>
    </xf>
    <xf numFmtId="3" fontId="1" fillId="0" borderId="0" xfId="2" applyNumberFormat="1" applyFill="1" applyAlignment="1">
      <alignment horizontal="centerContinuous"/>
    </xf>
    <xf numFmtId="0" fontId="1" fillId="0" borderId="0" xfId="2" applyFill="1" applyAlignment="1">
      <alignment horizontal="centerContinuous"/>
    </xf>
    <xf numFmtId="173" fontId="1" fillId="0" borderId="0" xfId="2" applyNumberFormat="1" applyAlignment="1">
      <alignment horizontal="centerContinuous"/>
    </xf>
    <xf numFmtId="168" fontId="1" fillId="0" borderId="0" xfId="2" applyNumberFormat="1" applyAlignment="1">
      <alignment horizontal="centerContinuous"/>
    </xf>
    <xf numFmtId="172" fontId="1" fillId="0" borderId="0" xfId="2" applyNumberFormat="1" applyAlignment="1">
      <alignment horizontal="centerContinuous"/>
    </xf>
    <xf numFmtId="168" fontId="1" fillId="0" borderId="0" xfId="2" applyNumberFormat="1" applyBorder="1" applyAlignment="1">
      <alignment horizontal="centerContinuous"/>
    </xf>
    <xf numFmtId="0" fontId="1" fillId="0" borderId="0" xfId="2" applyBorder="1" applyAlignment="1">
      <alignment horizontal="centerContinuous"/>
    </xf>
    <xf numFmtId="0" fontId="1" fillId="0" borderId="0" xfId="2" applyAlignment="1"/>
    <xf numFmtId="170" fontId="1" fillId="0" borderId="0" xfId="2" applyNumberFormat="1" applyAlignment="1"/>
    <xf numFmtId="3" fontId="1" fillId="0" borderId="4" xfId="2" applyNumberFormat="1" applyFill="1" applyBorder="1" applyAlignment="1"/>
    <xf numFmtId="0" fontId="1" fillId="0" borderId="0" xfId="2" applyFill="1" applyAlignment="1"/>
    <xf numFmtId="173" fontId="1" fillId="0" borderId="0" xfId="2" applyNumberFormat="1" applyAlignment="1"/>
    <xf numFmtId="168" fontId="1" fillId="0" borderId="0" xfId="2" applyNumberFormat="1" applyBorder="1"/>
    <xf numFmtId="0" fontId="1" fillId="0" borderId="0" xfId="2" applyBorder="1"/>
    <xf numFmtId="0" fontId="1" fillId="0" borderId="12" xfId="2" applyBorder="1" applyAlignment="1">
      <alignment horizontal="center"/>
    </xf>
    <xf numFmtId="0" fontId="1" fillId="0" borderId="21" xfId="2" applyBorder="1" applyAlignment="1">
      <alignment horizontal="center"/>
    </xf>
    <xf numFmtId="0" fontId="1" fillId="0" borderId="21" xfId="2" applyFill="1" applyBorder="1" applyAlignment="1">
      <alignment horizontal="center"/>
    </xf>
    <xf numFmtId="170" fontId="1" fillId="0" borderId="1" xfId="2" applyNumberFormat="1" applyBorder="1" applyAlignment="1">
      <alignment horizontal="centerContinuous"/>
    </xf>
    <xf numFmtId="0" fontId="1" fillId="0" borderId="0" xfId="2" applyFill="1" applyBorder="1" applyAlignment="1">
      <alignment horizontal="center"/>
    </xf>
    <xf numFmtId="0" fontId="1" fillId="0" borderId="1" xfId="2" applyFill="1" applyBorder="1" applyAlignment="1">
      <alignment horizontal="centerContinuous"/>
    </xf>
    <xf numFmtId="170" fontId="1" fillId="0" borderId="21" xfId="2" applyNumberFormat="1" applyBorder="1" applyAlignment="1">
      <alignment horizontal="left"/>
    </xf>
    <xf numFmtId="170" fontId="1" fillId="0" borderId="0" xfId="2" applyNumberFormat="1" applyBorder="1" applyAlignment="1">
      <alignment horizontal="left"/>
    </xf>
    <xf numFmtId="0" fontId="1" fillId="0" borderId="14" xfId="2" applyBorder="1" applyAlignment="1">
      <alignment horizontal="center"/>
    </xf>
    <xf numFmtId="0" fontId="1" fillId="0" borderId="4" xfId="2" applyFill="1" applyBorder="1" applyAlignment="1">
      <alignment horizontal="center"/>
    </xf>
    <xf numFmtId="170" fontId="1" fillId="0" borderId="4" xfId="2" applyNumberFormat="1" applyBorder="1" applyAlignment="1">
      <alignment horizontal="center"/>
    </xf>
    <xf numFmtId="173" fontId="1" fillId="0" borderId="15" xfId="2" applyNumberFormat="1" applyBorder="1" applyAlignment="1">
      <alignment horizontal="center"/>
    </xf>
    <xf numFmtId="168" fontId="1" fillId="0" borderId="0" xfId="2" applyNumberFormat="1" applyBorder="1" applyAlignment="1">
      <alignment horizontal="left"/>
    </xf>
    <xf numFmtId="168" fontId="1" fillId="0" borderId="0" xfId="2" applyNumberFormat="1" applyBorder="1" applyAlignment="1">
      <alignment horizontal="center"/>
    </xf>
    <xf numFmtId="170" fontId="1" fillId="0" borderId="0" xfId="2" applyNumberFormat="1" applyBorder="1" applyAlignment="1">
      <alignment horizontal="center"/>
    </xf>
    <xf numFmtId="173" fontId="1" fillId="0" borderId="0" xfId="2" applyNumberFormat="1" applyBorder="1" applyAlignment="1">
      <alignment horizontal="center"/>
    </xf>
    <xf numFmtId="172" fontId="1" fillId="0" borderId="0" xfId="2" applyNumberFormat="1" applyBorder="1"/>
    <xf numFmtId="0" fontId="2" fillId="0" borderId="16" xfId="2" applyFont="1" applyBorder="1" applyProtection="1">
      <protection locked="0"/>
    </xf>
    <xf numFmtId="0" fontId="1" fillId="0" borderId="21" xfId="2" applyBorder="1" applyProtection="1">
      <protection locked="0"/>
    </xf>
    <xf numFmtId="0" fontId="1" fillId="0" borderId="21" xfId="2" applyBorder="1"/>
    <xf numFmtId="171" fontId="1" fillId="0" borderId="21" xfId="2" applyNumberFormat="1" applyBorder="1"/>
    <xf numFmtId="3" fontId="1" fillId="0" borderId="21" xfId="2" applyNumberFormat="1" applyFill="1" applyBorder="1"/>
    <xf numFmtId="0" fontId="1" fillId="0" borderId="21" xfId="2" applyFill="1" applyBorder="1"/>
    <xf numFmtId="173" fontId="1" fillId="0" borderId="17" xfId="2" applyNumberFormat="1" applyBorder="1"/>
    <xf numFmtId="173" fontId="1" fillId="0" borderId="0" xfId="2" applyNumberFormat="1" applyBorder="1" applyAlignment="1">
      <alignment horizontal="left"/>
    </xf>
    <xf numFmtId="0" fontId="1" fillId="0" borderId="18" xfId="2" applyBorder="1"/>
    <xf numFmtId="3" fontId="1" fillId="0" borderId="0" xfId="2" applyNumberFormat="1" applyBorder="1"/>
    <xf numFmtId="171" fontId="1" fillId="0" borderId="0" xfId="2" applyNumberFormat="1" applyBorder="1"/>
    <xf numFmtId="3" fontId="1" fillId="0" borderId="0" xfId="2" applyNumberFormat="1" applyFill="1" applyBorder="1"/>
    <xf numFmtId="0" fontId="1" fillId="0" borderId="0" xfId="2" applyFill="1" applyBorder="1"/>
    <xf numFmtId="173" fontId="1" fillId="0" borderId="19" xfId="2" applyNumberFormat="1" applyBorder="1"/>
    <xf numFmtId="0" fontId="0" fillId="0" borderId="20" xfId="2" applyFont="1" applyBorder="1" applyAlignment="1">
      <alignment horizontal="center"/>
    </xf>
    <xf numFmtId="0" fontId="1" fillId="0" borderId="18" xfId="2" applyFill="1" applyBorder="1" applyProtection="1">
      <protection locked="0"/>
    </xf>
    <xf numFmtId="0" fontId="1" fillId="0" borderId="0" xfId="2" applyFill="1" applyBorder="1" applyProtection="1">
      <protection locked="0"/>
    </xf>
    <xf numFmtId="3" fontId="14" fillId="0" borderId="0" xfId="2" applyNumberFormat="1" applyFont="1" applyFill="1" applyBorder="1"/>
    <xf numFmtId="170" fontId="14" fillId="0" borderId="0" xfId="2" applyNumberFormat="1" applyFont="1" applyFill="1" applyBorder="1"/>
    <xf numFmtId="171" fontId="1" fillId="0" borderId="0" xfId="2" applyNumberFormat="1" applyFill="1" applyBorder="1"/>
    <xf numFmtId="171" fontId="7" fillId="0" borderId="5" xfId="2" applyNumberFormat="1" applyFont="1" applyFill="1" applyBorder="1" applyAlignment="1">
      <alignment horizontal="center"/>
    </xf>
    <xf numFmtId="0" fontId="1" fillId="0" borderId="0" xfId="2" applyFont="1" applyBorder="1"/>
    <xf numFmtId="174" fontId="14" fillId="0" borderId="0" xfId="2" applyNumberFormat="1" applyFont="1" applyFill="1" applyBorder="1"/>
    <xf numFmtId="174" fontId="1" fillId="0" borderId="0" xfId="2" applyNumberFormat="1" applyFont="1" applyFill="1" applyBorder="1"/>
    <xf numFmtId="171" fontId="1" fillId="0" borderId="5" xfId="2" applyNumberFormat="1" applyFont="1" applyBorder="1" applyAlignment="1">
      <alignment horizontal="center"/>
    </xf>
    <xf numFmtId="3" fontId="1" fillId="0" borderId="0" xfId="2" applyNumberFormat="1" applyFont="1" applyFill="1" applyBorder="1"/>
    <xf numFmtId="170" fontId="1" fillId="0" borderId="0" xfId="2" applyNumberFormat="1" applyBorder="1" applyAlignment="1">
      <alignment horizontal="right"/>
    </xf>
    <xf numFmtId="173" fontId="1" fillId="0" borderId="19" xfId="2" applyNumberFormat="1" applyBorder="1" applyAlignment="1">
      <alignment horizontal="center"/>
    </xf>
    <xf numFmtId="171" fontId="1" fillId="0" borderId="6" xfId="2" applyNumberFormat="1" applyFill="1" applyBorder="1" applyAlignment="1">
      <alignment horizontal="center"/>
    </xf>
    <xf numFmtId="0" fontId="1" fillId="0" borderId="0" xfId="2" applyBorder="1" applyProtection="1">
      <protection locked="0"/>
    </xf>
    <xf numFmtId="0" fontId="14" fillId="0" borderId="0" xfId="2" applyFont="1" applyFill="1" applyBorder="1"/>
    <xf numFmtId="171" fontId="1" fillId="0" borderId="21" xfId="2" applyNumberFormat="1" applyFill="1" applyBorder="1"/>
    <xf numFmtId="10" fontId="3" fillId="0" borderId="0" xfId="2" applyNumberFormat="1" applyFont="1" applyFill="1" applyBorder="1" applyAlignment="1">
      <alignment horizontal="center"/>
    </xf>
    <xf numFmtId="0" fontId="1" fillId="0" borderId="0" xfId="2" applyBorder="1" applyAlignment="1">
      <alignment horizontal="center" wrapText="1"/>
    </xf>
    <xf numFmtId="172" fontId="1" fillId="0" borderId="0" xfId="2" applyNumberFormat="1" applyBorder="1" applyAlignment="1">
      <alignment horizontal="center" wrapText="1"/>
    </xf>
    <xf numFmtId="180" fontId="3" fillId="0" borderId="2" xfId="3" applyNumberFormat="1" applyFont="1" applyFill="1" applyBorder="1"/>
    <xf numFmtId="174" fontId="1" fillId="0" borderId="0" xfId="2" applyNumberFormat="1" applyBorder="1"/>
    <xf numFmtId="182" fontId="1" fillId="0" borderId="0" xfId="2" applyNumberFormat="1" applyFill="1" applyBorder="1"/>
    <xf numFmtId="181" fontId="1" fillId="0" borderId="0" xfId="2" applyNumberFormat="1" applyFill="1" applyBorder="1"/>
    <xf numFmtId="42" fontId="1" fillId="0" borderId="0" xfId="2" applyNumberFormat="1" applyBorder="1" applyAlignment="1">
      <alignment horizontal="right"/>
    </xf>
    <xf numFmtId="0" fontId="1" fillId="0" borderId="18" xfId="2" applyBorder="1" applyProtection="1">
      <protection locked="0"/>
    </xf>
    <xf numFmtId="9" fontId="1" fillId="0" borderId="0" xfId="2" applyNumberFormat="1" applyFill="1" applyBorder="1"/>
    <xf numFmtId="0" fontId="1" fillId="0" borderId="14" xfId="2" applyBorder="1"/>
    <xf numFmtId="0" fontId="1" fillId="0" borderId="4" xfId="2" applyBorder="1" applyProtection="1">
      <protection locked="0"/>
    </xf>
    <xf numFmtId="0" fontId="1" fillId="0" borderId="4" xfId="2" applyFill="1" applyBorder="1"/>
    <xf numFmtId="170" fontId="1" fillId="0" borderId="4" xfId="2" applyNumberFormat="1" applyFill="1" applyBorder="1" applyAlignment="1">
      <alignment horizontal="center"/>
    </xf>
    <xf numFmtId="171" fontId="1" fillId="0" borderId="4" xfId="2" applyNumberFormat="1" applyFill="1" applyBorder="1" applyAlignment="1">
      <alignment horizontal="center"/>
    </xf>
    <xf numFmtId="9" fontId="1" fillId="0" borderId="4" xfId="2" applyNumberFormat="1" applyFill="1" applyBorder="1"/>
    <xf numFmtId="171" fontId="1" fillId="0" borderId="4" xfId="2" applyNumberFormat="1" applyFill="1" applyBorder="1"/>
    <xf numFmtId="171" fontId="1" fillId="0" borderId="4" xfId="2" applyNumberFormat="1" applyBorder="1"/>
    <xf numFmtId="173" fontId="1" fillId="0" borderId="15" xfId="2" applyNumberFormat="1" applyBorder="1"/>
    <xf numFmtId="171" fontId="1" fillId="0" borderId="0" xfId="2" applyNumberFormat="1" applyBorder="1" applyAlignment="1">
      <alignment horizontal="right"/>
    </xf>
    <xf numFmtId="173" fontId="1" fillId="0" borderId="0" xfId="2" applyNumberFormat="1" applyBorder="1"/>
    <xf numFmtId="0" fontId="2" fillId="0" borderId="16" xfId="2" applyFont="1" applyFill="1" applyBorder="1" applyProtection="1">
      <protection locked="0"/>
    </xf>
    <xf numFmtId="0" fontId="1" fillId="0" borderId="18" xfId="2" applyFont="1" applyFill="1" applyBorder="1" applyProtection="1">
      <protection locked="0"/>
    </xf>
    <xf numFmtId="174" fontId="9" fillId="0" borderId="0" xfId="2" applyNumberFormat="1" applyFont="1" applyFill="1" applyBorder="1"/>
    <xf numFmtId="0" fontId="1" fillId="0" borderId="18" xfId="2" applyFont="1" applyFill="1" applyBorder="1"/>
    <xf numFmtId="170" fontId="3" fillId="0" borderId="0" xfId="2" applyNumberFormat="1" applyFont="1" applyFill="1" applyBorder="1"/>
    <xf numFmtId="174" fontId="3" fillId="0" borderId="0" xfId="2" applyNumberFormat="1" applyFont="1" applyFill="1" applyBorder="1"/>
    <xf numFmtId="0" fontId="0" fillId="0" borderId="17" xfId="2" applyFont="1" applyFill="1" applyBorder="1" applyAlignment="1">
      <alignment horizontal="center"/>
    </xf>
    <xf numFmtId="0" fontId="1" fillId="0" borderId="18" xfId="2" applyFill="1" applyBorder="1"/>
    <xf numFmtId="3" fontId="1" fillId="0" borderId="0" xfId="2" applyNumberFormat="1" applyFill="1" applyBorder="1" applyProtection="1">
      <protection locked="0"/>
    </xf>
    <xf numFmtId="168" fontId="1" fillId="0" borderId="19" xfId="2" applyNumberFormat="1" applyBorder="1"/>
    <xf numFmtId="171" fontId="7" fillId="0" borderId="19" xfId="2" applyNumberFormat="1" applyFont="1" applyFill="1" applyBorder="1" applyAlignment="1">
      <alignment horizontal="center"/>
    </xf>
    <xf numFmtId="171" fontId="1" fillId="0" borderId="5" xfId="2" applyNumberFormat="1" applyFont="1" applyFill="1" applyBorder="1" applyAlignment="1">
      <alignment horizontal="center"/>
    </xf>
    <xf numFmtId="170" fontId="1" fillId="0" borderId="0" xfId="2" applyNumberFormat="1" applyFill="1" applyBorder="1"/>
    <xf numFmtId="168" fontId="1" fillId="0" borderId="19" xfId="2" applyNumberFormat="1" applyBorder="1" applyAlignment="1">
      <alignment horizontal="center"/>
    </xf>
    <xf numFmtId="171" fontId="1" fillId="0" borderId="15" xfId="2" applyNumberFormat="1" applyFill="1" applyBorder="1" applyAlignment="1">
      <alignment horizontal="center"/>
    </xf>
    <xf numFmtId="180" fontId="3" fillId="0" borderId="21" xfId="2" applyNumberFormat="1" applyFont="1" applyFill="1" applyBorder="1" applyAlignment="1">
      <alignment horizontal="center"/>
    </xf>
    <xf numFmtId="171" fontId="1" fillId="0" borderId="0" xfId="2" applyNumberFormat="1" applyBorder="1" applyAlignment="1">
      <alignment horizontal="center"/>
    </xf>
    <xf numFmtId="10" fontId="1" fillId="0" borderId="0" xfId="2" applyNumberFormat="1" applyFill="1" applyBorder="1" applyAlignment="1">
      <alignment horizontal="center"/>
    </xf>
    <xf numFmtId="172" fontId="1" fillId="0" borderId="0" xfId="2" applyNumberFormat="1" applyFont="1" applyFill="1"/>
    <xf numFmtId="178" fontId="1" fillId="0" borderId="0" xfId="2" applyNumberFormat="1"/>
    <xf numFmtId="174" fontId="1" fillId="0" borderId="0" xfId="2" applyNumberFormat="1" applyFill="1" applyBorder="1"/>
    <xf numFmtId="171" fontId="1" fillId="0" borderId="0" xfId="2" applyNumberFormat="1" applyFont="1" applyBorder="1"/>
    <xf numFmtId="174" fontId="1" fillId="0" borderId="0" xfId="2" applyNumberFormat="1" applyFill="1" applyBorder="1" applyAlignment="1">
      <alignment horizontal="center"/>
    </xf>
    <xf numFmtId="3" fontId="14" fillId="0" borderId="0" xfId="2" applyNumberFormat="1" applyFont="1" applyBorder="1"/>
    <xf numFmtId="173" fontId="1" fillId="0" borderId="19" xfId="2" applyNumberFormat="1" applyFill="1" applyBorder="1"/>
    <xf numFmtId="173" fontId="1" fillId="0" borderId="0" xfId="2" applyNumberFormat="1" applyFill="1" applyBorder="1" applyAlignment="1">
      <alignment horizontal="left"/>
    </xf>
    <xf numFmtId="168" fontId="1" fillId="0" borderId="0" xfId="2" applyNumberFormat="1" applyFill="1" applyBorder="1"/>
    <xf numFmtId="0" fontId="1" fillId="0" borderId="0" xfId="2" applyFont="1" applyFill="1" applyBorder="1"/>
    <xf numFmtId="0" fontId="1" fillId="0" borderId="0" xfId="2" applyFont="1" applyFill="1"/>
    <xf numFmtId="169" fontId="14" fillId="0" borderId="0" xfId="4" applyNumberFormat="1" applyFont="1" applyBorder="1"/>
    <xf numFmtId="169" fontId="14" fillId="0" borderId="0" xfId="4" applyNumberFormat="1" applyFont="1" applyFill="1" applyBorder="1"/>
    <xf numFmtId="172" fontId="1" fillId="0" borderId="0" xfId="2" applyNumberFormat="1" applyFill="1"/>
    <xf numFmtId="171" fontId="1" fillId="0" borderId="21" xfId="2" applyNumberFormat="1" applyBorder="1" applyAlignment="1">
      <alignment horizontal="right"/>
    </xf>
    <xf numFmtId="174" fontId="1" fillId="0" borderId="0" xfId="2" applyNumberFormat="1" applyFill="1" applyAlignment="1">
      <alignment horizontal="center"/>
    </xf>
    <xf numFmtId="0" fontId="1" fillId="0" borderId="0" xfId="2" applyFill="1" applyAlignment="1">
      <alignment horizontal="center"/>
    </xf>
    <xf numFmtId="172" fontId="1" fillId="0" borderId="0" xfId="2" applyNumberFormat="1" applyFill="1" applyAlignment="1">
      <alignment horizontal="center"/>
    </xf>
    <xf numFmtId="0" fontId="14" fillId="0" borderId="0" xfId="2" applyFont="1" applyBorder="1"/>
    <xf numFmtId="170" fontId="1" fillId="0" borderId="0" xfId="2" applyNumberFormat="1" applyFill="1" applyAlignment="1">
      <alignment horizontal="center"/>
    </xf>
    <xf numFmtId="2" fontId="1" fillId="0" borderId="0" xfId="2" applyNumberFormat="1" applyFill="1"/>
    <xf numFmtId="0" fontId="1" fillId="0" borderId="18" xfId="2" applyFont="1" applyBorder="1" applyProtection="1">
      <protection locked="0"/>
    </xf>
    <xf numFmtId="170" fontId="1" fillId="0" borderId="0" xfId="2" applyNumberFormat="1" applyBorder="1"/>
    <xf numFmtId="0" fontId="1" fillId="0" borderId="14" xfId="2" applyFill="1" applyBorder="1"/>
    <xf numFmtId="173" fontId="1" fillId="0" borderId="15" xfId="2" applyNumberFormat="1" applyFill="1" applyBorder="1"/>
    <xf numFmtId="171" fontId="1" fillId="0" borderId="0" xfId="2" applyNumberFormat="1" applyFill="1" applyBorder="1" applyAlignment="1">
      <alignment horizontal="center"/>
    </xf>
    <xf numFmtId="173" fontId="1" fillId="0" borderId="0" xfId="2" applyNumberFormat="1" applyFill="1" applyBorder="1"/>
    <xf numFmtId="0" fontId="1" fillId="0" borderId="0" xfId="2" applyFont="1" applyFill="1" applyBorder="1" applyProtection="1">
      <protection locked="0"/>
    </xf>
    <xf numFmtId="170" fontId="1" fillId="0" borderId="0" xfId="2" applyNumberFormat="1" applyFont="1" applyFill="1" applyBorder="1"/>
    <xf numFmtId="169" fontId="9" fillId="0" borderId="0" xfId="4" applyNumberFormat="1" applyFont="1" applyFill="1" applyBorder="1"/>
    <xf numFmtId="8" fontId="1" fillId="0" borderId="0" xfId="2" applyNumberFormat="1" applyFont="1" applyBorder="1"/>
    <xf numFmtId="3" fontId="3" fillId="0" borderId="0" xfId="2" applyNumberFormat="1" applyFont="1" applyFill="1" applyBorder="1"/>
    <xf numFmtId="8" fontId="1" fillId="0" borderId="0" xfId="2" applyNumberFormat="1" applyBorder="1"/>
    <xf numFmtId="0" fontId="1" fillId="0" borderId="18" xfId="2" applyFont="1" applyBorder="1"/>
    <xf numFmtId="3" fontId="1" fillId="0" borderId="4" xfId="2" applyNumberFormat="1" applyFont="1" applyFill="1" applyBorder="1"/>
    <xf numFmtId="169" fontId="3" fillId="0" borderId="0" xfId="4" applyNumberFormat="1" applyFont="1" applyBorder="1"/>
    <xf numFmtId="0" fontId="1" fillId="0" borderId="4" xfId="2" applyFont="1" applyFill="1" applyBorder="1"/>
    <xf numFmtId="171" fontId="1" fillId="0" borderId="4" xfId="2" applyNumberFormat="1" applyFont="1" applyFill="1" applyBorder="1"/>
    <xf numFmtId="171" fontId="1" fillId="0" borderId="0" xfId="2" applyNumberFormat="1" applyFont="1" applyFill="1" applyBorder="1"/>
    <xf numFmtId="171" fontId="1" fillId="0" borderId="0" xfId="2" applyNumberFormat="1"/>
    <xf numFmtId="0" fontId="2" fillId="0" borderId="0" xfId="2" applyFont="1"/>
    <xf numFmtId="174" fontId="1" fillId="0" borderId="0" xfId="2" applyNumberFormat="1" applyAlignment="1">
      <alignment horizontal="center"/>
    </xf>
    <xf numFmtId="0" fontId="1" fillId="0" borderId="0" xfId="2" applyAlignment="1">
      <alignment horizontal="center"/>
    </xf>
    <xf numFmtId="172" fontId="1" fillId="0" borderId="0" xfId="2" applyNumberFormat="1" applyAlignment="1">
      <alignment horizontal="center"/>
    </xf>
    <xf numFmtId="171" fontId="1" fillId="0" borderId="4" xfId="2" applyNumberFormat="1" applyFont="1" applyBorder="1" applyAlignment="1">
      <alignment horizontal="center"/>
    </xf>
    <xf numFmtId="3" fontId="1" fillId="0" borderId="0" xfId="2" applyNumberFormat="1"/>
    <xf numFmtId="178" fontId="1" fillId="0" borderId="0" xfId="2" applyNumberFormat="1" applyFill="1"/>
    <xf numFmtId="173" fontId="1" fillId="0" borderId="0" xfId="2" applyNumberFormat="1" applyAlignment="1">
      <alignment horizontal="left"/>
    </xf>
    <xf numFmtId="0" fontId="1" fillId="0" borderId="0" xfId="2" applyFont="1"/>
    <xf numFmtId="178" fontId="1" fillId="0" borderId="0" xfId="2" applyNumberFormat="1" applyBorder="1"/>
    <xf numFmtId="178" fontId="1" fillId="0" borderId="0" xfId="2" applyNumberFormat="1" applyAlignment="1">
      <alignment horizontal="left"/>
    </xf>
    <xf numFmtId="178" fontId="1" fillId="0" borderId="21" xfId="2" applyNumberFormat="1" applyBorder="1"/>
    <xf numFmtId="3" fontId="1" fillId="0" borderId="21" xfId="2" applyNumberFormat="1" applyBorder="1"/>
    <xf numFmtId="174" fontId="1" fillId="0" borderId="0" xfId="2" applyNumberFormat="1" applyAlignment="1">
      <alignment horizontal="centerContinuous"/>
    </xf>
    <xf numFmtId="3" fontId="1" fillId="0" borderId="0" xfId="2" applyNumberFormat="1" applyFill="1" applyBorder="1" applyAlignment="1">
      <alignment horizontal="centerContinuous"/>
    </xf>
    <xf numFmtId="170" fontId="1" fillId="0" borderId="0" xfId="2" applyNumberFormat="1" applyFill="1" applyAlignment="1">
      <alignment horizontal="centerContinuous"/>
    </xf>
    <xf numFmtId="0" fontId="21" fillId="0" borderId="0" xfId="2" applyFont="1" applyBorder="1" applyAlignment="1">
      <alignment horizontal="left"/>
    </xf>
    <xf numFmtId="168" fontId="1" fillId="0" borderId="0" xfId="2" applyNumberFormat="1" applyBorder="1" applyAlignment="1">
      <alignment horizontal="right"/>
    </xf>
    <xf numFmtId="3" fontId="1" fillId="0" borderId="21" xfId="2" applyNumberFormat="1" applyFill="1" applyBorder="1" applyAlignment="1">
      <alignment horizontal="center"/>
    </xf>
    <xf numFmtId="170" fontId="1" fillId="0" borderId="1" xfId="2" applyNumberFormat="1" applyFill="1" applyBorder="1" applyAlignment="1">
      <alignment horizontal="centerContinuous"/>
    </xf>
    <xf numFmtId="3" fontId="1" fillId="0" borderId="4" xfId="2" applyNumberFormat="1" applyBorder="1" applyAlignment="1">
      <alignment horizontal="center"/>
    </xf>
    <xf numFmtId="3" fontId="1" fillId="0" borderId="4" xfId="2" applyNumberFormat="1" applyFill="1" applyBorder="1" applyAlignment="1">
      <alignment horizontal="center"/>
    </xf>
    <xf numFmtId="174" fontId="1" fillId="0" borderId="4" xfId="2" applyNumberFormat="1" applyBorder="1" applyAlignment="1">
      <alignment horizontal="center"/>
    </xf>
    <xf numFmtId="168" fontId="1" fillId="0" borderId="15" xfId="2" applyNumberFormat="1" applyBorder="1" applyAlignment="1">
      <alignment horizontal="center"/>
    </xf>
    <xf numFmtId="168" fontId="1" fillId="0" borderId="19" xfId="2" applyNumberFormat="1" applyBorder="1" applyAlignment="1">
      <alignment horizontal="right"/>
    </xf>
    <xf numFmtId="0" fontId="1" fillId="0" borderId="21" xfId="2" applyFont="1" applyBorder="1" applyProtection="1">
      <protection locked="0"/>
    </xf>
    <xf numFmtId="174" fontId="1" fillId="0" borderId="21" xfId="2" applyNumberFormat="1" applyBorder="1"/>
    <xf numFmtId="3" fontId="1" fillId="0" borderId="21" xfId="2" applyNumberFormat="1" applyFill="1" applyBorder="1" applyProtection="1">
      <protection locked="0"/>
    </xf>
    <xf numFmtId="170" fontId="1" fillId="0" borderId="21" xfId="2" applyNumberFormat="1" applyFill="1" applyBorder="1"/>
    <xf numFmtId="170" fontId="1" fillId="0" borderId="21" xfId="2" applyNumberFormat="1" applyBorder="1" applyAlignment="1">
      <alignment horizontal="right"/>
    </xf>
    <xf numFmtId="173" fontId="1" fillId="0" borderId="17" xfId="2" applyNumberFormat="1" applyBorder="1" applyAlignment="1">
      <alignment horizontal="right"/>
    </xf>
    <xf numFmtId="173" fontId="1" fillId="0" borderId="19" xfId="2" applyNumberFormat="1" applyBorder="1" applyAlignment="1">
      <alignment horizontal="right"/>
    </xf>
    <xf numFmtId="0" fontId="1" fillId="0" borderId="0" xfId="2" applyFont="1" applyBorder="1" applyProtection="1">
      <protection locked="0"/>
    </xf>
    <xf numFmtId="168" fontId="1" fillId="0" borderId="0" xfId="2" applyNumberFormat="1" applyFont="1" applyBorder="1" applyAlignment="1">
      <alignment horizontal="left"/>
    </xf>
    <xf numFmtId="171" fontId="1" fillId="0" borderId="6" xfId="2" applyNumberFormat="1" applyBorder="1" applyAlignment="1">
      <alignment horizontal="center"/>
    </xf>
    <xf numFmtId="171" fontId="14" fillId="0" borderId="0" xfId="2" applyNumberFormat="1" applyFont="1" applyFill="1" applyBorder="1" applyAlignment="1">
      <alignment horizontal="right"/>
    </xf>
    <xf numFmtId="10" fontId="1" fillId="0" borderId="0" xfId="2" applyNumberFormat="1" applyBorder="1" applyAlignment="1">
      <alignment horizontal="center"/>
    </xf>
    <xf numFmtId="9" fontId="3" fillId="0" borderId="0" xfId="3" applyFont="1" applyFill="1" applyBorder="1"/>
    <xf numFmtId="173" fontId="1" fillId="0" borderId="17" xfId="2" applyNumberFormat="1" applyFill="1" applyBorder="1" applyAlignment="1">
      <alignment horizontal="right"/>
    </xf>
    <xf numFmtId="174" fontId="1" fillId="0" borderId="0" xfId="2" applyNumberFormat="1" applyFont="1" applyFill="1" applyAlignment="1">
      <alignment horizontal="center"/>
    </xf>
    <xf numFmtId="170" fontId="1" fillId="0" borderId="0" xfId="2" applyNumberFormat="1" applyAlignment="1">
      <alignment horizontal="center"/>
    </xf>
    <xf numFmtId="3" fontId="1" fillId="0" borderId="0" xfId="2" applyNumberFormat="1" applyFill="1" applyBorder="1" applyAlignment="1">
      <alignment horizontal="right"/>
    </xf>
    <xf numFmtId="3" fontId="1" fillId="0" borderId="0" xfId="2" applyNumberFormat="1" applyFill="1" applyBorder="1" applyAlignment="1">
      <alignment horizontal="center"/>
    </xf>
    <xf numFmtId="173" fontId="1" fillId="0" borderId="0" xfId="2" applyNumberFormat="1" applyFont="1" applyFill="1" applyBorder="1" applyAlignment="1">
      <alignment horizontal="left"/>
    </xf>
    <xf numFmtId="0" fontId="1" fillId="0" borderId="4" xfId="2" applyBorder="1"/>
    <xf numFmtId="3" fontId="1" fillId="0" borderId="4" xfId="2" applyNumberFormat="1" applyFill="1" applyBorder="1"/>
    <xf numFmtId="174" fontId="1" fillId="0" borderId="4" xfId="2" applyNumberFormat="1" applyBorder="1"/>
    <xf numFmtId="170" fontId="1" fillId="0" borderId="4" xfId="2" applyNumberFormat="1" applyFill="1" applyBorder="1"/>
    <xf numFmtId="170" fontId="1" fillId="0" borderId="4" xfId="2" applyNumberFormat="1" applyBorder="1" applyAlignment="1">
      <alignment horizontal="right"/>
    </xf>
    <xf numFmtId="171" fontId="1" fillId="0" borderId="0" xfId="2" applyNumberFormat="1" applyFill="1" applyBorder="1" applyAlignment="1">
      <alignment horizontal="right"/>
    </xf>
    <xf numFmtId="170" fontId="1" fillId="0" borderId="0" xfId="2" applyNumberFormat="1" applyFill="1" applyBorder="1" applyAlignment="1">
      <alignment horizontal="right"/>
    </xf>
    <xf numFmtId="0" fontId="2" fillId="0" borderId="0" xfId="2" applyFont="1" applyFill="1" applyBorder="1" applyProtection="1">
      <protection locked="0"/>
    </xf>
    <xf numFmtId="171" fontId="14" fillId="0" borderId="0" xfId="2" applyNumberFormat="1" applyFont="1" applyBorder="1" applyAlignment="1">
      <alignment horizontal="right"/>
    </xf>
    <xf numFmtId="171" fontId="1" fillId="0" borderId="0" xfId="2" applyNumberFormat="1" applyFont="1" applyBorder="1" applyAlignment="1">
      <alignment horizontal="right"/>
    </xf>
    <xf numFmtId="170" fontId="14" fillId="0" borderId="0" xfId="2" applyNumberFormat="1" applyFont="1" applyBorder="1"/>
    <xf numFmtId="171" fontId="1" fillId="0" borderId="0" xfId="2" applyNumberFormat="1" applyFont="1" applyFill="1" applyBorder="1" applyProtection="1">
      <protection locked="0"/>
    </xf>
    <xf numFmtId="171" fontId="1" fillId="0" borderId="4" xfId="2" applyNumberFormat="1" applyBorder="1" applyAlignment="1">
      <alignment horizontal="right"/>
    </xf>
    <xf numFmtId="173" fontId="1" fillId="0" borderId="19" xfId="2" applyNumberFormat="1" applyFill="1" applyBorder="1" applyAlignment="1">
      <alignment horizontal="right"/>
    </xf>
    <xf numFmtId="168" fontId="1" fillId="0" borderId="0" xfId="2" applyNumberFormat="1" applyFill="1" applyBorder="1" applyAlignment="1">
      <alignment horizontal="left"/>
    </xf>
    <xf numFmtId="171" fontId="1" fillId="0" borderId="0" xfId="2" applyNumberFormat="1" applyFont="1" applyFill="1" applyBorder="1" applyAlignment="1">
      <alignment horizontal="right"/>
    </xf>
    <xf numFmtId="171" fontId="1" fillId="0" borderId="21" xfId="2" applyNumberFormat="1" applyFill="1" applyBorder="1" applyAlignment="1">
      <alignment horizontal="right"/>
    </xf>
    <xf numFmtId="173" fontId="1" fillId="0" borderId="19" xfId="2" applyNumberFormat="1" applyFont="1" applyFill="1" applyBorder="1" applyAlignment="1">
      <alignment horizontal="right"/>
    </xf>
    <xf numFmtId="174" fontId="1" fillId="0" borderId="4" xfId="2" applyNumberFormat="1" applyFill="1" applyBorder="1"/>
    <xf numFmtId="171" fontId="1" fillId="0" borderId="4" xfId="2" applyNumberFormat="1" applyFill="1" applyBorder="1" applyAlignment="1">
      <alignment horizontal="right"/>
    </xf>
    <xf numFmtId="170" fontId="1" fillId="0" borderId="4" xfId="2" applyNumberFormat="1" applyFill="1" applyBorder="1" applyAlignment="1">
      <alignment horizontal="right"/>
    </xf>
    <xf numFmtId="168" fontId="1" fillId="0" borderId="19" xfId="2" applyNumberFormat="1" applyFont="1" applyBorder="1" applyAlignment="1">
      <alignment horizontal="left"/>
    </xf>
    <xf numFmtId="0" fontId="0" fillId="0" borderId="19" xfId="2" applyFont="1" applyBorder="1" applyAlignment="1">
      <alignment horizontal="center"/>
    </xf>
    <xf numFmtId="170" fontId="3" fillId="0" borderId="0" xfId="2" applyNumberFormat="1" applyFont="1" applyBorder="1" applyAlignment="1">
      <alignment horizontal="right"/>
    </xf>
    <xf numFmtId="174" fontId="1" fillId="0" borderId="0" xfId="2" applyNumberFormat="1" applyBorder="1" applyAlignment="1">
      <alignment horizontal="center"/>
    </xf>
    <xf numFmtId="174" fontId="14" fillId="0" borderId="0" xfId="2" applyNumberFormat="1" applyFont="1" applyBorder="1"/>
    <xf numFmtId="174" fontId="1" fillId="0" borderId="4" xfId="2" applyNumberFormat="1" applyFill="1" applyBorder="1" applyAlignment="1">
      <alignment horizontal="right"/>
    </xf>
    <xf numFmtId="173" fontId="1" fillId="0" borderId="15" xfId="2" applyNumberFormat="1" applyBorder="1" applyAlignment="1">
      <alignment horizontal="right"/>
    </xf>
    <xf numFmtId="174" fontId="1" fillId="0" borderId="0" xfId="2" applyNumberFormat="1" applyFill="1" applyBorder="1" applyAlignment="1">
      <alignment horizontal="right"/>
    </xf>
    <xf numFmtId="173" fontId="1" fillId="0" borderId="0" xfId="2" applyNumberFormat="1" applyBorder="1" applyAlignment="1">
      <alignment horizontal="right"/>
    </xf>
    <xf numFmtId="173" fontId="1" fillId="0" borderId="0" xfId="2" applyNumberFormat="1" applyFill="1" applyBorder="1" applyAlignment="1">
      <alignment horizontal="right"/>
    </xf>
    <xf numFmtId="0" fontId="1" fillId="0" borderId="17" xfId="2" applyBorder="1" applyAlignment="1">
      <alignment horizontal="center"/>
    </xf>
    <xf numFmtId="171" fontId="7" fillId="0" borderId="19" xfId="2" applyNumberFormat="1" applyFont="1" applyBorder="1" applyAlignment="1">
      <alignment horizontal="center"/>
    </xf>
    <xf numFmtId="171" fontId="1" fillId="0" borderId="19" xfId="2" applyNumberFormat="1" applyFont="1" applyBorder="1" applyAlignment="1">
      <alignment horizontal="center"/>
    </xf>
    <xf numFmtId="168" fontId="1" fillId="0" borderId="19" xfId="2" applyNumberFormat="1" applyBorder="1" applyAlignment="1">
      <alignment horizontal="left"/>
    </xf>
    <xf numFmtId="171" fontId="1" fillId="0" borderId="15" xfId="2" applyNumberFormat="1" applyBorder="1" applyAlignment="1">
      <alignment horizontal="center"/>
    </xf>
    <xf numFmtId="4" fontId="1" fillId="0" borderId="0" xfId="2" applyNumberFormat="1" applyBorder="1" applyAlignment="1">
      <alignment horizontal="center"/>
    </xf>
    <xf numFmtId="3" fontId="1" fillId="0" borderId="0" xfId="2" applyNumberFormat="1" applyBorder="1" applyAlignment="1">
      <alignment horizontal="center"/>
    </xf>
    <xf numFmtId="183" fontId="1" fillId="0" borderId="0" xfId="2" applyNumberFormat="1" applyFill="1" applyBorder="1" applyAlignment="1">
      <alignment horizontal="center"/>
    </xf>
    <xf numFmtId="171" fontId="1" fillId="0" borderId="0" xfId="2" applyNumberFormat="1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3" fontId="1" fillId="0" borderId="21" xfId="2" applyNumberFormat="1" applyFont="1" applyFill="1" applyBorder="1"/>
    <xf numFmtId="173" fontId="1" fillId="0" borderId="0" xfId="3" applyNumberFormat="1" applyFont="1" applyBorder="1"/>
    <xf numFmtId="180" fontId="3" fillId="0" borderId="0" xfId="3" applyNumberFormat="1" applyFont="1" applyFill="1" applyBorder="1"/>
    <xf numFmtId="171" fontId="1" fillId="0" borderId="19" xfId="5" applyNumberFormat="1" applyFont="1" applyBorder="1" applyAlignment="1">
      <alignment horizontal="right"/>
    </xf>
    <xf numFmtId="0" fontId="1" fillId="0" borderId="21" xfId="2" applyFont="1" applyFill="1" applyBorder="1" applyProtection="1">
      <protection locked="0"/>
    </xf>
    <xf numFmtId="174" fontId="1" fillId="0" borderId="21" xfId="2" applyNumberFormat="1" applyFill="1" applyBorder="1"/>
    <xf numFmtId="170" fontId="1" fillId="0" borderId="21" xfId="2" applyNumberFormat="1" applyFill="1" applyBorder="1" applyAlignment="1">
      <alignment horizontal="right"/>
    </xf>
    <xf numFmtId="173" fontId="1" fillId="0" borderId="19" xfId="2" applyNumberFormat="1" applyFill="1" applyBorder="1" applyAlignment="1">
      <alignment horizontal="center"/>
    </xf>
    <xf numFmtId="171" fontId="3" fillId="0" borderId="0" xfId="2" applyNumberFormat="1" applyFont="1" applyFill="1" applyBorder="1" applyAlignment="1">
      <alignment horizontal="right"/>
    </xf>
    <xf numFmtId="173" fontId="1" fillId="0" borderId="17" xfId="2" applyNumberFormat="1" applyFill="1" applyBorder="1"/>
    <xf numFmtId="170" fontId="1" fillId="0" borderId="4" xfId="2" applyNumberFormat="1" applyBorder="1"/>
    <xf numFmtId="5" fontId="1" fillId="0" borderId="0" xfId="2" applyNumberFormat="1" applyBorder="1"/>
    <xf numFmtId="5" fontId="1" fillId="0" borderId="0" xfId="2" applyNumberFormat="1" applyFill="1" applyBorder="1"/>
    <xf numFmtId="5" fontId="1" fillId="0" borderId="21" xfId="2" applyNumberFormat="1" applyBorder="1"/>
    <xf numFmtId="5" fontId="1" fillId="0" borderId="0" xfId="2" applyNumberFormat="1"/>
    <xf numFmtId="5" fontId="1" fillId="0" borderId="0" xfId="2" applyNumberFormat="1" applyFill="1" applyBorder="1" applyAlignment="1">
      <alignment horizontal="center"/>
    </xf>
    <xf numFmtId="5" fontId="1" fillId="0" borderId="0" xfId="2" applyNumberFormat="1" applyFill="1"/>
    <xf numFmtId="168" fontId="1" fillId="0" borderId="0" xfId="2" applyNumberFormat="1" applyAlignment="1">
      <alignment horizontal="right"/>
    </xf>
    <xf numFmtId="170" fontId="1" fillId="0" borderId="0" xfId="2" applyNumberFormat="1" applyFont="1"/>
    <xf numFmtId="3" fontId="7" fillId="0" borderId="0" xfId="2" applyNumberFormat="1" applyFont="1"/>
    <xf numFmtId="5" fontId="7" fillId="0" borderId="0" xfId="2" applyNumberFormat="1" applyFont="1"/>
    <xf numFmtId="5" fontId="1" fillId="0" borderId="0" xfId="2" applyNumberFormat="1" applyFont="1"/>
    <xf numFmtId="173" fontId="1" fillId="0" borderId="0" xfId="2" applyNumberFormat="1" applyAlignment="1">
      <alignment horizontal="right"/>
    </xf>
    <xf numFmtId="3" fontId="7" fillId="0" borderId="0" xfId="2" applyNumberFormat="1" applyFont="1" applyFill="1"/>
    <xf numFmtId="41" fontId="7" fillId="0" borderId="0" xfId="2" applyNumberFormat="1" applyFont="1"/>
    <xf numFmtId="5" fontId="1" fillId="0" borderId="21" xfId="2" applyNumberFormat="1" applyFont="1" applyBorder="1"/>
    <xf numFmtId="170" fontId="1" fillId="0" borderId="0" xfId="2" applyNumberFormat="1" applyFont="1" applyFill="1"/>
    <xf numFmtId="42" fontId="7" fillId="0" borderId="0" xfId="2" applyNumberFormat="1" applyFont="1"/>
    <xf numFmtId="3" fontId="1" fillId="0" borderId="0" xfId="2" applyNumberFormat="1" applyFont="1" applyFill="1"/>
    <xf numFmtId="174" fontId="1" fillId="0" borderId="0" xfId="2" applyNumberFormat="1"/>
    <xf numFmtId="170" fontId="1" fillId="0" borderId="0" xfId="2" applyNumberFormat="1" applyFill="1"/>
    <xf numFmtId="0" fontId="0" fillId="0" borderId="4" xfId="0" applyBorder="1" applyAlignment="1">
      <alignment horizontal="center"/>
    </xf>
    <xf numFmtId="17" fontId="7" fillId="0" borderId="4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Border="1" applyAlignment="1">
      <alignment horizontal="left"/>
    </xf>
    <xf numFmtId="3" fontId="0" fillId="0" borderId="21" xfId="0" applyNumberFormat="1" applyBorder="1"/>
    <xf numFmtId="0" fontId="0" fillId="0" borderId="0" xfId="0" applyFill="1" applyBorder="1" applyAlignment="1">
      <alignment horizontal="left"/>
    </xf>
    <xf numFmtId="0" fontId="0" fillId="0" borderId="0" xfId="0" applyBorder="1"/>
    <xf numFmtId="164" fontId="0" fillId="0" borderId="0" xfId="0" applyNumberFormat="1" applyBorder="1"/>
    <xf numFmtId="3" fontId="0" fillId="0" borderId="0" xfId="0" applyNumberFormat="1" applyBorder="1"/>
    <xf numFmtId="0" fontId="0" fillId="0" borderId="0" xfId="0" applyFont="1"/>
    <xf numFmtId="3" fontId="0" fillId="0" borderId="0" xfId="0" applyNumberFormat="1" applyFont="1"/>
    <xf numFmtId="0" fontId="1" fillId="0" borderId="0" xfId="6"/>
    <xf numFmtId="0" fontId="14" fillId="0" borderId="0" xfId="6" applyFont="1" applyAlignment="1">
      <alignment horizontal="centerContinuous"/>
    </xf>
    <xf numFmtId="0" fontId="1" fillId="0" borderId="0" xfId="6" applyAlignment="1">
      <alignment horizontal="centerContinuous"/>
    </xf>
    <xf numFmtId="0" fontId="2" fillId="0" borderId="0" xfId="6" applyFont="1" applyAlignment="1">
      <alignment horizontal="centerContinuous"/>
    </xf>
    <xf numFmtId="0" fontId="1" fillId="0" borderId="0" xfId="6" applyFont="1" applyAlignment="1">
      <alignment horizontal="centerContinuous"/>
    </xf>
    <xf numFmtId="0" fontId="1" fillId="0" borderId="0" xfId="6" applyFill="1" applyAlignment="1">
      <alignment horizontal="centerContinuous"/>
    </xf>
    <xf numFmtId="0" fontId="1" fillId="0" borderId="4" xfId="6" applyBorder="1" applyAlignment="1">
      <alignment horizontal="center"/>
    </xf>
    <xf numFmtId="166" fontId="14" fillId="0" borderId="4" xfId="7" applyNumberFormat="1" applyFont="1" applyFill="1" applyBorder="1" applyAlignment="1">
      <alignment horizontal="center" wrapText="1"/>
    </xf>
    <xf numFmtId="0" fontId="1" fillId="0" borderId="4" xfId="6" applyFill="1" applyBorder="1" applyAlignment="1">
      <alignment horizontal="center"/>
    </xf>
    <xf numFmtId="0" fontId="2" fillId="0" borderId="0" xfId="6" applyFont="1"/>
    <xf numFmtId="0" fontId="2" fillId="0" borderId="0" xfId="6" applyFont="1" applyAlignment="1">
      <alignment horizontal="right"/>
    </xf>
    <xf numFmtId="4" fontId="1" fillId="0" borderId="0" xfId="6" applyNumberFormat="1"/>
    <xf numFmtId="0" fontId="1" fillId="0" borderId="0" xfId="6" applyFill="1"/>
    <xf numFmtId="0" fontId="1" fillId="0" borderId="0" xfId="6" applyFont="1" applyFill="1"/>
    <xf numFmtId="0" fontId="1" fillId="0" borderId="0" xfId="6" applyFont="1" applyFill="1" applyAlignment="1">
      <alignment horizontal="right"/>
    </xf>
    <xf numFmtId="3" fontId="14" fillId="0" borderId="0" xfId="6" applyNumberFormat="1" applyFont="1" applyFill="1"/>
    <xf numFmtId="3" fontId="1" fillId="0" borderId="0" xfId="6" applyNumberFormat="1" applyFill="1"/>
    <xf numFmtId="3" fontId="7" fillId="0" borderId="0" xfId="6" applyNumberFormat="1" applyFont="1" applyFill="1"/>
    <xf numFmtId="0" fontId="1" fillId="0" borderId="0" xfId="6" applyAlignment="1">
      <alignment horizontal="right"/>
    </xf>
    <xf numFmtId="0" fontId="1" fillId="0" borderId="0" xfId="7" applyFill="1"/>
    <xf numFmtId="0" fontId="1" fillId="0" borderId="0" xfId="6" applyFill="1" applyBorder="1"/>
    <xf numFmtId="0" fontId="0" fillId="0" borderId="0" xfId="6" applyFont="1" applyFill="1" applyBorder="1" applyAlignment="1">
      <alignment horizontal="right"/>
    </xf>
    <xf numFmtId="3" fontId="7" fillId="0" borderId="0" xfId="6" applyNumberFormat="1" applyFont="1" applyFill="1" applyBorder="1"/>
    <xf numFmtId="3" fontId="1" fillId="0" borderId="0" xfId="6" applyNumberFormat="1" applyFill="1" applyBorder="1"/>
    <xf numFmtId="3" fontId="1" fillId="0" borderId="21" xfId="6" applyNumberFormat="1" applyFill="1" applyBorder="1"/>
    <xf numFmtId="3" fontId="1" fillId="0" borderId="0" xfId="6" applyNumberFormat="1"/>
    <xf numFmtId="0" fontId="1" fillId="0" borderId="0" xfId="7" applyFont="1" applyFill="1"/>
    <xf numFmtId="0" fontId="1" fillId="0" borderId="0" xfId="7" applyFont="1" applyFill="1" applyAlignment="1">
      <alignment horizontal="right"/>
    </xf>
    <xf numFmtId="0" fontId="1" fillId="0" borderId="0" xfId="7" applyAlignment="1">
      <alignment horizontal="right"/>
    </xf>
    <xf numFmtId="3" fontId="14" fillId="0" borderId="0" xfId="6" applyNumberFormat="1" applyFont="1" applyFill="1" applyBorder="1"/>
    <xf numFmtId="0" fontId="1" fillId="0" borderId="0" xfId="6" applyFill="1" applyAlignment="1">
      <alignment horizontal="right"/>
    </xf>
    <xf numFmtId="0" fontId="1" fillId="0" borderId="0" xfId="6" applyBorder="1"/>
    <xf numFmtId="0" fontId="0" fillId="0" borderId="0" xfId="6" applyFont="1" applyBorder="1" applyAlignment="1">
      <alignment horizontal="right"/>
    </xf>
    <xf numFmtId="3" fontId="1" fillId="0" borderId="0" xfId="6" applyNumberFormat="1" applyBorder="1"/>
    <xf numFmtId="3" fontId="3" fillId="0" borderId="0" xfId="6" applyNumberFormat="1" applyFont="1" applyFill="1"/>
    <xf numFmtId="167" fontId="3" fillId="0" borderId="0" xfId="6" applyNumberFormat="1" applyFont="1" applyFill="1"/>
    <xf numFmtId="179" fontId="3" fillId="0" borderId="0" xfId="5" applyNumberFormat="1" applyFont="1" applyFill="1"/>
    <xf numFmtId="176" fontId="3" fillId="0" borderId="0" xfId="6" applyNumberFormat="1" applyFont="1" applyFill="1"/>
    <xf numFmtId="177" fontId="3" fillId="0" borderId="0" xfId="6" applyNumberFormat="1" applyFont="1" applyFill="1" applyBorder="1"/>
    <xf numFmtId="167" fontId="3" fillId="0" borderId="0" xfId="6" applyNumberFormat="1" applyFont="1" applyFill="1" applyBorder="1"/>
    <xf numFmtId="3" fontId="1" fillId="0" borderId="21" xfId="6" applyNumberFormat="1" applyBorder="1"/>
    <xf numFmtId="0" fontId="2" fillId="0" borderId="0" xfId="6" applyFont="1" applyFill="1"/>
    <xf numFmtId="3" fontId="0" fillId="0" borderId="0" xfId="0" applyNumberFormat="1" applyFill="1"/>
    <xf numFmtId="3" fontId="9" fillId="0" borderId="0" xfId="6" applyNumberFormat="1" applyFont="1" applyFill="1"/>
    <xf numFmtId="0" fontId="0" fillId="0" borderId="0" xfId="0" applyFill="1"/>
    <xf numFmtId="9" fontId="1" fillId="0" borderId="0" xfId="3" applyFont="1" applyFill="1" applyBorder="1"/>
    <xf numFmtId="4" fontId="1" fillId="0" borderId="0" xfId="3" applyNumberFormat="1" applyFont="1" applyFill="1" applyBorder="1"/>
    <xf numFmtId="0" fontId="1" fillId="0" borderId="0" xfId="6" applyAlignment="1">
      <alignment horizontal="left"/>
    </xf>
    <xf numFmtId="0" fontId="1" fillId="0" borderId="0" xfId="6" applyFill="1" applyBorder="1" applyAlignment="1">
      <alignment horizontal="left"/>
    </xf>
    <xf numFmtId="0" fontId="0" fillId="0" borderId="0" xfId="0" applyAlignment="1">
      <alignment horizontal="right"/>
    </xf>
    <xf numFmtId="0" fontId="1" fillId="0" borderId="0" xfId="6" applyBorder="1" applyAlignment="1">
      <alignment horizontal="left"/>
    </xf>
    <xf numFmtId="0" fontId="1" fillId="0" borderId="0" xfId="6" applyBorder="1" applyAlignment="1">
      <alignment horizontal="right"/>
    </xf>
    <xf numFmtId="0" fontId="1" fillId="0" borderId="0" xfId="6" applyFont="1" applyBorder="1" applyAlignment="1">
      <alignment horizontal="left"/>
    </xf>
    <xf numFmtId="0" fontId="1" fillId="0" borderId="0" xfId="6" applyFont="1" applyFill="1" applyBorder="1" applyAlignment="1">
      <alignment horizontal="left"/>
    </xf>
    <xf numFmtId="0" fontId="2" fillId="0" borderId="0" xfId="6" applyFont="1" applyAlignment="1">
      <alignment horizontal="left"/>
    </xf>
    <xf numFmtId="3" fontId="1" fillId="0" borderId="0" xfId="6" applyNumberFormat="1" applyFill="1" applyAlignment="1"/>
    <xf numFmtId="0" fontId="0" fillId="0" borderId="7" xfId="6" applyFont="1" applyBorder="1"/>
    <xf numFmtId="0" fontId="1" fillId="0" borderId="8" xfId="6" applyBorder="1"/>
    <xf numFmtId="3" fontId="7" fillId="0" borderId="8" xfId="6" applyNumberFormat="1" applyFont="1" applyBorder="1"/>
    <xf numFmtId="3" fontId="1" fillId="0" borderId="9" xfId="6" applyNumberFormat="1" applyBorder="1"/>
    <xf numFmtId="0" fontId="1" fillId="0" borderId="9" xfId="6" applyBorder="1"/>
    <xf numFmtId="0" fontId="0" fillId="0" borderId="9" xfId="6" applyFont="1" applyBorder="1"/>
    <xf numFmtId="3" fontId="14" fillId="0" borderId="0" xfId="6" applyNumberFormat="1" applyFont="1" applyBorder="1"/>
    <xf numFmtId="0" fontId="1" fillId="0" borderId="10" xfId="6" applyFont="1" applyBorder="1"/>
    <xf numFmtId="0" fontId="1" fillId="0" borderId="11" xfId="6" applyBorder="1"/>
    <xf numFmtId="3" fontId="1" fillId="0" borderId="11" xfId="6" applyNumberFormat="1" applyBorder="1"/>
    <xf numFmtId="0" fontId="0" fillId="0" borderId="4" xfId="0" applyBorder="1"/>
    <xf numFmtId="44" fontId="0" fillId="0" borderId="0" xfId="9" applyFont="1"/>
    <xf numFmtId="164" fontId="0" fillId="0" borderId="4" xfId="8" applyNumberFormat="1" applyFont="1" applyBorder="1"/>
    <xf numFmtId="44" fontId="0" fillId="0" borderId="1" xfId="9" applyFont="1" applyBorder="1"/>
    <xf numFmtId="44" fontId="0" fillId="0" borderId="1" xfId="0" applyNumberFormat="1" applyBorder="1"/>
    <xf numFmtId="0" fontId="0" fillId="0" borderId="3" xfId="0" applyBorder="1"/>
    <xf numFmtId="44" fontId="0" fillId="0" borderId="3" xfId="0" applyNumberFormat="1" applyBorder="1"/>
    <xf numFmtId="10" fontId="0" fillId="0" borderId="0" xfId="10" applyNumberFormat="1" applyFont="1"/>
    <xf numFmtId="0" fontId="0" fillId="0" borderId="22" xfId="0" applyBorder="1"/>
    <xf numFmtId="44" fontId="0" fillId="0" borderId="22" xfId="0" applyNumberFormat="1" applyBorder="1"/>
    <xf numFmtId="44" fontId="0" fillId="0" borderId="23" xfId="0" applyNumberFormat="1" applyBorder="1"/>
    <xf numFmtId="44" fontId="0" fillId="0" borderId="0" xfId="0" applyNumberFormat="1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8" xfId="0" applyBorder="1"/>
    <xf numFmtId="0" fontId="0" fillId="0" borderId="19" xfId="0" applyBorder="1"/>
    <xf numFmtId="44" fontId="0" fillId="0" borderId="18" xfId="9" applyFont="1" applyBorder="1"/>
    <xf numFmtId="44" fontId="0" fillId="0" borderId="19" xfId="9" applyFont="1" applyBorder="1"/>
    <xf numFmtId="164" fontId="0" fillId="0" borderId="14" xfId="8" applyNumberFormat="1" applyFont="1" applyBorder="1"/>
    <xf numFmtId="164" fontId="0" fillId="0" borderId="15" xfId="8" applyNumberFormat="1" applyFont="1" applyBorder="1"/>
    <xf numFmtId="44" fontId="0" fillId="0" borderId="16" xfId="9" applyFont="1" applyBorder="1"/>
    <xf numFmtId="44" fontId="0" fillId="0" borderId="13" xfId="9" applyFont="1" applyBorder="1"/>
    <xf numFmtId="165" fontId="0" fillId="0" borderId="18" xfId="9" applyNumberFormat="1" applyFont="1" applyBorder="1"/>
    <xf numFmtId="165" fontId="0" fillId="0" borderId="19" xfId="9" applyNumberFormat="1" applyFont="1" applyBorder="1"/>
    <xf numFmtId="165" fontId="0" fillId="0" borderId="18" xfId="0" applyNumberFormat="1" applyBorder="1"/>
    <xf numFmtId="165" fontId="0" fillId="0" borderId="19" xfId="0" applyNumberFormat="1" applyBorder="1"/>
    <xf numFmtId="164" fontId="0" fillId="0" borderId="18" xfId="8" applyNumberFormat="1" applyFont="1" applyBorder="1"/>
    <xf numFmtId="164" fontId="0" fillId="0" borderId="19" xfId="8" applyNumberFormat="1" applyFont="1" applyBorder="1"/>
    <xf numFmtId="44" fontId="0" fillId="0" borderId="16" xfId="0" applyNumberFormat="1" applyBorder="1"/>
    <xf numFmtId="44" fontId="0" fillId="0" borderId="13" xfId="0" applyNumberFormat="1" applyBorder="1"/>
    <xf numFmtId="44" fontId="0" fillId="0" borderId="24" xfId="0" applyNumberFormat="1" applyBorder="1"/>
    <xf numFmtId="44" fontId="0" fillId="0" borderId="25" xfId="0" applyNumberFormat="1" applyBorder="1"/>
    <xf numFmtId="10" fontId="0" fillId="0" borderId="18" xfId="10" applyNumberFormat="1" applyFont="1" applyBorder="1"/>
    <xf numFmtId="10" fontId="0" fillId="0" borderId="19" xfId="10" applyNumberFormat="1" applyFont="1" applyBorder="1"/>
    <xf numFmtId="44" fontId="0" fillId="0" borderId="26" xfId="0" applyNumberFormat="1" applyBorder="1"/>
    <xf numFmtId="44" fontId="0" fillId="0" borderId="27" xfId="0" applyNumberFormat="1" applyBorder="1"/>
    <xf numFmtId="44" fontId="0" fillId="0" borderId="28" xfId="0" applyNumberFormat="1" applyBorder="1"/>
    <xf numFmtId="44" fontId="0" fillId="0" borderId="29" xfId="0" applyNumberFormat="1" applyBorder="1"/>
    <xf numFmtId="44" fontId="0" fillId="0" borderId="18" xfId="0" applyNumberFormat="1" applyBorder="1"/>
    <xf numFmtId="44" fontId="0" fillId="0" borderId="19" xfId="0" applyNumberFormat="1" applyBorder="1"/>
    <xf numFmtId="0" fontId="25" fillId="0" borderId="0" xfId="11" applyNumberFormat="1" applyFont="1" applyFill="1" applyBorder="1" applyAlignment="1">
      <alignment horizontal="centerContinuous"/>
    </xf>
    <xf numFmtId="0" fontId="24" fillId="0" borderId="0" xfId="11" applyNumberFormat="1" applyFont="1" applyFill="1" applyBorder="1" applyAlignment="1">
      <alignment horizontal="centerContinuous"/>
    </xf>
    <xf numFmtId="0" fontId="25" fillId="0" borderId="0" xfId="11" applyNumberFormat="1" applyFont="1" applyFill="1" applyBorder="1" applyAlignment="1"/>
    <xf numFmtId="0" fontId="25" fillId="0" borderId="0" xfId="11" applyNumberFormat="1" applyFont="1" applyFill="1" applyBorder="1" applyAlignment="1">
      <alignment horizontal="center"/>
    </xf>
    <xf numFmtId="0" fontId="24" fillId="0" borderId="4" xfId="11" applyNumberFormat="1" applyFont="1" applyFill="1" applyBorder="1" applyAlignment="1">
      <alignment horizontal="left"/>
    </xf>
    <xf numFmtId="0" fontId="25" fillId="0" borderId="4" xfId="11" applyNumberFormat="1" applyFont="1" applyFill="1" applyBorder="1" applyAlignment="1">
      <alignment horizontal="center"/>
    </xf>
    <xf numFmtId="0" fontId="25" fillId="0" borderId="0" xfId="11" applyNumberFormat="1" applyFont="1" applyFill="1" applyBorder="1" applyAlignment="1">
      <alignment horizontal="fill"/>
    </xf>
    <xf numFmtId="10" fontId="25" fillId="0" borderId="0" xfId="11" applyNumberFormat="1" applyFont="1" applyFill="1" applyBorder="1" applyAlignment="1"/>
    <xf numFmtId="0" fontId="24" fillId="0" borderId="0" xfId="12" applyNumberFormat="1" applyFont="1" applyFill="1" applyAlignment="1"/>
    <xf numFmtId="0" fontId="24" fillId="0" borderId="0" xfId="12" applyNumberFormat="1" applyFont="1" applyFill="1" applyAlignment="1">
      <alignment horizontal="center"/>
    </xf>
    <xf numFmtId="0" fontId="24" fillId="0" borderId="4" xfId="12" applyNumberFormat="1" applyFont="1" applyFill="1" applyBorder="1" applyAlignment="1">
      <alignment horizontal="center"/>
    </xf>
    <xf numFmtId="0" fontId="24" fillId="0" borderId="4" xfId="12" applyNumberFormat="1" applyFont="1" applyFill="1" applyBorder="1" applyAlignment="1" applyProtection="1">
      <protection locked="0"/>
    </xf>
    <xf numFmtId="0" fontId="24" fillId="0" borderId="4" xfId="12" applyNumberFormat="1" applyFont="1" applyFill="1" applyBorder="1" applyAlignment="1"/>
    <xf numFmtId="0" fontId="24" fillId="0" borderId="4" xfId="12" applyNumberFormat="1" applyFont="1" applyFill="1" applyBorder="1" applyAlignment="1">
      <alignment horizontal="right"/>
    </xf>
    <xf numFmtId="0" fontId="25" fillId="0" borderId="0" xfId="12" applyNumberFormat="1" applyFont="1" applyFill="1" applyAlignment="1"/>
    <xf numFmtId="0" fontId="25" fillId="0" borderId="0" xfId="12" applyNumberFormat="1" applyFont="1" applyFill="1" applyAlignment="1">
      <alignment horizontal="center"/>
    </xf>
    <xf numFmtId="0" fontId="25" fillId="0" borderId="0" xfId="12" applyNumberFormat="1" applyFont="1" applyFill="1" applyAlignment="1">
      <alignment horizontal="left"/>
    </xf>
    <xf numFmtId="167" fontId="25" fillId="0" borderId="0" xfId="12" applyNumberFormat="1" applyFont="1" applyFill="1" applyAlignment="1"/>
    <xf numFmtId="168" fontId="25" fillId="0" borderId="0" xfId="12" applyNumberFormat="1" applyFont="1" applyFill="1" applyAlignment="1"/>
    <xf numFmtId="167" fontId="25" fillId="0" borderId="4" xfId="12" applyNumberFormat="1" applyFont="1" applyFill="1" applyBorder="1" applyAlignment="1"/>
    <xf numFmtId="167" fontId="25" fillId="0" borderId="0" xfId="12" applyNumberFormat="1" applyFont="1" applyFill="1" applyBorder="1" applyAlignment="1"/>
    <xf numFmtId="9" fontId="25" fillId="0" borderId="0" xfId="12" applyNumberFormat="1" applyFont="1" applyFill="1" applyAlignment="1"/>
    <xf numFmtId="167" fontId="25" fillId="0" borderId="2" xfId="12" applyNumberFormat="1" applyFont="1" applyFill="1" applyBorder="1" applyAlignment="1" applyProtection="1">
      <protection locked="0"/>
    </xf>
    <xf numFmtId="10" fontId="25" fillId="0" borderId="0" xfId="0" applyNumberFormat="1" applyFont="1" applyFill="1" applyBorder="1" applyAlignment="1"/>
    <xf numFmtId="0" fontId="25" fillId="0" borderId="0" xfId="0" applyNumberFormat="1" applyFont="1" applyFill="1" applyBorder="1" applyAlignment="1"/>
    <xf numFmtId="0" fontId="2" fillId="0" borderId="0" xfId="0" applyFont="1" applyFill="1" applyAlignment="1">
      <alignment horizontal="center"/>
    </xf>
    <xf numFmtId="44" fontId="0" fillId="2" borderId="22" xfId="0" applyNumberFormat="1" applyFill="1" applyBorder="1"/>
    <xf numFmtId="44" fontId="0" fillId="2" borderId="26" xfId="0" applyNumberFormat="1" applyFill="1" applyBorder="1"/>
    <xf numFmtId="44" fontId="0" fillId="2" borderId="27" xfId="0" applyNumberFormat="1" applyFill="1" applyBorder="1"/>
    <xf numFmtId="0" fontId="24" fillId="0" borderId="0" xfId="11" applyNumberFormat="1" applyFont="1" applyFill="1" applyBorder="1" applyAlignment="1" applyProtection="1">
      <alignment horizontal="centerContinuous"/>
      <protection locked="0"/>
    </xf>
    <xf numFmtId="0" fontId="25" fillId="0" borderId="0" xfId="11" applyNumberFormat="1" applyFont="1" applyFill="1" applyBorder="1" applyAlignment="1" applyProtection="1">
      <protection locked="0"/>
    </xf>
    <xf numFmtId="0" fontId="24" fillId="0" borderId="0" xfId="11" applyNumberFormat="1" applyFont="1" applyFill="1" applyBorder="1" applyAlignment="1">
      <alignment horizontal="center"/>
    </xf>
    <xf numFmtId="0" fontId="24" fillId="0" borderId="4" xfId="11" applyNumberFormat="1" applyFont="1" applyFill="1" applyBorder="1" applyAlignment="1">
      <alignment horizontal="center"/>
    </xf>
    <xf numFmtId="10" fontId="25" fillId="0" borderId="4" xfId="0" applyNumberFormat="1" applyFont="1" applyFill="1" applyBorder="1" applyAlignment="1"/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24" fillId="0" borderId="0" xfId="12" applyNumberFormat="1" applyFont="1" applyFill="1" applyAlignment="1" applyProtection="1">
      <alignment horizontal="center"/>
      <protection locked="0"/>
    </xf>
    <xf numFmtId="0" fontId="24" fillId="0" borderId="0" xfId="11" applyNumberFormat="1" applyFont="1" applyFill="1" applyBorder="1" applyAlignment="1" applyProtection="1">
      <alignment horizontal="center"/>
      <protection locked="0"/>
    </xf>
    <xf numFmtId="0" fontId="24" fillId="0" borderId="0" xfId="12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170" fontId="1" fillId="0" borderId="1" xfId="2" applyNumberFormat="1" applyBorder="1" applyAlignment="1">
      <alignment horizontal="center"/>
    </xf>
    <xf numFmtId="170" fontId="1" fillId="0" borderId="13" xfId="2" applyNumberFormat="1" applyBorder="1" applyAlignment="1">
      <alignment horizontal="center"/>
    </xf>
  </cellXfs>
  <cellStyles count="13">
    <cellStyle name="Comma" xfId="8" builtinId="3"/>
    <cellStyle name="Comma 10" xfId="5"/>
    <cellStyle name="Currency" xfId="9" builtinId="4"/>
    <cellStyle name="Currency 10 2" xfId="4"/>
    <cellStyle name="Normal" xfId="0" builtinId="0"/>
    <cellStyle name="Normal - Style1 2 2 3 4" xfId="1"/>
    <cellStyle name="Normal - Style1 5 4" xfId="11"/>
    <cellStyle name="Normal 5" xfId="7"/>
    <cellStyle name="Normal 8 6 8" xfId="12"/>
    <cellStyle name="Normal_Pro Forma Rev 09 GRC Revised_W new template" xfId="6"/>
    <cellStyle name="Percent" xfId="10" builtinId="5"/>
    <cellStyle name="Percent 10" xfId="3"/>
    <cellStyle name="Test" xfId="2"/>
  </cellStyles>
  <dxfs count="0"/>
  <tableStyles count="0" defaultTableStyle="TableStyleMedium9" defaultPivotStyle="PivotStyleLight16"/>
  <colors>
    <mruColors>
      <color rgb="FF0000FF"/>
      <color rgb="FF008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80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84250</xdr:colOff>
      <xdr:row>34</xdr:row>
      <xdr:rowOff>8160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61050" cy="62260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 refreshError="1">
        <row r="11">
          <cell r="B11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C44" sqref="C4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"/>
  <sheetViews>
    <sheetView zoomScaleNormal="100" workbookViewId="0">
      <selection activeCell="G33" sqref="G33"/>
    </sheetView>
  </sheetViews>
  <sheetFormatPr defaultColWidth="9.109375" defaultRowHeight="13.8" x14ac:dyDescent="0.3"/>
  <cols>
    <col min="1" max="1" width="5.33203125" style="25" customWidth="1"/>
    <col min="2" max="2" width="63.5546875" style="25" customWidth="1"/>
    <col min="3" max="3" width="15.5546875" style="25" customWidth="1"/>
    <col min="4" max="5" width="16.44140625" style="25" customWidth="1"/>
    <col min="6" max="6" width="20.5546875" style="25" bestFit="1" customWidth="1"/>
    <col min="7" max="7" width="17.6640625" style="25" customWidth="1"/>
    <col min="8" max="8" width="14.5546875" style="25" bestFit="1" customWidth="1"/>
    <col min="9" max="9" width="9.109375" style="25"/>
    <col min="10" max="10" width="10.33203125" style="25" bestFit="1" customWidth="1"/>
    <col min="11" max="16384" width="9.109375" style="25"/>
  </cols>
  <sheetData>
    <row r="1" spans="1:17" ht="12.75" x14ac:dyDescent="0.2">
      <c r="A1" s="660" t="s">
        <v>17</v>
      </c>
      <c r="B1" s="660"/>
      <c r="C1" s="660"/>
      <c r="D1" s="660"/>
      <c r="E1" s="660"/>
      <c r="F1" s="660"/>
      <c r="G1" s="7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12.75" x14ac:dyDescent="0.2">
      <c r="A2" s="660" t="s">
        <v>186</v>
      </c>
      <c r="B2" s="660"/>
      <c r="C2" s="660"/>
      <c r="D2" s="660"/>
      <c r="E2" s="660"/>
      <c r="F2" s="660"/>
      <c r="G2" s="7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ht="12.75" x14ac:dyDescent="0.2">
      <c r="A3" s="660" t="s">
        <v>291</v>
      </c>
      <c r="B3" s="660"/>
      <c r="C3" s="660"/>
      <c r="D3" s="660"/>
      <c r="E3" s="660"/>
      <c r="F3" s="660"/>
      <c r="G3" s="7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ht="12.75" x14ac:dyDescent="0.2">
      <c r="A4" s="7"/>
      <c r="B4" s="7"/>
      <c r="C4" s="7"/>
      <c r="D4" s="7"/>
      <c r="E4" s="7"/>
      <c r="F4" s="646"/>
      <c r="G4" s="646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ht="12.75" x14ac:dyDescent="0.2">
      <c r="A5" s="24"/>
      <c r="B5" s="24"/>
      <c r="C5" s="24"/>
      <c r="D5" s="24"/>
      <c r="E5" s="24"/>
      <c r="F5" s="24"/>
      <c r="G5" s="24"/>
    </row>
    <row r="6" spans="1:17" ht="12.75" customHeight="1" x14ac:dyDescent="0.2">
      <c r="A6" s="45" t="s">
        <v>276</v>
      </c>
      <c r="B6" s="24"/>
      <c r="C6" s="24"/>
      <c r="D6" s="33" t="s">
        <v>275</v>
      </c>
      <c r="E6" s="33" t="s">
        <v>275</v>
      </c>
      <c r="F6" s="33" t="s">
        <v>275</v>
      </c>
      <c r="G6" s="24"/>
    </row>
    <row r="7" spans="1:17" ht="12.75" x14ac:dyDescent="0.2">
      <c r="A7" s="46" t="s">
        <v>274</v>
      </c>
      <c r="B7" s="43"/>
      <c r="C7" s="47" t="s">
        <v>15</v>
      </c>
      <c r="D7" s="34" t="s">
        <v>277</v>
      </c>
      <c r="E7" s="34" t="s">
        <v>296</v>
      </c>
      <c r="F7" s="34" t="s">
        <v>297</v>
      </c>
    </row>
    <row r="8" spans="1:17" ht="12.75" x14ac:dyDescent="0.2">
      <c r="A8" s="29"/>
      <c r="B8" s="30" t="s">
        <v>14</v>
      </c>
      <c r="C8" s="30" t="s">
        <v>13</v>
      </c>
      <c r="D8" s="30" t="s">
        <v>12</v>
      </c>
      <c r="E8" s="30" t="s">
        <v>11</v>
      </c>
      <c r="F8" s="30" t="s">
        <v>10</v>
      </c>
    </row>
    <row r="9" spans="1:17" ht="12.75" x14ac:dyDescent="0.2">
      <c r="A9" s="30"/>
      <c r="B9" s="22"/>
      <c r="C9" s="30"/>
      <c r="D9" s="30"/>
      <c r="E9" s="30"/>
      <c r="F9" s="30"/>
    </row>
    <row r="10" spans="1:17" ht="12.75" x14ac:dyDescent="0.2">
      <c r="A10" s="30">
        <v>1</v>
      </c>
      <c r="B10" s="29" t="s">
        <v>284</v>
      </c>
      <c r="C10" s="23" t="s">
        <v>294</v>
      </c>
      <c r="D10" s="35">
        <f>'JAP-42 Page 1'!D16</f>
        <v>199843190.51000002</v>
      </c>
      <c r="E10" s="35">
        <f>'JAP-42 Page 1'!E16</f>
        <v>65142005.420000002</v>
      </c>
      <c r="F10" s="35">
        <f>'JAP-42 Page 1'!F16</f>
        <v>15697255.742454771</v>
      </c>
      <c r="H10" s="31"/>
    </row>
    <row r="11" spans="1:17" ht="12.75" x14ac:dyDescent="0.2">
      <c r="A11" s="30">
        <f>A10+1</f>
        <v>2</v>
      </c>
      <c r="B11" s="29"/>
      <c r="C11" s="29"/>
      <c r="D11" s="29"/>
      <c r="E11" s="29"/>
      <c r="F11" s="29"/>
    </row>
    <row r="12" spans="1:17" ht="12.75" x14ac:dyDescent="0.2">
      <c r="A12" s="30">
        <f t="shared" ref="A12:A14" si="0">A11+1</f>
        <v>3</v>
      </c>
      <c r="B12" s="29" t="s">
        <v>281</v>
      </c>
      <c r="C12" s="23" t="s">
        <v>293</v>
      </c>
      <c r="D12" s="40">
        <f>SUM('Rate Design Res'!D13,'Rate Design Res'!D25)</f>
        <v>577531400.48799992</v>
      </c>
      <c r="E12" s="40">
        <f>SUM('Rate Design C&amp;I'!D13,'Rate Design C&amp;I'!D25)</f>
        <v>214587104.22299999</v>
      </c>
      <c r="F12" s="40">
        <f>SUM('Rate Design C&amp;I'!D55,'Rate Design C&amp;I'!D77,'Rate Design Int &amp; Trans'!D81,'Rate Design Int &amp; Trans'!D100)</f>
        <v>93991439.932999998</v>
      </c>
    </row>
    <row r="13" spans="1:17" ht="12.75" x14ac:dyDescent="0.2">
      <c r="A13" s="30">
        <f t="shared" si="0"/>
        <v>4</v>
      </c>
      <c r="B13" s="29"/>
      <c r="C13" s="29"/>
      <c r="D13" s="8"/>
      <c r="E13" s="8"/>
      <c r="F13" s="8"/>
    </row>
    <row r="14" spans="1:17" ht="12.75" x14ac:dyDescent="0.2">
      <c r="A14" s="30">
        <f t="shared" si="0"/>
        <v>5</v>
      </c>
      <c r="B14" s="29" t="s">
        <v>286</v>
      </c>
      <c r="C14" s="30" t="str">
        <f>"("&amp;A10&amp;") / ("&amp;A12&amp;")"</f>
        <v>(1) / (3)</v>
      </c>
      <c r="D14" s="48">
        <f>ROUND(D10/D12,5)</f>
        <v>0.34603</v>
      </c>
      <c r="E14" s="48">
        <f t="shared" ref="E14:F14" si="1">ROUND(E10/E12,5)</f>
        <v>0.30357000000000001</v>
      </c>
      <c r="F14" s="48">
        <f t="shared" si="1"/>
        <v>0.16700999999999999</v>
      </c>
    </row>
    <row r="15" spans="1:17" ht="12.75" x14ac:dyDescent="0.2">
      <c r="A15" s="24"/>
      <c r="B15" s="29"/>
      <c r="C15" s="24"/>
      <c r="D15" s="5"/>
      <c r="E15" s="5"/>
      <c r="F15" s="5"/>
      <c r="G15" s="5"/>
      <c r="H15" s="24"/>
    </row>
    <row r="16" spans="1:17" ht="12.75" x14ac:dyDescent="0.2">
      <c r="A16" s="24"/>
      <c r="B16" s="29" t="s">
        <v>298</v>
      </c>
      <c r="C16" s="24"/>
      <c r="D16" s="6"/>
      <c r="E16" s="6"/>
      <c r="F16" s="6"/>
      <c r="G16" s="6"/>
      <c r="H16" s="24"/>
    </row>
    <row r="17" spans="1:8" ht="12.75" x14ac:dyDescent="0.2">
      <c r="A17" s="24"/>
      <c r="C17" s="24"/>
      <c r="D17" s="24"/>
      <c r="E17" s="24"/>
      <c r="F17" s="24"/>
      <c r="G17" s="24"/>
      <c r="H17" s="24"/>
    </row>
    <row r="18" spans="1:8" ht="12.75" x14ac:dyDescent="0.2">
      <c r="D18" s="44"/>
      <c r="E18" s="44"/>
      <c r="F18" s="44"/>
      <c r="G18" s="44"/>
    </row>
    <row r="19" spans="1:8" ht="12.75" x14ac:dyDescent="0.2">
      <c r="D19" s="44"/>
      <c r="E19" s="44"/>
      <c r="F19" s="44"/>
      <c r="G19" s="44"/>
    </row>
    <row r="20" spans="1:8" ht="12.75" x14ac:dyDescent="0.2">
      <c r="D20" s="44"/>
      <c r="E20" s="44"/>
      <c r="F20" s="44"/>
      <c r="G20" s="44"/>
    </row>
    <row r="21" spans="1:8" ht="12.75" x14ac:dyDescent="0.2">
      <c r="D21" s="44"/>
      <c r="E21" s="44"/>
      <c r="F21" s="44"/>
      <c r="G21" s="44"/>
    </row>
    <row r="22" spans="1:8" ht="12.75" x14ac:dyDescent="0.2">
      <c r="D22" s="44"/>
      <c r="E22" s="44"/>
      <c r="F22" s="44"/>
      <c r="G22" s="44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88" orientation="landscape" blackAndWhite="1" horizontalDpi="1200" verticalDpi="1200" r:id="rId1"/>
  <headerFooter>
    <oddFooter>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"/>
  <sheetViews>
    <sheetView zoomScaleNormal="100" workbookViewId="0">
      <pane xSplit="4" ySplit="7" topLeftCell="E8" activePane="bottomRight" state="frozen"/>
      <selection activeCell="D37" sqref="D37"/>
      <selection pane="topRight" activeCell="D37" sqref="D37"/>
      <selection pane="bottomLeft" activeCell="D37" sqref="D37"/>
      <selection pane="bottomRight" activeCell="D37" sqref="D37"/>
    </sheetView>
  </sheetViews>
  <sheetFormatPr defaultColWidth="9.109375" defaultRowHeight="13.2" x14ac:dyDescent="0.25"/>
  <cols>
    <col min="1" max="1" width="5.33203125" style="28" customWidth="1"/>
    <col min="2" max="2" width="2.6640625" style="28" customWidth="1"/>
    <col min="3" max="3" width="43.109375" style="28" customWidth="1"/>
    <col min="4" max="4" width="14.109375" style="32" bestFit="1" customWidth="1"/>
    <col min="5" max="8" width="12.33203125" style="32" customWidth="1"/>
    <col min="9" max="16" width="12.33203125" style="28" customWidth="1"/>
    <col min="17" max="17" width="12.88671875" style="28" customWidth="1"/>
    <col min="18" max="18" width="13.88671875" style="28" bestFit="1" customWidth="1"/>
    <col min="19" max="16384" width="9.109375" style="28"/>
  </cols>
  <sheetData>
    <row r="1" spans="1:18" ht="12.75" x14ac:dyDescent="0.2">
      <c r="A1" s="660" t="s">
        <v>17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</row>
    <row r="2" spans="1:18" ht="12.75" x14ac:dyDescent="0.2">
      <c r="A2" s="660" t="s">
        <v>186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</row>
    <row r="3" spans="1:18" ht="12.75" x14ac:dyDescent="0.2">
      <c r="A3" s="660" t="s">
        <v>196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660"/>
      <c r="Q3" s="660"/>
    </row>
    <row r="4" spans="1:18" ht="12.75" x14ac:dyDescent="0.2">
      <c r="A4" s="29"/>
      <c r="B4" s="29"/>
      <c r="C4" s="29"/>
      <c r="D4" s="30"/>
      <c r="E4" s="30"/>
      <c r="F4" s="30"/>
      <c r="G4" s="30"/>
      <c r="H4" s="30"/>
      <c r="I4" s="29"/>
      <c r="J4" s="29"/>
      <c r="K4" s="29"/>
      <c r="L4" s="29"/>
      <c r="M4" s="29"/>
      <c r="N4" s="29"/>
      <c r="O4" s="29"/>
      <c r="P4" s="29"/>
      <c r="Q4" s="29"/>
    </row>
    <row r="5" spans="1:18" ht="12.75" x14ac:dyDescent="0.2">
      <c r="A5" s="29"/>
      <c r="B5" s="29"/>
      <c r="C5" s="29"/>
      <c r="D5" s="30"/>
      <c r="E5" s="30"/>
      <c r="F5" s="30"/>
      <c r="G5" s="30"/>
      <c r="H5" s="30"/>
      <c r="I5" s="29"/>
      <c r="J5" s="29"/>
      <c r="K5" s="29"/>
      <c r="L5" s="29"/>
      <c r="M5" s="29"/>
      <c r="N5" s="29"/>
      <c r="O5" s="29"/>
      <c r="P5" s="29"/>
      <c r="Q5" s="29"/>
    </row>
    <row r="6" spans="1:18" ht="38.25" x14ac:dyDescent="0.2">
      <c r="A6" s="9" t="s">
        <v>16</v>
      </c>
      <c r="B6" s="9"/>
      <c r="C6" s="4"/>
      <c r="D6" s="9" t="s">
        <v>15</v>
      </c>
      <c r="E6" s="10" t="s">
        <v>148</v>
      </c>
      <c r="F6" s="10" t="s">
        <v>149</v>
      </c>
      <c r="G6" s="10" t="s">
        <v>150</v>
      </c>
      <c r="H6" s="10" t="s">
        <v>151</v>
      </c>
      <c r="I6" s="10" t="s">
        <v>152</v>
      </c>
      <c r="J6" s="10" t="s">
        <v>153</v>
      </c>
      <c r="K6" s="10" t="s">
        <v>154</v>
      </c>
      <c r="L6" s="10" t="s">
        <v>155</v>
      </c>
      <c r="M6" s="10" t="s">
        <v>156</v>
      </c>
      <c r="N6" s="10" t="s">
        <v>157</v>
      </c>
      <c r="O6" s="10" t="s">
        <v>158</v>
      </c>
      <c r="P6" s="10" t="s">
        <v>159</v>
      </c>
      <c r="Q6" s="9" t="s">
        <v>160</v>
      </c>
    </row>
    <row r="7" spans="1:18" ht="12.75" x14ac:dyDescent="0.2">
      <c r="A7" s="29"/>
      <c r="B7" s="29"/>
      <c r="C7" s="30" t="s">
        <v>14</v>
      </c>
      <c r="D7" s="30" t="s">
        <v>13</v>
      </c>
      <c r="E7" s="30" t="s">
        <v>12</v>
      </c>
      <c r="F7" s="30" t="s">
        <v>11</v>
      </c>
      <c r="G7" s="30" t="s">
        <v>10</v>
      </c>
      <c r="H7" s="30" t="s">
        <v>9</v>
      </c>
      <c r="I7" s="30" t="s">
        <v>8</v>
      </c>
      <c r="J7" s="30" t="s">
        <v>7</v>
      </c>
      <c r="K7" s="30" t="s">
        <v>6</v>
      </c>
      <c r="L7" s="30" t="s">
        <v>5</v>
      </c>
      <c r="M7" s="30" t="s">
        <v>4</v>
      </c>
      <c r="N7" s="30" t="s">
        <v>3</v>
      </c>
      <c r="O7" s="30" t="s">
        <v>2</v>
      </c>
      <c r="P7" s="30" t="s">
        <v>1</v>
      </c>
      <c r="Q7" s="30" t="s">
        <v>147</v>
      </c>
    </row>
    <row r="8" spans="1:18" ht="12.75" x14ac:dyDescent="0.2">
      <c r="A8" s="30"/>
      <c r="B8" s="11" t="s">
        <v>204</v>
      </c>
      <c r="C8" s="22"/>
      <c r="D8" s="30"/>
      <c r="E8" s="30"/>
      <c r="F8" s="30"/>
      <c r="G8" s="30"/>
      <c r="H8" s="30"/>
      <c r="I8" s="30"/>
      <c r="J8" s="30"/>
      <c r="K8" s="29"/>
      <c r="L8" s="29"/>
      <c r="M8" s="29"/>
      <c r="N8" s="29"/>
      <c r="O8" s="29"/>
      <c r="P8" s="29"/>
      <c r="Q8" s="29"/>
    </row>
    <row r="9" spans="1:18" ht="12.75" x14ac:dyDescent="0.2">
      <c r="A9" s="30">
        <v>1</v>
      </c>
      <c r="B9" s="17" t="s">
        <v>200</v>
      </c>
      <c r="D9" s="30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12"/>
    </row>
    <row r="10" spans="1:18" ht="12.75" x14ac:dyDescent="0.2">
      <c r="A10" s="30">
        <f t="shared" ref="A10:A32" si="0">A9+1</f>
        <v>2</v>
      </c>
      <c r="B10" s="30"/>
      <c r="C10" s="29" t="s">
        <v>273</v>
      </c>
      <c r="D10" s="30" t="s">
        <v>293</v>
      </c>
      <c r="E10" s="40">
        <f>'Weather Adj'!G208</f>
        <v>91595632.346000001</v>
      </c>
      <c r="F10" s="40">
        <f>'Weather Adj'!H208</f>
        <v>77635037.589000002</v>
      </c>
      <c r="G10" s="40">
        <f>'Weather Adj'!I208</f>
        <v>65304200.008000001</v>
      </c>
      <c r="H10" s="40">
        <f>'Weather Adj'!J208</f>
        <v>45772346.026000001</v>
      </c>
      <c r="I10" s="40">
        <f>'Weather Adj'!K208</f>
        <v>28825606.487</v>
      </c>
      <c r="J10" s="40">
        <f>'Weather Adj'!L208</f>
        <v>19259268.033999998</v>
      </c>
      <c r="K10" s="40">
        <f>'Weather Adj'!M208</f>
        <v>14539368.141999999</v>
      </c>
      <c r="L10" s="40">
        <f>'Weather Adj'!N208</f>
        <v>13454920.966</v>
      </c>
      <c r="M10" s="40">
        <f>'Weather Adj'!O208</f>
        <v>19362981.972999997</v>
      </c>
      <c r="N10" s="40">
        <f>'Weather Adj'!D208</f>
        <v>42897350.192000002</v>
      </c>
      <c r="O10" s="40">
        <f>'Weather Adj'!E208</f>
        <v>62231348.219999991</v>
      </c>
      <c r="P10" s="40">
        <f>'Weather Adj'!F208</f>
        <v>96653340.504999995</v>
      </c>
      <c r="Q10" s="78">
        <f>SUM(E10:P10)</f>
        <v>577531400.48799992</v>
      </c>
      <c r="R10" s="1"/>
    </row>
    <row r="11" spans="1:18" ht="12.75" x14ac:dyDescent="0.2">
      <c r="A11" s="30">
        <f t="shared" si="0"/>
        <v>3</v>
      </c>
      <c r="B11" s="30"/>
      <c r="C11" s="29" t="s">
        <v>203</v>
      </c>
      <c r="D11" s="13" t="s">
        <v>266</v>
      </c>
      <c r="E11" s="21">
        <f t="shared" ref="E11:P11" si="1">E10/$Q10</f>
        <v>0.15859853207739688</v>
      </c>
      <c r="F11" s="21">
        <f t="shared" si="1"/>
        <v>0.13442565637712564</v>
      </c>
      <c r="G11" s="21">
        <f t="shared" si="1"/>
        <v>0.11307471758733732</v>
      </c>
      <c r="H11" s="21">
        <f t="shared" si="1"/>
        <v>7.9255164285999838E-2</v>
      </c>
      <c r="I11" s="21">
        <f t="shared" si="1"/>
        <v>4.9911756248479419E-2</v>
      </c>
      <c r="J11" s="21">
        <f t="shared" si="1"/>
        <v>3.3347568665056802E-2</v>
      </c>
      <c r="K11" s="21">
        <f t="shared" si="1"/>
        <v>2.5175026205873117E-2</v>
      </c>
      <c r="L11" s="21">
        <f t="shared" si="1"/>
        <v>2.3297297696074915E-2</v>
      </c>
      <c r="M11" s="21">
        <f t="shared" si="1"/>
        <v>3.3527150137012032E-2</v>
      </c>
      <c r="N11" s="21">
        <f t="shared" si="1"/>
        <v>7.4277087195177255E-2</v>
      </c>
      <c r="O11" s="21">
        <f t="shared" si="1"/>
        <v>0.10775405141160467</v>
      </c>
      <c r="P11" s="21">
        <f t="shared" si="1"/>
        <v>0.16735599211286223</v>
      </c>
      <c r="Q11" s="21">
        <f>SUM(E11:P11)</f>
        <v>1</v>
      </c>
    </row>
    <row r="12" spans="1:18" ht="12.75" x14ac:dyDescent="0.2">
      <c r="A12" s="30">
        <f t="shared" si="0"/>
        <v>4</v>
      </c>
      <c r="B12" s="30"/>
      <c r="C12" s="29"/>
      <c r="D12" s="26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</row>
    <row r="13" spans="1:18" ht="12.75" x14ac:dyDescent="0.2">
      <c r="A13" s="30">
        <f t="shared" si="0"/>
        <v>5</v>
      </c>
      <c r="B13" s="17" t="s">
        <v>201</v>
      </c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</row>
    <row r="14" spans="1:18" ht="12.75" x14ac:dyDescent="0.2">
      <c r="A14" s="30">
        <f t="shared" si="0"/>
        <v>6</v>
      </c>
      <c r="B14" s="30"/>
      <c r="C14" s="29" t="str">
        <f>C10</f>
        <v>Weather-Normalized Therm Sales (Oct15-Sep16)</v>
      </c>
      <c r="D14" s="30" t="s">
        <v>293</v>
      </c>
      <c r="E14" s="40">
        <f>SUM('Weather Adj'!G209,'Weather Adj'!G214)</f>
        <v>31775967.473000001</v>
      </c>
      <c r="F14" s="40">
        <f>SUM('Weather Adj'!H209,'Weather Adj'!H214)</f>
        <v>26724348.710999999</v>
      </c>
      <c r="G14" s="40">
        <f>SUM('Weather Adj'!I209,'Weather Adj'!I214)</f>
        <v>23204374.123</v>
      </c>
      <c r="H14" s="40">
        <f>SUM('Weather Adj'!J209,'Weather Adj'!J214)</f>
        <v>16751921.912</v>
      </c>
      <c r="I14" s="40">
        <f>SUM('Weather Adj'!K209,'Weather Adj'!K214)</f>
        <v>11991682.314000001</v>
      </c>
      <c r="J14" s="40">
        <f>SUM('Weather Adj'!L209,'Weather Adj'!L214)</f>
        <v>9303689.7490000017</v>
      </c>
      <c r="K14" s="40">
        <f>SUM('Weather Adj'!M209,'Weather Adj'!M214)</f>
        <v>8175066.7919999994</v>
      </c>
      <c r="L14" s="40">
        <f>SUM('Weather Adj'!N209,'Weather Adj'!N214)</f>
        <v>7909175.8499999996</v>
      </c>
      <c r="M14" s="40">
        <f>SUM('Weather Adj'!O209,'Weather Adj'!O214)</f>
        <v>9241890.4350000005</v>
      </c>
      <c r="N14" s="40">
        <f>SUM('Weather Adj'!D209,'Weather Adj'!D214)</f>
        <v>15409800.943</v>
      </c>
      <c r="O14" s="40">
        <f>SUM('Weather Adj'!E209,'Weather Adj'!E214)</f>
        <v>21447862.525000002</v>
      </c>
      <c r="P14" s="40">
        <f>SUM('Weather Adj'!F209,'Weather Adj'!F214)</f>
        <v>32651323.395999998</v>
      </c>
      <c r="Q14" s="78">
        <f>SUM(E14:P14)</f>
        <v>214587104.22299999</v>
      </c>
      <c r="R14" s="1"/>
    </row>
    <row r="15" spans="1:18" ht="12.75" x14ac:dyDescent="0.2">
      <c r="A15" s="30">
        <f t="shared" si="0"/>
        <v>7</v>
      </c>
      <c r="B15" s="30"/>
      <c r="C15" s="29" t="s">
        <v>203</v>
      </c>
      <c r="D15" s="23" t="s">
        <v>267</v>
      </c>
      <c r="E15" s="14">
        <f t="shared" ref="E15:P15" si="2">E14/$Q14</f>
        <v>0.1480795763009983</v>
      </c>
      <c r="F15" s="14">
        <f t="shared" si="2"/>
        <v>0.12453846566300612</v>
      </c>
      <c r="G15" s="14">
        <f t="shared" si="2"/>
        <v>0.10813498885229328</v>
      </c>
      <c r="H15" s="14">
        <f t="shared" si="2"/>
        <v>7.8065837053243048E-2</v>
      </c>
      <c r="I15" s="14">
        <f t="shared" si="2"/>
        <v>5.5882586036196218E-2</v>
      </c>
      <c r="J15" s="14">
        <f t="shared" si="2"/>
        <v>4.3356238869468877E-2</v>
      </c>
      <c r="K15" s="14">
        <f t="shared" si="2"/>
        <v>3.8096729165534707E-2</v>
      </c>
      <c r="L15" s="14">
        <f t="shared" si="2"/>
        <v>3.6857647520984041E-2</v>
      </c>
      <c r="M15" s="14">
        <f t="shared" si="2"/>
        <v>4.3068247127263447E-2</v>
      </c>
      <c r="N15" s="14">
        <f t="shared" si="2"/>
        <v>7.1811402641353772E-2</v>
      </c>
      <c r="O15" s="14">
        <f t="shared" si="2"/>
        <v>9.9949447580555809E-2</v>
      </c>
      <c r="P15" s="14">
        <f t="shared" si="2"/>
        <v>0.15215883318910245</v>
      </c>
      <c r="Q15" s="14">
        <f>SUM(E15:P15)</f>
        <v>1.0000000000000002</v>
      </c>
    </row>
    <row r="16" spans="1:18" ht="12.75" x14ac:dyDescent="0.2">
      <c r="A16" s="30">
        <f t="shared" si="0"/>
        <v>8</v>
      </c>
      <c r="B16" s="30"/>
      <c r="C16" s="29"/>
      <c r="D16" s="23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</row>
    <row r="17" spans="1:17" ht="12.75" x14ac:dyDescent="0.2">
      <c r="A17" s="30">
        <f t="shared" si="0"/>
        <v>9</v>
      </c>
      <c r="B17" s="17" t="s">
        <v>202</v>
      </c>
      <c r="D17" s="28"/>
      <c r="E17" s="28"/>
      <c r="F17" s="28"/>
      <c r="G17" s="28"/>
      <c r="H17" s="28"/>
    </row>
    <row r="18" spans="1:17" ht="12.75" x14ac:dyDescent="0.2">
      <c r="A18" s="30">
        <f t="shared" si="0"/>
        <v>10</v>
      </c>
      <c r="B18" s="30"/>
      <c r="C18" s="29" t="str">
        <f>C10</f>
        <v>Weather-Normalized Therm Sales (Oct15-Sep16)</v>
      </c>
      <c r="D18" s="30" t="s">
        <v>293</v>
      </c>
      <c r="E18" s="40">
        <f>SUM('Weather Adj'!G210,'Weather Adj'!G212,'Weather Adj'!G215,'Weather Adj'!G217)</f>
        <v>11416935.034</v>
      </c>
      <c r="F18" s="40">
        <f>SUM('Weather Adj'!H210,'Weather Adj'!H212,'Weather Adj'!H215,'Weather Adj'!H217)</f>
        <v>10176414.120000001</v>
      </c>
      <c r="G18" s="40">
        <f>SUM('Weather Adj'!I210,'Weather Adj'!I212,'Weather Adj'!I215,'Weather Adj'!I217)</f>
        <v>9734003.3900000006</v>
      </c>
      <c r="H18" s="40">
        <f>SUM('Weather Adj'!J210,'Weather Adj'!J212,'Weather Adj'!J215,'Weather Adj'!J217)</f>
        <v>7783248.9000000004</v>
      </c>
      <c r="I18" s="40">
        <f>SUM('Weather Adj'!K210,'Weather Adj'!K212,'Weather Adj'!K215,'Weather Adj'!K217)</f>
        <v>6462060.476999999</v>
      </c>
      <c r="J18" s="40">
        <f>SUM('Weather Adj'!L210,'Weather Adj'!L212,'Weather Adj'!L215,'Weather Adj'!L217)</f>
        <v>5479033.727</v>
      </c>
      <c r="K18" s="40">
        <f>SUM('Weather Adj'!M210,'Weather Adj'!M212,'Weather Adj'!M215,'Weather Adj'!M217)</f>
        <v>4745759.415</v>
      </c>
      <c r="L18" s="40">
        <f>SUM('Weather Adj'!N210,'Weather Adj'!N212,'Weather Adj'!N215,'Weather Adj'!N217)</f>
        <v>4898581.8550000004</v>
      </c>
      <c r="M18" s="40">
        <f>SUM('Weather Adj'!O210,'Weather Adj'!O212,'Weather Adj'!O215,'Weather Adj'!O217)</f>
        <v>5392731.7020000005</v>
      </c>
      <c r="N18" s="40">
        <f>SUM('Weather Adj'!D210,'Weather Adj'!D212,'Weather Adj'!D215,'Weather Adj'!D217)</f>
        <v>7499893.2870000005</v>
      </c>
      <c r="O18" s="40">
        <f>SUM('Weather Adj'!E210,'Weather Adj'!E212,'Weather Adj'!E215,'Weather Adj'!E217)</f>
        <v>9057060.7799999993</v>
      </c>
      <c r="P18" s="40">
        <f>SUM('Weather Adj'!F210,'Weather Adj'!F212,'Weather Adj'!F215,'Weather Adj'!F217)</f>
        <v>11345717.246000001</v>
      </c>
      <c r="Q18" s="78">
        <f>SUM(E18:P18)</f>
        <v>93991439.933000013</v>
      </c>
    </row>
    <row r="19" spans="1:17" ht="12.75" x14ac:dyDescent="0.2">
      <c r="A19" s="30">
        <f t="shared" si="0"/>
        <v>11</v>
      </c>
      <c r="B19" s="30"/>
      <c r="C19" s="29" t="s">
        <v>203</v>
      </c>
      <c r="D19" s="23" t="s">
        <v>268</v>
      </c>
      <c r="E19" s="14">
        <f t="shared" ref="E19:P19" si="3">E18/$Q18</f>
        <v>0.12146781709204947</v>
      </c>
      <c r="F19" s="14">
        <f t="shared" si="3"/>
        <v>0.10826958420100875</v>
      </c>
      <c r="G19" s="14">
        <f t="shared" si="3"/>
        <v>0.10356265843930786</v>
      </c>
      <c r="H19" s="14">
        <f t="shared" si="3"/>
        <v>8.2808061090968915E-2</v>
      </c>
      <c r="I19" s="14">
        <f t="shared" si="3"/>
        <v>6.8751585055047082E-2</v>
      </c>
      <c r="J19" s="14">
        <f t="shared" si="3"/>
        <v>5.8292901256812572E-2</v>
      </c>
      <c r="K19" s="14">
        <f t="shared" si="3"/>
        <v>5.04914002635019E-2</v>
      </c>
      <c r="L19" s="14">
        <f t="shared" si="3"/>
        <v>5.2117318965342593E-2</v>
      </c>
      <c r="M19" s="14">
        <f t="shared" si="3"/>
        <v>5.7374710993300083E-2</v>
      </c>
      <c r="N19" s="14">
        <f t="shared" si="3"/>
        <v>7.9793365144167974E-2</v>
      </c>
      <c r="O19" s="14">
        <f t="shared" si="3"/>
        <v>9.6360485449059521E-2</v>
      </c>
      <c r="P19" s="14">
        <f t="shared" si="3"/>
        <v>0.12071011204943319</v>
      </c>
      <c r="Q19" s="14">
        <f>SUM(E19:P19)</f>
        <v>0.99999999999999978</v>
      </c>
    </row>
    <row r="20" spans="1:17" ht="12.75" x14ac:dyDescent="0.2">
      <c r="A20" s="30">
        <f t="shared" si="0"/>
        <v>12</v>
      </c>
      <c r="B20" s="30"/>
      <c r="C20" s="29"/>
      <c r="D20" s="23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</row>
    <row r="21" spans="1:17" ht="12.75" x14ac:dyDescent="0.2">
      <c r="A21" s="30">
        <f t="shared" si="0"/>
        <v>13</v>
      </c>
      <c r="B21" s="11" t="s">
        <v>288</v>
      </c>
      <c r="D21" s="30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7" ht="12.75" x14ac:dyDescent="0.2">
      <c r="A22" s="30">
        <f t="shared" si="0"/>
        <v>14</v>
      </c>
      <c r="B22" s="17" t="s">
        <v>200</v>
      </c>
      <c r="D22" s="30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1:17" ht="12.75" x14ac:dyDescent="0.2">
      <c r="A23" s="30">
        <f t="shared" si="0"/>
        <v>15</v>
      </c>
      <c r="B23" s="30"/>
      <c r="C23" s="29" t="s">
        <v>287</v>
      </c>
      <c r="D23" s="30" t="s">
        <v>295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42">
        <f>'JAP-42 Page 2'!D14</f>
        <v>267.89</v>
      </c>
    </row>
    <row r="24" spans="1:17" ht="12.75" x14ac:dyDescent="0.2">
      <c r="A24" s="30">
        <f t="shared" si="0"/>
        <v>16</v>
      </c>
      <c r="B24" s="30"/>
      <c r="C24" s="29" t="s">
        <v>288</v>
      </c>
      <c r="D24" s="30" t="str">
        <f>"("&amp;A$11&amp;") x ("&amp;A23&amp;")"</f>
        <v>(3) x (15)</v>
      </c>
      <c r="E24" s="20">
        <f>$Q23*E$11</f>
        <v>42.486960758213847</v>
      </c>
      <c r="F24" s="20">
        <f t="shared" ref="F24:P24" si="4">$Q23*F$11</f>
        <v>36.011289086868189</v>
      </c>
      <c r="G24" s="20">
        <f t="shared" si="4"/>
        <v>30.291586094471793</v>
      </c>
      <c r="H24" s="20">
        <f t="shared" si="4"/>
        <v>21.231665960576496</v>
      </c>
      <c r="I24" s="20">
        <f t="shared" si="4"/>
        <v>13.370860381405151</v>
      </c>
      <c r="J24" s="20">
        <f t="shared" si="4"/>
        <v>8.9334801696820669</v>
      </c>
      <c r="K24" s="20">
        <f t="shared" si="4"/>
        <v>6.7441377702913492</v>
      </c>
      <c r="L24" s="20">
        <f t="shared" si="4"/>
        <v>6.2411130798015089</v>
      </c>
      <c r="M24" s="20">
        <f t="shared" si="4"/>
        <v>8.9815882502041529</v>
      </c>
      <c r="N24" s="20">
        <f t="shared" si="4"/>
        <v>19.898088888716035</v>
      </c>
      <c r="O24" s="20">
        <f t="shared" si="4"/>
        <v>28.866232832654774</v>
      </c>
      <c r="P24" s="20">
        <f t="shared" si="4"/>
        <v>44.832996727114661</v>
      </c>
      <c r="Q24" s="15">
        <f>SUM(E24:P24)</f>
        <v>267.89000000000004</v>
      </c>
    </row>
    <row r="25" spans="1:17" ht="12.75" x14ac:dyDescent="0.2">
      <c r="A25" s="30">
        <f t="shared" si="0"/>
        <v>17</v>
      </c>
      <c r="B25" s="30"/>
      <c r="C25" s="29"/>
      <c r="D25" s="16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15"/>
    </row>
    <row r="26" spans="1:17" ht="12.75" x14ac:dyDescent="0.2">
      <c r="A26" s="30">
        <f t="shared" si="0"/>
        <v>18</v>
      </c>
      <c r="B26" s="17" t="s">
        <v>201</v>
      </c>
      <c r="D26" s="30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15"/>
    </row>
    <row r="27" spans="1:17" ht="12.75" x14ac:dyDescent="0.2">
      <c r="A27" s="30">
        <f t="shared" si="0"/>
        <v>19</v>
      </c>
      <c r="B27" s="30"/>
      <c r="C27" s="29" t="s">
        <v>287</v>
      </c>
      <c r="D27" s="30" t="str">
        <f>$D$23</f>
        <v>JAP-42 Page 2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42">
        <f>'JAP-42 Page 2'!E14</f>
        <v>1165.3499999999999</v>
      </c>
    </row>
    <row r="28" spans="1:17" ht="12.75" x14ac:dyDescent="0.2">
      <c r="A28" s="30">
        <f t="shared" si="0"/>
        <v>20</v>
      </c>
      <c r="B28" s="30"/>
      <c r="C28" s="29" t="s">
        <v>288</v>
      </c>
      <c r="D28" s="30" t="str">
        <f>"("&amp;A$15&amp;") x ("&amp;A27&amp;")"</f>
        <v>(7) x (19)</v>
      </c>
      <c r="E28" s="20">
        <f>$Q27*E$15</f>
        <v>172.56453424236835</v>
      </c>
      <c r="F28" s="20">
        <f t="shared" ref="F28:P28" si="5">$Q27*F$15</f>
        <v>145.13090096038417</v>
      </c>
      <c r="G28" s="20">
        <f t="shared" si="5"/>
        <v>126.01510925901997</v>
      </c>
      <c r="H28" s="20">
        <f t="shared" si="5"/>
        <v>90.974023209996773</v>
      </c>
      <c r="I28" s="20">
        <f t="shared" si="5"/>
        <v>65.122771637281261</v>
      </c>
      <c r="J28" s="20">
        <f t="shared" si="5"/>
        <v>50.525192966535549</v>
      </c>
      <c r="K28" s="20">
        <f t="shared" si="5"/>
        <v>44.396023333055865</v>
      </c>
      <c r="L28" s="20">
        <f t="shared" si="5"/>
        <v>42.952059538578752</v>
      </c>
      <c r="M28" s="20">
        <f t="shared" si="5"/>
        <v>50.189581789756453</v>
      </c>
      <c r="N28" s="20">
        <f t="shared" si="5"/>
        <v>83.685418068101612</v>
      </c>
      <c r="O28" s="20">
        <f t="shared" si="5"/>
        <v>116.4760887380007</v>
      </c>
      <c r="P28" s="20">
        <f t="shared" si="5"/>
        <v>177.31829625692052</v>
      </c>
      <c r="Q28" s="15">
        <f>SUM(E28:P28)</f>
        <v>1165.3499999999999</v>
      </c>
    </row>
    <row r="29" spans="1:17" ht="12.75" x14ac:dyDescent="0.2">
      <c r="A29" s="30">
        <f t="shared" si="0"/>
        <v>21</v>
      </c>
      <c r="B29" s="30"/>
      <c r="C29" s="29"/>
      <c r="D29" s="30"/>
      <c r="E29" s="30"/>
      <c r="F29" s="30"/>
      <c r="G29" s="30"/>
      <c r="H29" s="30"/>
      <c r="I29" s="29"/>
      <c r="J29" s="29"/>
      <c r="K29" s="29"/>
      <c r="L29" s="29"/>
      <c r="M29" s="29"/>
      <c r="N29" s="29"/>
      <c r="O29" s="29"/>
      <c r="P29" s="29"/>
      <c r="Q29" s="29"/>
    </row>
    <row r="30" spans="1:17" ht="12.75" x14ac:dyDescent="0.2">
      <c r="A30" s="30">
        <f t="shared" si="0"/>
        <v>22</v>
      </c>
      <c r="B30" s="17" t="s">
        <v>202</v>
      </c>
      <c r="D30" s="30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15"/>
    </row>
    <row r="31" spans="1:17" ht="12.75" x14ac:dyDescent="0.2">
      <c r="A31" s="30">
        <f t="shared" si="0"/>
        <v>23</v>
      </c>
      <c r="B31" s="30"/>
      <c r="C31" s="29" t="s">
        <v>287</v>
      </c>
      <c r="D31" s="30" t="str">
        <f>$D$23</f>
        <v>JAP-42 Page 2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42">
        <f>'JAP-42 Page 2'!F14</f>
        <v>9185.0499999999993</v>
      </c>
    </row>
    <row r="32" spans="1:17" ht="12.75" x14ac:dyDescent="0.2">
      <c r="A32" s="30">
        <f t="shared" si="0"/>
        <v>24</v>
      </c>
      <c r="B32" s="30"/>
      <c r="C32" s="29" t="s">
        <v>288</v>
      </c>
      <c r="D32" s="30" t="str">
        <f>"("&amp;A$19&amp;") x ("&amp;A31&amp;")"</f>
        <v>(11) x (23)</v>
      </c>
      <c r="E32" s="20">
        <f>$Q31*E$19</f>
        <v>1115.6879733813289</v>
      </c>
      <c r="F32" s="20">
        <f t="shared" ref="F32:P32" si="6">$Q31*F$19</f>
        <v>994.46154436547533</v>
      </c>
      <c r="G32" s="20">
        <f t="shared" si="6"/>
        <v>951.2281958979645</v>
      </c>
      <c r="H32" s="20">
        <f t="shared" si="6"/>
        <v>760.59618152360395</v>
      </c>
      <c r="I32" s="20">
        <f t="shared" si="6"/>
        <v>631.48674630986011</v>
      </c>
      <c r="J32" s="20">
        <f t="shared" si="6"/>
        <v>535.42321268888622</v>
      </c>
      <c r="K32" s="20">
        <f t="shared" si="6"/>
        <v>463.76603599027811</v>
      </c>
      <c r="L32" s="20">
        <f t="shared" si="6"/>
        <v>478.70018056261995</v>
      </c>
      <c r="M32" s="20">
        <f t="shared" si="6"/>
        <v>526.98958920901089</v>
      </c>
      <c r="N32" s="20">
        <f t="shared" si="6"/>
        <v>732.90604851744001</v>
      </c>
      <c r="O32" s="20">
        <f t="shared" si="6"/>
        <v>885.07587687388411</v>
      </c>
      <c r="P32" s="20">
        <f t="shared" si="6"/>
        <v>1108.7284146796462</v>
      </c>
      <c r="Q32" s="15">
        <f>SUM(E32:P32)</f>
        <v>9185.0499999999975</v>
      </c>
    </row>
    <row r="33" spans="4:15" ht="12.75" x14ac:dyDescent="0.2">
      <c r="D33" s="28"/>
      <c r="E33" s="28"/>
      <c r="F33" s="28"/>
      <c r="G33" s="28"/>
      <c r="H33" s="28"/>
      <c r="J33" s="25"/>
      <c r="K33" s="25"/>
      <c r="L33" s="25"/>
      <c r="M33" s="25"/>
      <c r="N33" s="25"/>
      <c r="O33" s="25"/>
    </row>
    <row r="34" spans="4:15" ht="12.75" x14ac:dyDescent="0.2">
      <c r="D34" s="28"/>
      <c r="E34" s="28"/>
      <c r="F34" s="28"/>
      <c r="G34" s="28"/>
      <c r="H34" s="28"/>
      <c r="J34" s="25"/>
      <c r="K34" s="25"/>
      <c r="L34" s="25"/>
      <c r="M34" s="25"/>
      <c r="N34" s="25"/>
      <c r="O34" s="25"/>
    </row>
  </sheetData>
  <mergeCells count="3">
    <mergeCell ref="A1:Q1"/>
    <mergeCell ref="A2:Q2"/>
    <mergeCell ref="A3:Q3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D18" sqref="D18"/>
    </sheetView>
  </sheetViews>
  <sheetFormatPr defaultColWidth="9.109375" defaultRowHeight="13.2" x14ac:dyDescent="0.25"/>
  <cols>
    <col min="1" max="1" width="2.5546875" style="67" customWidth="1"/>
    <col min="2" max="2" width="32.33203125" style="80" customWidth="1"/>
    <col min="3" max="3" width="9.88671875" style="80" bestFit="1" customWidth="1"/>
    <col min="4" max="4" width="12.109375" style="77" bestFit="1" customWidth="1"/>
    <col min="5" max="5" width="10.5546875" style="77" customWidth="1"/>
    <col min="6" max="6" width="15.5546875" style="80" customWidth="1"/>
    <col min="7" max="7" width="3.33203125" style="71" customWidth="1"/>
    <col min="8" max="8" width="10.44140625" style="67" bestFit="1" customWidth="1"/>
    <col min="9" max="9" width="14.88671875" style="86" customWidth="1"/>
    <col min="10" max="10" width="3" style="65" customWidth="1"/>
    <col min="11" max="11" width="13.6640625" style="67" bestFit="1" customWidth="1"/>
    <col min="12" max="12" width="11.109375" style="66" bestFit="1" customWidth="1"/>
    <col min="13" max="13" width="2.44140625" style="66" customWidth="1"/>
    <col min="14" max="14" width="1.5546875" style="66" customWidth="1"/>
    <col min="15" max="15" width="14" style="67" customWidth="1"/>
    <col min="16" max="16" width="3" style="67" customWidth="1"/>
    <col min="17" max="17" width="10.109375" style="70" bestFit="1" customWidth="1"/>
    <col min="18" max="16384" width="9.109375" style="67"/>
  </cols>
  <sheetData>
    <row r="1" spans="1:26" ht="12.75" x14ac:dyDescent="0.2">
      <c r="A1" s="91"/>
      <c r="B1" s="92"/>
      <c r="C1" s="92"/>
      <c r="D1" s="93"/>
      <c r="E1" s="93"/>
      <c r="F1" s="92"/>
      <c r="G1" s="94"/>
      <c r="H1" s="95"/>
      <c r="I1" s="96"/>
      <c r="J1" s="97"/>
      <c r="K1" s="95"/>
      <c r="L1" s="98"/>
      <c r="M1" s="98"/>
      <c r="N1" s="98"/>
      <c r="O1" s="95"/>
      <c r="P1" s="95"/>
      <c r="Q1" s="99"/>
    </row>
    <row r="2" spans="1:26" ht="12.75" x14ac:dyDescent="0.2">
      <c r="A2" s="91"/>
      <c r="B2" s="92" t="s">
        <v>17</v>
      </c>
      <c r="C2" s="92"/>
      <c r="D2" s="100"/>
      <c r="E2" s="100"/>
      <c r="F2" s="92"/>
      <c r="G2" s="92"/>
      <c r="H2" s="92"/>
      <c r="I2" s="92"/>
      <c r="J2" s="92"/>
      <c r="K2" s="92"/>
      <c r="L2" s="92"/>
      <c r="M2" s="98"/>
      <c r="N2" s="98"/>
      <c r="O2" s="95"/>
      <c r="P2" s="95"/>
      <c r="Q2" s="99"/>
    </row>
    <row r="3" spans="1:26" ht="12.75" x14ac:dyDescent="0.2">
      <c r="A3" s="91"/>
      <c r="B3" s="101" t="s">
        <v>351</v>
      </c>
      <c r="C3" s="92"/>
      <c r="D3" s="100"/>
      <c r="E3" s="100"/>
      <c r="F3" s="92"/>
      <c r="G3" s="92"/>
      <c r="H3" s="92"/>
      <c r="I3" s="92"/>
      <c r="J3" s="92"/>
      <c r="K3" s="92"/>
      <c r="L3" s="92"/>
      <c r="M3" s="98"/>
      <c r="N3" s="98"/>
      <c r="O3" s="95"/>
      <c r="P3" s="95"/>
      <c r="Q3" s="99"/>
    </row>
    <row r="4" spans="1:26" ht="12.75" x14ac:dyDescent="0.2">
      <c r="A4" s="91"/>
      <c r="B4" s="101" t="s">
        <v>352</v>
      </c>
      <c r="C4" s="92"/>
      <c r="D4" s="100"/>
      <c r="E4" s="100"/>
      <c r="F4" s="92"/>
      <c r="G4" s="92"/>
      <c r="H4" s="92"/>
      <c r="I4" s="92"/>
      <c r="J4" s="92"/>
      <c r="K4" s="92"/>
      <c r="L4" s="92"/>
      <c r="M4" s="98"/>
      <c r="N4" s="98"/>
      <c r="O4" s="95"/>
      <c r="P4" s="95"/>
      <c r="Q4" s="99"/>
    </row>
    <row r="5" spans="1:26" ht="12.75" x14ac:dyDescent="0.2">
      <c r="A5" s="91"/>
      <c r="B5" s="102" t="s">
        <v>206</v>
      </c>
      <c r="C5" s="92"/>
      <c r="D5" s="100"/>
      <c r="E5" s="100"/>
      <c r="F5" s="92"/>
      <c r="G5" s="92"/>
      <c r="H5" s="92"/>
      <c r="I5" s="92"/>
      <c r="J5" s="92"/>
      <c r="K5" s="92"/>
      <c r="L5" s="92"/>
      <c r="M5" s="98"/>
      <c r="N5" s="103"/>
      <c r="O5" s="104"/>
      <c r="P5" s="95"/>
      <c r="Q5" s="99"/>
    </row>
    <row r="6" spans="1:26" ht="12.75" x14ac:dyDescent="0.2">
      <c r="A6" s="91"/>
      <c r="B6" s="105"/>
      <c r="C6" s="105"/>
      <c r="D6" s="106"/>
      <c r="E6" s="106"/>
      <c r="F6" s="105"/>
      <c r="G6" s="107"/>
      <c r="H6" s="91"/>
      <c r="I6" s="108"/>
      <c r="J6" s="109"/>
      <c r="K6" s="91"/>
      <c r="L6" s="110"/>
      <c r="M6" s="110"/>
      <c r="N6" s="111"/>
      <c r="O6" s="112"/>
      <c r="P6" s="91"/>
      <c r="Q6" s="113"/>
    </row>
    <row r="7" spans="1:26" ht="15" customHeight="1" x14ac:dyDescent="0.2">
      <c r="A7" s="91"/>
      <c r="B7" s="114"/>
      <c r="C7" s="115"/>
      <c r="D7" s="116" t="s">
        <v>22</v>
      </c>
      <c r="E7" s="117" t="s">
        <v>161</v>
      </c>
      <c r="F7" s="118"/>
      <c r="G7" s="119"/>
      <c r="H7" s="120" t="s">
        <v>162</v>
      </c>
      <c r="I7" s="118"/>
      <c r="J7" s="121"/>
      <c r="K7" s="118" t="s">
        <v>207</v>
      </c>
      <c r="L7" s="122"/>
      <c r="M7" s="123"/>
      <c r="N7" s="123"/>
      <c r="O7" s="124" t="s">
        <v>23</v>
      </c>
      <c r="P7" s="91"/>
      <c r="Q7" s="125" t="s">
        <v>208</v>
      </c>
    </row>
    <row r="8" spans="1:26" ht="12.75" x14ac:dyDescent="0.2">
      <c r="A8" s="91"/>
      <c r="B8" s="126" t="s">
        <v>24</v>
      </c>
      <c r="C8" s="127" t="s">
        <v>25</v>
      </c>
      <c r="D8" s="128" t="s">
        <v>26</v>
      </c>
      <c r="E8" s="128" t="s">
        <v>27</v>
      </c>
      <c r="F8" s="129" t="s">
        <v>28</v>
      </c>
      <c r="G8" s="127"/>
      <c r="H8" s="127" t="s">
        <v>27</v>
      </c>
      <c r="I8" s="129" t="s">
        <v>28</v>
      </c>
      <c r="J8" s="129"/>
      <c r="K8" s="129" t="s">
        <v>209</v>
      </c>
      <c r="L8" s="130" t="s">
        <v>210</v>
      </c>
      <c r="M8" s="131"/>
      <c r="N8" s="131"/>
      <c r="O8" s="132" t="s">
        <v>211</v>
      </c>
      <c r="P8" s="91"/>
      <c r="Q8" s="133" t="s">
        <v>29</v>
      </c>
    </row>
    <row r="9" spans="1:26" ht="12.75" x14ac:dyDescent="0.2">
      <c r="A9" s="91"/>
      <c r="B9" s="112"/>
      <c r="C9" s="112"/>
      <c r="D9" s="134"/>
      <c r="E9" s="134"/>
      <c r="F9" s="112"/>
      <c r="G9" s="107"/>
      <c r="H9" s="112"/>
      <c r="I9" s="109"/>
      <c r="J9" s="109"/>
      <c r="K9" s="112"/>
      <c r="L9" s="111"/>
      <c r="M9" s="111"/>
      <c r="N9" s="111"/>
      <c r="O9" s="112"/>
      <c r="P9" s="91"/>
      <c r="Q9" s="113"/>
    </row>
    <row r="10" spans="1:26" ht="12.75" x14ac:dyDescent="0.2">
      <c r="A10" s="91"/>
      <c r="B10" s="135" t="s">
        <v>163</v>
      </c>
      <c r="C10" s="136"/>
      <c r="D10" s="137"/>
      <c r="E10" s="137"/>
      <c r="F10" s="138"/>
      <c r="G10" s="139"/>
      <c r="H10" s="137"/>
      <c r="I10" s="140"/>
      <c r="J10" s="140"/>
      <c r="K10" s="140"/>
      <c r="L10" s="141"/>
      <c r="M10" s="111"/>
      <c r="N10" s="111"/>
      <c r="O10" s="112"/>
      <c r="P10" s="91"/>
      <c r="Q10" s="113"/>
    </row>
    <row r="11" spans="1:26" ht="12.75" x14ac:dyDescent="0.2">
      <c r="A11" s="91"/>
      <c r="B11" s="142"/>
      <c r="C11" s="112"/>
      <c r="D11" s="134"/>
      <c r="E11" s="134"/>
      <c r="F11" s="112"/>
      <c r="G11" s="143"/>
      <c r="H11" s="134"/>
      <c r="I11" s="144"/>
      <c r="J11" s="144"/>
      <c r="K11" s="144"/>
      <c r="L11" s="145"/>
      <c r="M11" s="111"/>
      <c r="N11" s="111"/>
      <c r="O11" s="146" t="s">
        <v>212</v>
      </c>
      <c r="P11" s="112"/>
      <c r="Q11" s="113"/>
    </row>
    <row r="12" spans="1:26" ht="12.75" x14ac:dyDescent="0.2">
      <c r="A12" s="91"/>
      <c r="B12" s="147" t="s">
        <v>30</v>
      </c>
      <c r="C12" s="148" t="s">
        <v>31</v>
      </c>
      <c r="D12" s="149">
        <v>9046017.5601524524</v>
      </c>
      <c r="E12" s="150">
        <v>10.34</v>
      </c>
      <c r="F12" s="144">
        <f>SUM(+D12*E12)</f>
        <v>93535821.571976364</v>
      </c>
      <c r="G12" s="107"/>
      <c r="H12" s="151">
        <v>11</v>
      </c>
      <c r="I12" s="144">
        <f>SUM(+D12*H12)</f>
        <v>99506193.161676973</v>
      </c>
      <c r="J12" s="144"/>
      <c r="K12" s="144">
        <f>I12-F12</f>
        <v>5970371.5897006094</v>
      </c>
      <c r="L12" s="152">
        <f>ROUND(K12/F12,5)</f>
        <v>6.3829999999999998E-2</v>
      </c>
      <c r="M12" s="111"/>
      <c r="N12" s="111"/>
      <c r="O12" s="153">
        <v>-4940805.2914509522</v>
      </c>
      <c r="P12" s="112"/>
      <c r="Q12" s="154">
        <f>H12/E12-1</f>
        <v>6.3829787234042534E-2</v>
      </c>
    </row>
    <row r="13" spans="1:26" ht="12.75" x14ac:dyDescent="0.2">
      <c r="A13" s="91"/>
      <c r="B13" s="142" t="s">
        <v>32</v>
      </c>
      <c r="C13" s="112" t="s">
        <v>33</v>
      </c>
      <c r="D13" s="155">
        <v>577531151.08299994</v>
      </c>
      <c r="E13" s="156">
        <v>0.36492000000000002</v>
      </c>
      <c r="F13" s="144">
        <f>ROUND(D13*E13,2)</f>
        <v>210752667.65000001</v>
      </c>
      <c r="G13" s="107"/>
      <c r="H13" s="157">
        <f>ROUND(E13*(1+$O$16),5)</f>
        <v>0.34603</v>
      </c>
      <c r="I13" s="144">
        <f>ROUND(D13*H13,2)</f>
        <v>199843104.21000001</v>
      </c>
      <c r="J13" s="144"/>
      <c r="K13" s="144">
        <f>I13-F13</f>
        <v>-10909563.439999998</v>
      </c>
      <c r="L13" s="152">
        <f>ROUND(K13/F13,5)</f>
        <v>-5.176E-2</v>
      </c>
      <c r="M13" s="112"/>
      <c r="N13" s="112"/>
      <c r="O13" s="158" t="s">
        <v>213</v>
      </c>
      <c r="P13" s="112"/>
      <c r="Q13" s="154">
        <f>H13/E13-1</f>
        <v>-5.1764770360626988E-2</v>
      </c>
    </row>
    <row r="14" spans="1:26" ht="12.75" x14ac:dyDescent="0.2">
      <c r="A14" s="91"/>
      <c r="B14" s="159"/>
      <c r="C14" s="160"/>
      <c r="D14" s="161"/>
      <c r="E14" s="162"/>
      <c r="F14" s="140">
        <f>SUM(F12:F13)</f>
        <v>304288489.2219764</v>
      </c>
      <c r="G14" s="107"/>
      <c r="H14" s="134"/>
      <c r="I14" s="140">
        <f>SUM(I12:I13)</f>
        <v>299349297.37167698</v>
      </c>
      <c r="J14" s="144"/>
      <c r="K14" s="140">
        <f>SUM(K12:K13)</f>
        <v>-4939191.8502993882</v>
      </c>
      <c r="L14" s="163">
        <f>ROUND(K14/F14,5)</f>
        <v>-1.6230000000000001E-2</v>
      </c>
      <c r="M14" s="112"/>
      <c r="N14" s="112"/>
      <c r="O14" s="164">
        <f>(K14+K26)-O12</f>
        <v>1617.3111515641212</v>
      </c>
      <c r="P14" s="112"/>
      <c r="Q14" s="165"/>
    </row>
    <row r="15" spans="1:26" ht="12.75" x14ac:dyDescent="0.2">
      <c r="A15" s="91"/>
      <c r="B15" s="159"/>
      <c r="C15" s="166"/>
      <c r="D15" s="134"/>
      <c r="E15" s="156"/>
      <c r="F15" s="167"/>
      <c r="G15" s="107"/>
      <c r="H15" s="134"/>
      <c r="I15" s="144"/>
      <c r="J15" s="144"/>
      <c r="K15" s="144"/>
      <c r="L15" s="145"/>
      <c r="M15" s="154"/>
      <c r="N15" s="154"/>
      <c r="O15" s="168"/>
      <c r="P15" s="91"/>
      <c r="Q15" s="169"/>
    </row>
    <row r="16" spans="1:26" ht="12.75" x14ac:dyDescent="0.2">
      <c r="A16" s="91"/>
      <c r="B16" s="142" t="s">
        <v>214</v>
      </c>
      <c r="C16" s="112" t="s">
        <v>33</v>
      </c>
      <c r="D16" s="161">
        <f>D13</f>
        <v>577531151.08299994</v>
      </c>
      <c r="E16" s="156">
        <v>0.4173</v>
      </c>
      <c r="F16" s="140">
        <f>E16*D16</f>
        <v>241003749.34693587</v>
      </c>
      <c r="G16" s="112"/>
      <c r="H16" s="156">
        <v>0.40933000000000003</v>
      </c>
      <c r="I16" s="140">
        <f>H16*D16</f>
        <v>236400826.07280439</v>
      </c>
      <c r="J16" s="144"/>
      <c r="K16" s="140">
        <f>I16-F16</f>
        <v>-4602923.2741314769</v>
      </c>
      <c r="L16" s="163">
        <f>ROUND(K16/F16,5)</f>
        <v>-1.9099999999999999E-2</v>
      </c>
      <c r="M16" s="154"/>
      <c r="N16" s="154"/>
      <c r="O16" s="170">
        <v>-5.1767237933664494E-2</v>
      </c>
      <c r="P16" s="171"/>
      <c r="Q16" s="172"/>
      <c r="R16" s="69"/>
      <c r="Z16" s="69"/>
    </row>
    <row r="17" spans="1:26" ht="14.25" customHeight="1" x14ac:dyDescent="0.2">
      <c r="A17" s="91"/>
      <c r="B17" s="142"/>
      <c r="C17" s="112"/>
      <c r="D17" s="134"/>
      <c r="E17" s="134"/>
      <c r="F17" s="144"/>
      <c r="G17" s="107"/>
      <c r="H17" s="173"/>
      <c r="I17" s="144"/>
      <c r="J17" s="144"/>
      <c r="K17" s="144"/>
      <c r="L17" s="145"/>
      <c r="M17" s="112"/>
      <c r="N17" s="112"/>
      <c r="O17" s="171"/>
      <c r="P17" s="171"/>
      <c r="Q17" s="171"/>
      <c r="R17" s="69"/>
      <c r="Z17" s="69"/>
    </row>
    <row r="18" spans="1:26" ht="12.75" x14ac:dyDescent="0.2">
      <c r="A18" s="91"/>
      <c r="B18" s="174" t="s">
        <v>215</v>
      </c>
      <c r="C18" s="160"/>
      <c r="D18" s="175"/>
      <c r="E18" s="134"/>
      <c r="F18" s="140">
        <f>F14+F16</f>
        <v>545292238.56891227</v>
      </c>
      <c r="G18" s="107"/>
      <c r="H18" s="134"/>
      <c r="I18" s="140">
        <f>I14+I16</f>
        <v>535750123.44448137</v>
      </c>
      <c r="J18" s="144"/>
      <c r="K18" s="140">
        <f>K14+K16</f>
        <v>-9542115.124430865</v>
      </c>
      <c r="L18" s="163">
        <f>ROUND(K18/F18,5)</f>
        <v>-1.7500000000000002E-2</v>
      </c>
      <c r="M18" s="154"/>
      <c r="N18" s="154"/>
      <c r="O18" s="154"/>
      <c r="P18" s="176"/>
      <c r="Q18" s="125"/>
      <c r="R18" s="69"/>
      <c r="Z18" s="69"/>
    </row>
    <row r="19" spans="1:26" ht="12.75" x14ac:dyDescent="0.2">
      <c r="A19" s="91"/>
      <c r="B19" s="174"/>
      <c r="C19" s="160"/>
      <c r="D19" s="177"/>
      <c r="E19" s="134"/>
      <c r="F19" s="178"/>
      <c r="G19" s="107"/>
      <c r="H19" s="134"/>
      <c r="I19" s="144"/>
      <c r="J19" s="144"/>
      <c r="K19" s="179"/>
      <c r="L19" s="152"/>
      <c r="M19" s="154"/>
      <c r="N19" s="111"/>
      <c r="O19" s="112"/>
      <c r="P19" s="91"/>
      <c r="Q19" s="169"/>
      <c r="R19" s="69"/>
      <c r="Z19" s="69"/>
    </row>
    <row r="20" spans="1:26" s="77" customFormat="1" ht="12.75" x14ac:dyDescent="0.2">
      <c r="A20" s="106"/>
      <c r="B20" s="180"/>
      <c r="C20" s="181"/>
      <c r="D20" s="181"/>
      <c r="E20" s="181"/>
      <c r="F20" s="182"/>
      <c r="G20" s="183"/>
      <c r="H20" s="181"/>
      <c r="I20" s="182"/>
      <c r="J20" s="182"/>
      <c r="K20" s="182"/>
      <c r="L20" s="184"/>
      <c r="M20" s="134"/>
      <c r="N20" s="134"/>
      <c r="O20" s="106"/>
      <c r="P20" s="106"/>
      <c r="Q20" s="134"/>
      <c r="R20" s="76"/>
      <c r="Z20" s="76"/>
    </row>
    <row r="21" spans="1:26" s="77" customFormat="1" ht="12.75" x14ac:dyDescent="0.2">
      <c r="A21" s="106"/>
      <c r="B21" s="134"/>
      <c r="C21" s="134"/>
      <c r="D21" s="134"/>
      <c r="E21" s="106"/>
      <c r="F21" s="185"/>
      <c r="G21" s="161"/>
      <c r="H21" s="134"/>
      <c r="I21" s="178"/>
      <c r="J21" s="178"/>
      <c r="K21" s="178"/>
      <c r="L21" s="186"/>
      <c r="M21" s="134"/>
      <c r="N21" s="134"/>
      <c r="O21" s="134"/>
      <c r="P21" s="106"/>
      <c r="Q21" s="134"/>
      <c r="R21" s="76"/>
      <c r="Z21" s="76"/>
    </row>
    <row r="22" spans="1:26" ht="12.75" x14ac:dyDescent="0.2">
      <c r="A22" s="106"/>
      <c r="B22" s="187" t="s">
        <v>164</v>
      </c>
      <c r="C22" s="188"/>
      <c r="D22" s="137"/>
      <c r="E22" s="189"/>
      <c r="F22" s="190"/>
      <c r="G22" s="139"/>
      <c r="H22" s="137"/>
      <c r="I22" s="140"/>
      <c r="J22" s="140"/>
      <c r="K22" s="140"/>
      <c r="L22" s="163"/>
      <c r="M22" s="112"/>
      <c r="N22" s="112"/>
      <c r="O22" s="112"/>
      <c r="P22" s="91"/>
      <c r="Q22" s="169"/>
      <c r="R22" s="69"/>
      <c r="Z22" s="69"/>
    </row>
    <row r="23" spans="1:26" s="77" customFormat="1" ht="12.75" x14ac:dyDescent="0.2">
      <c r="A23" s="106"/>
      <c r="B23" s="191"/>
      <c r="C23" s="134"/>
      <c r="D23" s="134"/>
      <c r="E23" s="134"/>
      <c r="F23" s="178"/>
      <c r="G23" s="192"/>
      <c r="H23" s="134"/>
      <c r="I23" s="178"/>
      <c r="J23" s="178"/>
      <c r="K23" s="178"/>
      <c r="L23" s="193"/>
      <c r="M23" s="194"/>
      <c r="N23" s="194"/>
      <c r="O23" s="171"/>
      <c r="P23" s="134"/>
      <c r="Q23" s="195"/>
      <c r="R23" s="76"/>
      <c r="Z23" s="76"/>
    </row>
    <row r="24" spans="1:26" s="77" customFormat="1" ht="13.5" customHeight="1" x14ac:dyDescent="0.2">
      <c r="A24" s="106"/>
      <c r="B24" s="147" t="s">
        <v>30</v>
      </c>
      <c r="C24" s="148" t="s">
        <v>31</v>
      </c>
      <c r="D24" s="149">
        <v>13.000000000000002</v>
      </c>
      <c r="E24" s="150">
        <v>10.34</v>
      </c>
      <c r="F24" s="178">
        <f>SUM(+D24*E24)</f>
        <v>134.42000000000002</v>
      </c>
      <c r="G24" s="161"/>
      <c r="H24" s="196">
        <f>H12</f>
        <v>11</v>
      </c>
      <c r="I24" s="178">
        <f>SUM(+D24*H24)</f>
        <v>143.00000000000003</v>
      </c>
      <c r="J24" s="178"/>
      <c r="K24" s="178">
        <f>I24-F24</f>
        <v>8.5800000000000125</v>
      </c>
      <c r="L24" s="193"/>
      <c r="M24" s="194"/>
      <c r="N24" s="194"/>
      <c r="O24" s="197"/>
      <c r="P24" s="134"/>
      <c r="Q24" s="154">
        <f>H24/E24-1</f>
        <v>6.3829787234042534E-2</v>
      </c>
      <c r="R24" s="76"/>
      <c r="Z24" s="76"/>
    </row>
    <row r="25" spans="1:26" s="77" customFormat="1" ht="13.5" customHeight="1" x14ac:dyDescent="0.2">
      <c r="A25" s="106"/>
      <c r="B25" s="142" t="s">
        <v>32</v>
      </c>
      <c r="C25" s="112" t="s">
        <v>33</v>
      </c>
      <c r="D25" s="149">
        <v>249.405</v>
      </c>
      <c r="E25" s="156">
        <v>0.36492000000000002</v>
      </c>
      <c r="F25" s="178">
        <f>ROUND(D25*E25,2)</f>
        <v>91.01</v>
      </c>
      <c r="G25" s="161"/>
      <c r="H25" s="157">
        <f>H13</f>
        <v>0.34603</v>
      </c>
      <c r="I25" s="178">
        <f>ROUND(D25*H25,2)</f>
        <v>86.3</v>
      </c>
      <c r="J25" s="178"/>
      <c r="K25" s="178">
        <f>I25-F25</f>
        <v>-4.710000000000008</v>
      </c>
      <c r="L25" s="198"/>
      <c r="M25" s="194"/>
      <c r="N25" s="194"/>
      <c r="O25" s="199"/>
      <c r="P25" s="134"/>
      <c r="Q25" s="154">
        <f>H25/E25-1</f>
        <v>-5.1764770360626988E-2</v>
      </c>
      <c r="R25" s="76"/>
      <c r="Z25" s="76"/>
    </row>
    <row r="26" spans="1:26" s="77" customFormat="1" ht="13.5" customHeight="1" x14ac:dyDescent="0.2">
      <c r="A26" s="106"/>
      <c r="B26" s="174" t="s">
        <v>216</v>
      </c>
      <c r="C26" s="148"/>
      <c r="D26" s="161"/>
      <c r="E26" s="134"/>
      <c r="F26" s="140">
        <f>SUM(F24:F25)</f>
        <v>225.43</v>
      </c>
      <c r="G26" s="161"/>
      <c r="H26" s="134"/>
      <c r="I26" s="140">
        <f>SUM(I24:I25)</f>
        <v>229.3</v>
      </c>
      <c r="J26" s="178"/>
      <c r="K26" s="140">
        <f>SUM(K24:K25)</f>
        <v>3.8700000000000045</v>
      </c>
      <c r="L26" s="163">
        <f>ROUND(K26/F26,5)</f>
        <v>1.7170000000000001E-2</v>
      </c>
      <c r="M26" s="134"/>
      <c r="N26" s="134"/>
      <c r="O26" s="199"/>
      <c r="P26" s="134"/>
      <c r="Q26" s="165"/>
      <c r="R26" s="76"/>
      <c r="Z26" s="76"/>
    </row>
    <row r="27" spans="1:26" s="77" customFormat="1" ht="13.5" customHeight="1" x14ac:dyDescent="0.2">
      <c r="A27" s="106"/>
      <c r="B27" s="200"/>
      <c r="C27" s="201"/>
      <c r="D27" s="134"/>
      <c r="E27" s="134"/>
      <c r="F27" s="202"/>
      <c r="G27" s="161"/>
      <c r="H27" s="134"/>
      <c r="I27" s="178"/>
      <c r="J27" s="178"/>
      <c r="K27" s="178"/>
      <c r="L27" s="193"/>
      <c r="M27" s="134"/>
      <c r="N27" s="134"/>
      <c r="O27" s="203"/>
      <c r="P27" s="106"/>
      <c r="Q27" s="195"/>
      <c r="R27" s="76"/>
      <c r="Z27" s="76"/>
    </row>
    <row r="28" spans="1:26" s="77" customFormat="1" ht="13.5" customHeight="1" x14ac:dyDescent="0.2">
      <c r="A28" s="106"/>
      <c r="B28" s="142" t="s">
        <v>217</v>
      </c>
      <c r="C28" s="112" t="s">
        <v>33</v>
      </c>
      <c r="D28" s="161">
        <f>D25</f>
        <v>249.405</v>
      </c>
      <c r="E28" s="156">
        <v>4.0064099999999998</v>
      </c>
      <c r="F28" s="140">
        <f>E28*D28</f>
        <v>999.21868604999997</v>
      </c>
      <c r="G28" s="134"/>
      <c r="H28" s="157">
        <f>E28</f>
        <v>4.0064099999999998</v>
      </c>
      <c r="I28" s="140">
        <f>F28</f>
        <v>999.21868604999997</v>
      </c>
      <c r="J28" s="178"/>
      <c r="K28" s="140">
        <f>I28-F28</f>
        <v>0</v>
      </c>
      <c r="L28" s="163">
        <f>ROUND(K28/F28,5)</f>
        <v>0</v>
      </c>
      <c r="M28" s="194"/>
      <c r="N28" s="194"/>
      <c r="O28" s="204"/>
      <c r="P28" s="171"/>
      <c r="Q28" s="171"/>
      <c r="R28" s="76"/>
      <c r="Z28" s="76"/>
    </row>
    <row r="29" spans="1:26" s="77" customFormat="1" ht="13.5" customHeight="1" x14ac:dyDescent="0.2">
      <c r="A29" s="106"/>
      <c r="B29" s="191"/>
      <c r="C29" s="134"/>
      <c r="D29" s="134"/>
      <c r="E29" s="205"/>
      <c r="F29" s="178"/>
      <c r="G29" s="161"/>
      <c r="H29" s="173"/>
      <c r="I29" s="178"/>
      <c r="J29" s="178"/>
      <c r="K29" s="178"/>
      <c r="L29" s="198"/>
      <c r="M29" s="206"/>
      <c r="N29" s="206"/>
      <c r="O29" s="203"/>
      <c r="P29" s="171"/>
      <c r="Q29" s="171"/>
      <c r="R29" s="76"/>
      <c r="Z29" s="76"/>
    </row>
    <row r="30" spans="1:26" s="77" customFormat="1" ht="13.5" customHeight="1" x14ac:dyDescent="0.2">
      <c r="A30" s="106"/>
      <c r="B30" s="147" t="s">
        <v>215</v>
      </c>
      <c r="C30" s="148"/>
      <c r="D30" s="134"/>
      <c r="E30" s="134"/>
      <c r="F30" s="140">
        <f>F26+F28</f>
        <v>1224.6486860499999</v>
      </c>
      <c r="G30" s="161"/>
      <c r="H30" s="134"/>
      <c r="I30" s="140">
        <f>I26+I28</f>
        <v>1228.51868605</v>
      </c>
      <c r="J30" s="178"/>
      <c r="K30" s="140">
        <f>K26+K28</f>
        <v>3.8700000000000045</v>
      </c>
      <c r="L30" s="163">
        <f>ROUND(K30/F30,5)</f>
        <v>3.16E-3</v>
      </c>
      <c r="M30" s="134"/>
      <c r="N30" s="134"/>
      <c r="O30" s="207"/>
      <c r="P30" s="171"/>
      <c r="Q30" s="165"/>
      <c r="R30" s="76"/>
      <c r="Z30" s="76"/>
    </row>
    <row r="31" spans="1:26" s="77" customFormat="1" ht="13.5" customHeight="1" x14ac:dyDescent="0.2">
      <c r="A31" s="106"/>
      <c r="B31" s="191"/>
      <c r="C31" s="134"/>
      <c r="D31" s="134"/>
      <c r="E31" s="134"/>
      <c r="F31" s="208"/>
      <c r="G31" s="161"/>
      <c r="H31" s="134"/>
      <c r="I31" s="178"/>
      <c r="J31" s="178"/>
      <c r="K31" s="178"/>
      <c r="L31" s="198"/>
      <c r="M31" s="206"/>
      <c r="N31" s="206"/>
      <c r="O31" s="106"/>
      <c r="P31" s="171"/>
      <c r="Q31" s="134"/>
      <c r="R31" s="76"/>
      <c r="Z31" s="76"/>
    </row>
    <row r="32" spans="1:26" s="77" customFormat="1" ht="13.5" customHeight="1" x14ac:dyDescent="0.2">
      <c r="A32" s="106"/>
      <c r="B32" s="180"/>
      <c r="C32" s="181"/>
      <c r="D32" s="181"/>
      <c r="E32" s="181"/>
      <c r="F32" s="182"/>
      <c r="G32" s="181"/>
      <c r="H32" s="181"/>
      <c r="I32" s="182"/>
      <c r="J32" s="182"/>
      <c r="K32" s="182"/>
      <c r="L32" s="184"/>
      <c r="M32" s="134"/>
      <c r="N32" s="134"/>
      <c r="O32" s="106"/>
      <c r="P32" s="171"/>
      <c r="Q32" s="195"/>
      <c r="R32" s="76"/>
      <c r="Z32" s="76"/>
    </row>
    <row r="33" spans="1:26" s="77" customFormat="1" ht="13.5" customHeight="1" x14ac:dyDescent="0.2">
      <c r="A33" s="106"/>
      <c r="B33" s="134"/>
      <c r="C33" s="134"/>
      <c r="D33" s="134"/>
      <c r="E33" s="209"/>
      <c r="F33" s="208"/>
      <c r="G33" s="161"/>
      <c r="H33" s="134"/>
      <c r="I33" s="178"/>
      <c r="J33" s="178"/>
      <c r="K33" s="178"/>
      <c r="L33" s="186"/>
      <c r="M33" s="134"/>
      <c r="N33" s="134"/>
      <c r="O33" s="106"/>
      <c r="P33" s="171"/>
      <c r="Q33" s="195"/>
      <c r="R33" s="76"/>
      <c r="Z33" s="76"/>
    </row>
    <row r="34" spans="1:26" s="77" customFormat="1" ht="13.5" customHeight="1" x14ac:dyDescent="0.2">
      <c r="A34" s="106"/>
      <c r="B34" s="134"/>
      <c r="C34" s="134"/>
      <c r="D34" s="134"/>
      <c r="E34" s="209"/>
      <c r="F34" s="208"/>
      <c r="G34" s="161"/>
      <c r="H34" s="134"/>
      <c r="I34" s="178"/>
      <c r="J34" s="178"/>
      <c r="K34" s="178"/>
      <c r="L34" s="186"/>
      <c r="M34" s="134"/>
      <c r="N34" s="134"/>
      <c r="O34" s="106"/>
      <c r="P34" s="171"/>
      <c r="Q34" s="195"/>
      <c r="R34" s="76"/>
      <c r="Z34" s="76"/>
    </row>
    <row r="35" spans="1:26" ht="13.5" customHeight="1" x14ac:dyDescent="0.25">
      <c r="A35" s="91"/>
      <c r="B35" s="187" t="s">
        <v>218</v>
      </c>
      <c r="C35" s="136"/>
      <c r="D35" s="137"/>
      <c r="E35" s="189"/>
      <c r="F35" s="190"/>
      <c r="G35" s="139"/>
      <c r="H35" s="138"/>
      <c r="I35" s="140"/>
      <c r="J35" s="140"/>
      <c r="K35" s="140"/>
      <c r="L35" s="163"/>
      <c r="M35" s="112"/>
      <c r="N35" s="112"/>
      <c r="O35" s="91"/>
      <c r="P35" s="171"/>
      <c r="Q35" s="169"/>
      <c r="R35" s="69"/>
      <c r="Z35" s="69"/>
    </row>
    <row r="36" spans="1:26" ht="13.5" customHeight="1" x14ac:dyDescent="0.25">
      <c r="A36" s="91"/>
      <c r="B36" s="159"/>
      <c r="C36" s="166"/>
      <c r="D36" s="134"/>
      <c r="E36" s="134"/>
      <c r="F36" s="144"/>
      <c r="G36" s="210"/>
      <c r="H36" s="112"/>
      <c r="I36" s="144"/>
      <c r="J36" s="144"/>
      <c r="K36" s="144"/>
      <c r="L36" s="145"/>
      <c r="M36" s="111"/>
      <c r="N36" s="111"/>
      <c r="O36" s="211" t="s">
        <v>219</v>
      </c>
      <c r="P36" s="171"/>
      <c r="Q36" s="169"/>
      <c r="R36" s="69"/>
      <c r="Z36" s="69"/>
    </row>
    <row r="37" spans="1:26" ht="13.5" customHeight="1" x14ac:dyDescent="0.25">
      <c r="A37" s="91"/>
      <c r="B37" s="191" t="s">
        <v>220</v>
      </c>
      <c r="C37" s="212" t="s">
        <v>34</v>
      </c>
      <c r="D37" s="149">
        <v>509.99942105263153</v>
      </c>
      <c r="E37" s="150">
        <v>9.85</v>
      </c>
      <c r="F37" s="144">
        <f>ROUND(D37*E37,2)</f>
        <v>5023.49</v>
      </c>
      <c r="G37" s="107"/>
      <c r="H37" s="196">
        <f>ROUND(E37*(1+$O$41),2)</f>
        <v>9.69</v>
      </c>
      <c r="I37" s="144">
        <f>ROUND(D37*H37,2)</f>
        <v>4941.8900000000003</v>
      </c>
      <c r="J37" s="144"/>
      <c r="K37" s="144">
        <f>I37-F37</f>
        <v>-81.599999999999454</v>
      </c>
      <c r="L37" s="152">
        <f>ROUND(K37/F37,5)</f>
        <v>-1.6240000000000001E-2</v>
      </c>
      <c r="M37" s="213"/>
      <c r="N37" s="213"/>
      <c r="O37" s="153">
        <v>-82.898261263035238</v>
      </c>
      <c r="P37" s="171"/>
      <c r="Q37" s="154">
        <f>H37/E37-1</f>
        <v>-1.624365482233503E-2</v>
      </c>
      <c r="R37" s="69"/>
      <c r="Z37" s="69"/>
    </row>
    <row r="38" spans="1:26" ht="13.5" customHeight="1" x14ac:dyDescent="0.25">
      <c r="A38" s="91"/>
      <c r="B38" s="142"/>
      <c r="C38" s="112"/>
      <c r="D38" s="162"/>
      <c r="E38" s="162"/>
      <c r="F38" s="144"/>
      <c r="G38" s="112"/>
      <c r="H38" s="112"/>
      <c r="I38" s="144"/>
      <c r="J38" s="144"/>
      <c r="K38" s="144"/>
      <c r="L38" s="152"/>
      <c r="M38" s="213"/>
      <c r="N38" s="213"/>
      <c r="O38" s="158" t="s">
        <v>213</v>
      </c>
      <c r="P38" s="171"/>
      <c r="Q38" s="154"/>
      <c r="R38" s="69"/>
      <c r="Z38" s="69"/>
    </row>
    <row r="39" spans="1:26" ht="13.5" customHeight="1" x14ac:dyDescent="0.25">
      <c r="A39" s="91"/>
      <c r="B39" s="174" t="s">
        <v>221</v>
      </c>
      <c r="C39" s="160"/>
      <c r="D39" s="149">
        <v>9689.9889999999996</v>
      </c>
      <c r="E39" s="149"/>
      <c r="F39" s="167"/>
      <c r="G39" s="107"/>
      <c r="H39" s="112"/>
      <c r="I39" s="144"/>
      <c r="J39" s="144"/>
      <c r="K39" s="144"/>
      <c r="L39" s="145"/>
      <c r="M39" s="213"/>
      <c r="N39" s="213"/>
      <c r="O39" s="164">
        <f>K37-O37</f>
        <v>1.2982612630357835</v>
      </c>
      <c r="P39" s="171"/>
      <c r="Q39" s="154"/>
      <c r="R39" s="69"/>
      <c r="Z39" s="69"/>
    </row>
    <row r="40" spans="1:26" ht="13.5" customHeight="1" x14ac:dyDescent="0.25">
      <c r="A40" s="91"/>
      <c r="B40" s="142"/>
      <c r="C40" s="112"/>
      <c r="D40" s="134"/>
      <c r="E40" s="134"/>
      <c r="F40" s="214"/>
      <c r="G40" s="161"/>
      <c r="H40" s="134"/>
      <c r="I40" s="178"/>
      <c r="J40" s="144"/>
      <c r="K40" s="144"/>
      <c r="L40" s="145"/>
      <c r="M40" s="154"/>
      <c r="N40" s="154"/>
      <c r="O40" s="91"/>
      <c r="P40" s="171"/>
      <c r="Q40" s="154"/>
      <c r="R40" s="69"/>
      <c r="Z40" s="69"/>
    </row>
    <row r="41" spans="1:26" ht="13.5" customHeight="1" x14ac:dyDescent="0.25">
      <c r="A41" s="91"/>
      <c r="B41" s="142" t="s">
        <v>214</v>
      </c>
      <c r="C41" s="160"/>
      <c r="D41" s="161">
        <f>D39</f>
        <v>9689.9889999999996</v>
      </c>
      <c r="E41" s="156">
        <v>0.41737000000000002</v>
      </c>
      <c r="F41" s="140">
        <f>D41*E41</f>
        <v>4044.3107089300001</v>
      </c>
      <c r="G41" s="215"/>
      <c r="H41" s="216">
        <f>ROUND(7.77/19,5)</f>
        <v>0.40894999999999998</v>
      </c>
      <c r="I41" s="140">
        <f>D41*H41</f>
        <v>3962.7210015499995</v>
      </c>
      <c r="J41" s="144"/>
      <c r="K41" s="140">
        <f>I41-F41</f>
        <v>-81.589707380000618</v>
      </c>
      <c r="L41" s="163">
        <f>ROUND(K41/F41,5)</f>
        <v>-2.017E-2</v>
      </c>
      <c r="M41" s="112"/>
      <c r="N41" s="112"/>
      <c r="O41" s="170">
        <v>-1.6155942202292047E-2</v>
      </c>
      <c r="P41" s="171"/>
      <c r="Q41" s="171"/>
      <c r="R41" s="69"/>
      <c r="Z41" s="69"/>
    </row>
    <row r="42" spans="1:26" ht="13.5" customHeight="1" x14ac:dyDescent="0.25">
      <c r="A42" s="91"/>
      <c r="B42" s="142"/>
      <c r="C42" s="112"/>
      <c r="D42" s="134"/>
      <c r="E42" s="134"/>
      <c r="F42" s="144"/>
      <c r="G42" s="107"/>
      <c r="H42" s="112"/>
      <c r="I42" s="144"/>
      <c r="J42" s="144"/>
      <c r="K42" s="144"/>
      <c r="L42" s="217"/>
      <c r="M42" s="110"/>
      <c r="N42" s="110"/>
      <c r="O42" s="204"/>
      <c r="P42" s="171"/>
      <c r="Q42" s="171"/>
      <c r="R42" s="69"/>
      <c r="Z42" s="69"/>
    </row>
    <row r="43" spans="1:26" ht="13.5" customHeight="1" x14ac:dyDescent="0.25">
      <c r="A43" s="91"/>
      <c r="B43" s="142" t="s">
        <v>215</v>
      </c>
      <c r="C43" s="112"/>
      <c r="D43" s="134"/>
      <c r="E43" s="134"/>
      <c r="F43" s="140">
        <f>F37+F41</f>
        <v>9067.8007089300008</v>
      </c>
      <c r="G43" s="107"/>
      <c r="H43" s="112"/>
      <c r="I43" s="140">
        <f>I37+I41</f>
        <v>8904.6110015499999</v>
      </c>
      <c r="J43" s="144"/>
      <c r="K43" s="140">
        <f>K37+K41</f>
        <v>-163.18970738000007</v>
      </c>
      <c r="L43" s="163">
        <f>ROUND(K43/F43,5)</f>
        <v>-1.7999999999999999E-2</v>
      </c>
      <c r="M43" s="111"/>
      <c r="N43" s="111"/>
      <c r="O43" s="171"/>
      <c r="P43" s="171"/>
      <c r="Q43" s="171"/>
      <c r="R43" s="69"/>
      <c r="Z43" s="69"/>
    </row>
    <row r="44" spans="1:26" ht="13.5" customHeight="1" x14ac:dyDescent="0.25">
      <c r="A44" s="91"/>
      <c r="B44" s="142"/>
      <c r="C44" s="112"/>
      <c r="D44" s="134"/>
      <c r="E44" s="134"/>
      <c r="F44" s="178"/>
      <c r="G44" s="107"/>
      <c r="H44" s="112"/>
      <c r="I44" s="144"/>
      <c r="J44" s="144"/>
      <c r="K44" s="144"/>
      <c r="L44" s="217"/>
      <c r="M44" s="154"/>
      <c r="N44" s="154"/>
      <c r="O44" s="218"/>
      <c r="P44" s="219"/>
      <c r="Q44" s="125"/>
      <c r="R44" s="69"/>
      <c r="Z44" s="69"/>
    </row>
    <row r="45" spans="1:26" ht="13.5" customHeight="1" x14ac:dyDescent="0.25">
      <c r="A45" s="91"/>
      <c r="B45" s="220"/>
      <c r="C45" s="221"/>
      <c r="D45" s="181"/>
      <c r="E45" s="181"/>
      <c r="F45" s="222"/>
      <c r="G45" s="223"/>
      <c r="H45" s="224"/>
      <c r="I45" s="225"/>
      <c r="J45" s="225"/>
      <c r="K45" s="224"/>
      <c r="L45" s="226"/>
      <c r="M45" s="199"/>
      <c r="N45" s="199"/>
      <c r="O45" s="91"/>
      <c r="P45" s="91"/>
      <c r="Q45" s="169"/>
      <c r="R45" s="69"/>
      <c r="Z45" s="69"/>
    </row>
    <row r="46" spans="1:26" ht="13.5" customHeight="1" x14ac:dyDescent="0.25">
      <c r="A46" s="91"/>
      <c r="B46" s="91"/>
      <c r="C46" s="105"/>
      <c r="D46" s="106"/>
      <c r="E46" s="106"/>
      <c r="F46" s="105"/>
      <c r="G46" s="107"/>
      <c r="H46" s="91"/>
      <c r="I46" s="108"/>
      <c r="J46" s="109"/>
      <c r="K46" s="112"/>
      <c r="L46" s="110"/>
      <c r="M46" s="154"/>
      <c r="N46" s="154"/>
      <c r="O46" s="91"/>
      <c r="P46" s="91"/>
      <c r="Q46" s="169"/>
      <c r="R46" s="69"/>
      <c r="Z46" s="69"/>
    </row>
    <row r="47" spans="1:26" x14ac:dyDescent="0.25">
      <c r="A47" s="91"/>
      <c r="B47" s="105" t="s">
        <v>222</v>
      </c>
      <c r="C47" s="105"/>
      <c r="D47" s="106"/>
      <c r="E47" s="106"/>
      <c r="F47" s="105"/>
      <c r="G47" s="107"/>
      <c r="H47" s="91"/>
      <c r="I47" s="108"/>
      <c r="J47" s="109"/>
      <c r="K47" s="112"/>
      <c r="L47" s="110"/>
      <c r="M47" s="199"/>
      <c r="N47" s="199"/>
      <c r="O47" s="91"/>
      <c r="P47" s="91"/>
      <c r="Q47" s="169"/>
      <c r="R47" s="69"/>
      <c r="Z47" s="69"/>
    </row>
    <row r="48" spans="1:26" x14ac:dyDescent="0.25">
      <c r="A48" s="91"/>
      <c r="B48" s="91"/>
      <c r="C48" s="105"/>
      <c r="D48" s="227" t="s">
        <v>33</v>
      </c>
      <c r="E48" s="106"/>
      <c r="F48" s="127" t="s">
        <v>161</v>
      </c>
      <c r="G48" s="107"/>
      <c r="H48" s="91"/>
      <c r="I48" s="129" t="s">
        <v>162</v>
      </c>
      <c r="J48" s="109"/>
      <c r="K48" s="129" t="s">
        <v>35</v>
      </c>
      <c r="L48" s="110"/>
      <c r="M48" s="110"/>
      <c r="N48" s="110"/>
      <c r="O48" s="91"/>
      <c r="P48" s="91"/>
      <c r="Q48" s="169"/>
      <c r="R48" s="69"/>
      <c r="Z48" s="69"/>
    </row>
    <row r="49" spans="1:26" x14ac:dyDescent="0.25">
      <c r="A49" s="91"/>
      <c r="B49" s="91" t="s">
        <v>223</v>
      </c>
      <c r="C49" s="105"/>
      <c r="D49" s="106"/>
      <c r="E49" s="106"/>
      <c r="F49" s="228">
        <f>F16+F28+F41</f>
        <v>241008792.87633085</v>
      </c>
      <c r="G49" s="107"/>
      <c r="H49" s="91"/>
      <c r="I49" s="228">
        <f>I16+I28+I41</f>
        <v>236405788.01249197</v>
      </c>
      <c r="J49" s="228"/>
      <c r="K49" s="144">
        <f>I49-F49</f>
        <v>-4603004.8638388813</v>
      </c>
      <c r="L49" s="110"/>
      <c r="M49" s="110"/>
      <c r="N49" s="110"/>
      <c r="O49" s="91"/>
      <c r="P49" s="91"/>
      <c r="Q49" s="169"/>
      <c r="R49" s="69"/>
      <c r="Z49" s="69"/>
    </row>
    <row r="50" spans="1:26" x14ac:dyDescent="0.25">
      <c r="A50" s="91"/>
      <c r="B50" s="91" t="s">
        <v>224</v>
      </c>
      <c r="C50" s="105"/>
      <c r="D50" s="106"/>
      <c r="E50" s="106"/>
      <c r="F50" s="228">
        <f>F14+F26+F37</f>
        <v>304293738.14197642</v>
      </c>
      <c r="G50" s="228"/>
      <c r="H50" s="228"/>
      <c r="I50" s="228">
        <f>I14+I26+I37</f>
        <v>299354468.56167698</v>
      </c>
      <c r="J50" s="228"/>
      <c r="K50" s="144">
        <f>I50-F50</f>
        <v>-4939269.580299437</v>
      </c>
      <c r="L50" s="229">
        <f>K50/F50</f>
        <v>-1.6231913316582573E-2</v>
      </c>
      <c r="M50" s="110"/>
      <c r="N50" s="110"/>
      <c r="O50" s="91"/>
      <c r="P50" s="91"/>
      <c r="Q50" s="113"/>
    </row>
    <row r="51" spans="1:26" x14ac:dyDescent="0.25">
      <c r="A51" s="91"/>
      <c r="B51" s="91" t="s">
        <v>225</v>
      </c>
      <c r="C51" s="105"/>
      <c r="D51" s="230">
        <f>D13+D25+D39</f>
        <v>577541090.47699988</v>
      </c>
      <c r="E51" s="106"/>
      <c r="F51" s="140">
        <f>F49+F50</f>
        <v>545302531.01830721</v>
      </c>
      <c r="G51" s="107"/>
      <c r="H51" s="91"/>
      <c r="I51" s="140">
        <f>I49+I50</f>
        <v>535760256.57416892</v>
      </c>
      <c r="J51" s="109"/>
      <c r="K51" s="140">
        <f>K49+K50</f>
        <v>-9542274.4441383183</v>
      </c>
      <c r="L51" s="229">
        <f>K51/F51</f>
        <v>-1.7499046678398709E-2</v>
      </c>
      <c r="M51" s="110"/>
      <c r="N51" s="110"/>
      <c r="O51" s="91"/>
      <c r="P51" s="91"/>
      <c r="Q51" s="113"/>
    </row>
    <row r="52" spans="1:26" x14ac:dyDescent="0.25">
      <c r="A52" s="91"/>
      <c r="B52" s="91"/>
      <c r="C52" s="105"/>
      <c r="D52" s="106"/>
      <c r="E52" s="106"/>
      <c r="F52" s="228"/>
      <c r="G52" s="107"/>
      <c r="H52" s="91"/>
      <c r="I52" s="228"/>
      <c r="J52" s="109"/>
      <c r="K52" s="144"/>
      <c r="L52" s="110"/>
      <c r="M52" s="110"/>
      <c r="N52" s="110"/>
      <c r="O52" s="91"/>
      <c r="P52" s="91"/>
      <c r="Q52" s="113"/>
    </row>
    <row r="53" spans="1:26" x14ac:dyDescent="0.25">
      <c r="A53" s="91"/>
      <c r="B53" s="91" t="s">
        <v>226</v>
      </c>
      <c r="C53" s="105"/>
      <c r="D53" s="106"/>
      <c r="E53" s="106"/>
      <c r="F53" s="231"/>
      <c r="G53" s="107"/>
      <c r="H53" s="91"/>
      <c r="I53" s="108"/>
      <c r="J53" s="109"/>
      <c r="K53" s="112"/>
      <c r="L53" s="110"/>
      <c r="M53" s="110"/>
      <c r="N53" s="110"/>
      <c r="O53" s="232"/>
      <c r="P53" s="228"/>
      <c r="Q53" s="113"/>
    </row>
    <row r="54" spans="1:26" x14ac:dyDescent="0.25">
      <c r="A54" s="91"/>
      <c r="B54" s="91"/>
      <c r="C54" s="105"/>
      <c r="D54" s="106"/>
      <c r="E54" s="106"/>
      <c r="F54" s="91"/>
      <c r="G54" s="107"/>
      <c r="H54" s="91"/>
      <c r="I54" s="108"/>
      <c r="J54" s="109"/>
      <c r="K54" s="91"/>
      <c r="L54" s="110"/>
      <c r="M54" s="110"/>
      <c r="N54" s="110"/>
      <c r="O54" s="91"/>
      <c r="P54" s="91"/>
      <c r="Q54" s="113"/>
    </row>
    <row r="55" spans="1:26" x14ac:dyDescent="0.25">
      <c r="A55" s="91"/>
      <c r="B55" s="91"/>
      <c r="C55" s="105"/>
      <c r="D55" s="106"/>
      <c r="E55" s="106"/>
      <c r="F55" s="91"/>
      <c r="G55" s="107"/>
      <c r="H55" s="91"/>
      <c r="I55" s="108"/>
      <c r="J55" s="109"/>
      <c r="K55" s="91"/>
      <c r="L55" s="110"/>
      <c r="M55" s="110"/>
      <c r="N55" s="110"/>
      <c r="O55" s="91"/>
      <c r="P55" s="91"/>
      <c r="Q55" s="113"/>
    </row>
    <row r="56" spans="1:26" x14ac:dyDescent="0.25">
      <c r="A56" s="233"/>
      <c r="B56" s="233"/>
      <c r="C56" s="233"/>
      <c r="D56" s="233"/>
      <c r="E56" s="234"/>
      <c r="F56" s="233"/>
      <c r="G56" s="233"/>
      <c r="H56" s="233"/>
      <c r="I56" s="233"/>
      <c r="J56" s="233"/>
      <c r="K56" s="233"/>
      <c r="L56" s="233"/>
      <c r="M56" s="233"/>
      <c r="N56" s="233"/>
      <c r="O56" s="233"/>
      <c r="P56" s="233"/>
      <c r="Q56" s="233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&amp;A&amp;C&amp;P&amp;R&amp;D</oddFooter>
  </headerFooter>
  <rowBreaks count="1" manualBreakCount="1">
    <brk id="46" min="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48"/>
  <sheetViews>
    <sheetView topLeftCell="A55" workbookViewId="0">
      <selection activeCell="D18" sqref="D18"/>
    </sheetView>
  </sheetViews>
  <sheetFormatPr defaultColWidth="9.109375" defaultRowHeight="13.2" x14ac:dyDescent="0.25"/>
  <cols>
    <col min="1" max="1" width="2.44140625" style="67" customWidth="1"/>
    <col min="2" max="2" width="31.44140625" style="67" bestFit="1" customWidth="1"/>
    <col min="3" max="3" width="9.88671875" style="67" bestFit="1" customWidth="1"/>
    <col min="4" max="4" width="12.5546875" style="67" bestFit="1" customWidth="1"/>
    <col min="5" max="5" width="11.33203125" style="67" bestFit="1" customWidth="1"/>
    <col min="6" max="6" width="14" style="86" bestFit="1" customWidth="1"/>
    <col min="7" max="7" width="6" style="78" customWidth="1"/>
    <col min="8" max="8" width="11" style="77" bestFit="1" customWidth="1"/>
    <col min="9" max="9" width="14.88671875" style="86" bestFit="1" customWidth="1"/>
    <col min="10" max="10" width="2.33203125" style="86" customWidth="1"/>
    <col min="11" max="11" width="12.88671875" style="86" bestFit="1" customWidth="1"/>
    <col min="12" max="12" width="7.33203125" style="79" customWidth="1"/>
    <col min="13" max="13" width="2.109375" style="68" customWidth="1"/>
    <col min="14" max="14" width="2" style="83" customWidth="1"/>
    <col min="15" max="15" width="18.6640625" style="67" bestFit="1" customWidth="1"/>
    <col min="16" max="16" width="2.33203125" style="67" customWidth="1"/>
    <col min="17" max="17" width="8.88671875" style="70" bestFit="1" customWidth="1"/>
    <col min="18" max="16384" width="9.109375" style="67"/>
  </cols>
  <sheetData>
    <row r="1" spans="1:17" ht="12.75" x14ac:dyDescent="0.2">
      <c r="A1" s="235"/>
      <c r="B1" s="235"/>
      <c r="C1" s="235"/>
      <c r="D1" s="235"/>
      <c r="E1" s="235"/>
      <c r="F1" s="236"/>
      <c r="G1" s="237"/>
      <c r="H1" s="238"/>
      <c r="I1" s="236"/>
      <c r="J1" s="236"/>
      <c r="K1" s="236"/>
      <c r="L1" s="239"/>
      <c r="M1" s="240"/>
      <c r="N1" s="241"/>
      <c r="O1" s="235"/>
      <c r="P1" s="235"/>
      <c r="Q1" s="242"/>
    </row>
    <row r="2" spans="1:17" ht="15" x14ac:dyDescent="0.25">
      <c r="A2" s="235"/>
      <c r="B2" s="102" t="s">
        <v>17</v>
      </c>
      <c r="C2" s="243"/>
      <c r="D2" s="243"/>
      <c r="E2" s="243"/>
      <c r="F2" s="244"/>
      <c r="G2" s="245"/>
      <c r="H2" s="246"/>
      <c r="I2" s="244"/>
      <c r="J2" s="244"/>
      <c r="K2" s="244"/>
      <c r="L2" s="247"/>
      <c r="M2" s="248"/>
      <c r="N2" s="248"/>
      <c r="O2" s="243"/>
      <c r="P2" s="243"/>
      <c r="Q2" s="249"/>
    </row>
    <row r="3" spans="1:17" ht="12.75" x14ac:dyDescent="0.2">
      <c r="A3" s="235"/>
      <c r="B3" s="101" t="s">
        <v>351</v>
      </c>
      <c r="C3" s="243"/>
      <c r="D3" s="243"/>
      <c r="E3" s="243"/>
      <c r="F3" s="243"/>
      <c r="G3" s="246"/>
      <c r="H3" s="246"/>
      <c r="I3" s="243"/>
      <c r="J3" s="243"/>
      <c r="K3" s="243"/>
      <c r="L3" s="247"/>
      <c r="M3" s="243"/>
      <c r="N3" s="248"/>
      <c r="O3" s="243"/>
      <c r="P3" s="243"/>
      <c r="Q3" s="249"/>
    </row>
    <row r="4" spans="1:17" ht="12.75" x14ac:dyDescent="0.2">
      <c r="A4" s="235"/>
      <c r="B4" s="101" t="s">
        <v>352</v>
      </c>
      <c r="C4" s="243"/>
      <c r="D4" s="243"/>
      <c r="E4" s="243"/>
      <c r="F4" s="243"/>
      <c r="G4" s="246"/>
      <c r="H4" s="246"/>
      <c r="I4" s="243"/>
      <c r="J4" s="243"/>
      <c r="K4" s="243"/>
      <c r="L4" s="247"/>
      <c r="M4" s="243"/>
      <c r="N4" s="248"/>
      <c r="O4" s="243"/>
      <c r="P4" s="243"/>
      <c r="Q4" s="249"/>
    </row>
    <row r="5" spans="1:17" ht="12.75" x14ac:dyDescent="0.2">
      <c r="A5" s="235"/>
      <c r="B5" s="102" t="s">
        <v>206</v>
      </c>
      <c r="C5" s="243"/>
      <c r="D5" s="243"/>
      <c r="E5" s="243"/>
      <c r="F5" s="243"/>
      <c r="G5" s="246"/>
      <c r="H5" s="246"/>
      <c r="I5" s="243"/>
      <c r="J5" s="243"/>
      <c r="K5" s="243"/>
      <c r="L5" s="247"/>
      <c r="M5" s="243"/>
      <c r="N5" s="250"/>
      <c r="O5" s="251"/>
      <c r="P5" s="243"/>
      <c r="Q5" s="249"/>
    </row>
    <row r="6" spans="1:17" ht="13.5" customHeight="1" x14ac:dyDescent="0.2">
      <c r="A6" s="235"/>
      <c r="B6" s="252"/>
      <c r="C6" s="252"/>
      <c r="D6" s="252"/>
      <c r="E6" s="252"/>
      <c r="F6" s="253"/>
      <c r="G6" s="254"/>
      <c r="H6" s="255"/>
      <c r="I6" s="253"/>
      <c r="J6" s="253"/>
      <c r="K6" s="253"/>
      <c r="L6" s="256"/>
      <c r="M6" s="240"/>
      <c r="N6" s="257"/>
      <c r="O6" s="258"/>
      <c r="P6" s="235"/>
      <c r="Q6" s="242"/>
    </row>
    <row r="7" spans="1:17" ht="12" customHeight="1" x14ac:dyDescent="0.2">
      <c r="A7" s="235"/>
      <c r="B7" s="259"/>
      <c r="C7" s="260"/>
      <c r="D7" s="261" t="s">
        <v>22</v>
      </c>
      <c r="E7" s="120" t="s">
        <v>161</v>
      </c>
      <c r="F7" s="262"/>
      <c r="G7" s="263"/>
      <c r="H7" s="264" t="s">
        <v>162</v>
      </c>
      <c r="I7" s="262"/>
      <c r="J7" s="265"/>
      <c r="K7" s="661" t="s">
        <v>207</v>
      </c>
      <c r="L7" s="662"/>
      <c r="M7" s="266"/>
      <c r="N7" s="250"/>
      <c r="O7" s="124" t="s">
        <v>23</v>
      </c>
      <c r="P7" s="235"/>
      <c r="Q7" s="125" t="s">
        <v>208</v>
      </c>
    </row>
    <row r="8" spans="1:17" ht="12.75" x14ac:dyDescent="0.2">
      <c r="A8" s="235"/>
      <c r="B8" s="267" t="s">
        <v>24</v>
      </c>
      <c r="C8" s="132" t="s">
        <v>25</v>
      </c>
      <c r="D8" s="268" t="s">
        <v>26</v>
      </c>
      <c r="E8" s="132" t="s">
        <v>27</v>
      </c>
      <c r="F8" s="269" t="s">
        <v>28</v>
      </c>
      <c r="G8" s="268"/>
      <c r="H8" s="268" t="s">
        <v>27</v>
      </c>
      <c r="I8" s="269" t="s">
        <v>28</v>
      </c>
      <c r="J8" s="269"/>
      <c r="K8" s="269" t="s">
        <v>209</v>
      </c>
      <c r="L8" s="270" t="s">
        <v>210</v>
      </c>
      <c r="M8" s="271"/>
      <c r="N8" s="272"/>
      <c r="O8" s="132" t="s">
        <v>211</v>
      </c>
      <c r="P8" s="235"/>
      <c r="Q8" s="133" t="s">
        <v>29</v>
      </c>
    </row>
    <row r="9" spans="1:17" ht="12.75" x14ac:dyDescent="0.2">
      <c r="A9" s="258"/>
      <c r="B9" s="124"/>
      <c r="C9" s="124"/>
      <c r="D9" s="124"/>
      <c r="E9" s="124"/>
      <c r="F9" s="273"/>
      <c r="G9" s="263"/>
      <c r="H9" s="263"/>
      <c r="I9" s="273"/>
      <c r="J9" s="273"/>
      <c r="K9" s="273"/>
      <c r="L9" s="274"/>
      <c r="M9" s="271"/>
      <c r="N9" s="272"/>
      <c r="O9" s="258"/>
      <c r="P9" s="258"/>
      <c r="Q9" s="275"/>
    </row>
    <row r="10" spans="1:17" ht="12.75" x14ac:dyDescent="0.2">
      <c r="A10" s="235"/>
      <c r="B10" s="276" t="s">
        <v>227</v>
      </c>
      <c r="C10" s="277"/>
      <c r="D10" s="278"/>
      <c r="E10" s="278"/>
      <c r="F10" s="279"/>
      <c r="G10" s="280"/>
      <c r="H10" s="281"/>
      <c r="I10" s="279"/>
      <c r="J10" s="279"/>
      <c r="K10" s="279"/>
      <c r="L10" s="282"/>
      <c r="M10" s="283"/>
      <c r="N10" s="257"/>
      <c r="O10" s="258"/>
      <c r="P10" s="258"/>
      <c r="Q10" s="275"/>
    </row>
    <row r="11" spans="1:17" ht="15" x14ac:dyDescent="0.25">
      <c r="A11" s="235"/>
      <c r="B11" s="284"/>
      <c r="C11" s="258"/>
      <c r="D11" s="285"/>
      <c r="E11" s="258"/>
      <c r="F11" s="286"/>
      <c r="G11" s="287"/>
      <c r="H11" s="288"/>
      <c r="I11" s="286"/>
      <c r="J11" s="286"/>
      <c r="K11" s="286"/>
      <c r="L11" s="289"/>
      <c r="M11" s="283"/>
      <c r="N11" s="257"/>
      <c r="O11" s="290" t="s">
        <v>228</v>
      </c>
      <c r="P11" s="258"/>
      <c r="Q11" s="275"/>
    </row>
    <row r="12" spans="1:17" ht="12.75" x14ac:dyDescent="0.2">
      <c r="A12" s="235"/>
      <c r="B12" s="291" t="s">
        <v>30</v>
      </c>
      <c r="C12" s="292" t="s">
        <v>31</v>
      </c>
      <c r="D12" s="293">
        <v>679614.01800213428</v>
      </c>
      <c r="E12" s="294">
        <v>33.42</v>
      </c>
      <c r="F12" s="286">
        <f>ROUND(D12*E12,2)</f>
        <v>22712700.48</v>
      </c>
      <c r="G12" s="287"/>
      <c r="H12" s="196">
        <f>ROUND(E12*(1+$O$16),2)</f>
        <v>32.159999999999997</v>
      </c>
      <c r="I12" s="295">
        <f>ROUND(D12*H12,2)</f>
        <v>21856386.82</v>
      </c>
      <c r="J12" s="286"/>
      <c r="K12" s="286">
        <f>I12-F12</f>
        <v>-856313.66000000015</v>
      </c>
      <c r="L12" s="289"/>
      <c r="M12" s="283"/>
      <c r="N12" s="257"/>
      <c r="O12" s="296">
        <v>-1436063.4611234923</v>
      </c>
      <c r="P12" s="258"/>
      <c r="Q12" s="154">
        <f>H12/E12-1</f>
        <v>-3.7701974865350207E-2</v>
      </c>
    </row>
    <row r="13" spans="1:17" ht="12.75" x14ac:dyDescent="0.2">
      <c r="A13" s="235"/>
      <c r="B13" s="284" t="s">
        <v>32</v>
      </c>
      <c r="C13" s="297" t="s">
        <v>33</v>
      </c>
      <c r="D13" s="293">
        <v>214564223.29299998</v>
      </c>
      <c r="E13" s="298">
        <v>0.30626999999999999</v>
      </c>
      <c r="F13" s="286">
        <f>ROUND(D13*E13,2)</f>
        <v>65714584.670000002</v>
      </c>
      <c r="G13" s="287"/>
      <c r="H13" s="299">
        <f>ROUND(E13*(1+$O$16),5)</f>
        <v>0.29475000000000001</v>
      </c>
      <c r="I13" s="295">
        <f>ROUND(D13*H13,2)</f>
        <v>63242804.82</v>
      </c>
      <c r="J13" s="286"/>
      <c r="K13" s="286">
        <f>I13-F13</f>
        <v>-2471779.8500000015</v>
      </c>
      <c r="L13" s="289"/>
      <c r="M13" s="283"/>
      <c r="N13" s="257"/>
      <c r="O13" s="300" t="s">
        <v>213</v>
      </c>
      <c r="P13" s="258"/>
      <c r="Q13" s="154">
        <f>H13/E13-1</f>
        <v>-3.7613870114604708E-2</v>
      </c>
    </row>
    <row r="14" spans="1:17" ht="12.75" x14ac:dyDescent="0.2">
      <c r="A14" s="235"/>
      <c r="B14" s="284" t="s">
        <v>36</v>
      </c>
      <c r="C14" s="297"/>
      <c r="D14" s="301">
        <f>D13</f>
        <v>214564223.29299998</v>
      </c>
      <c r="E14" s="298">
        <v>0</v>
      </c>
      <c r="F14" s="286">
        <f>ROUND(D14*E14,2)</f>
        <v>0</v>
      </c>
      <c r="G14" s="287"/>
      <c r="H14" s="298">
        <v>8.8199999999999997E-3</v>
      </c>
      <c r="I14" s="286">
        <f>ROUND(D14*H14,2)</f>
        <v>1892456.45</v>
      </c>
      <c r="J14" s="302"/>
      <c r="K14" s="286">
        <f>I14-F14</f>
        <v>1892456.45</v>
      </c>
      <c r="L14" s="303"/>
      <c r="M14" s="271"/>
      <c r="N14" s="271"/>
      <c r="O14" s="304">
        <f>K15+K27-O12</f>
        <v>-31.718876509461552</v>
      </c>
      <c r="P14" s="258"/>
      <c r="Q14" s="275"/>
    </row>
    <row r="15" spans="1:17" ht="12.75" x14ac:dyDescent="0.2">
      <c r="A15" s="235"/>
      <c r="B15" s="174" t="s">
        <v>216</v>
      </c>
      <c r="C15" s="305"/>
      <c r="D15" s="287"/>
      <c r="E15" s="306"/>
      <c r="F15" s="279">
        <f>SUM(F12:F14)</f>
        <v>88427285.150000006</v>
      </c>
      <c r="G15" s="287"/>
      <c r="H15" s="287"/>
      <c r="I15" s="307">
        <f>SUM(I12:I14)</f>
        <v>86991648.090000004</v>
      </c>
      <c r="J15" s="286"/>
      <c r="K15" s="279">
        <f>SUM(K12:K14)</f>
        <v>-1435637.0600000017</v>
      </c>
      <c r="L15" s="282">
        <f>ROUND(K15/F15,5)</f>
        <v>-1.6240000000000001E-2</v>
      </c>
      <c r="M15" s="283"/>
      <c r="N15" s="257"/>
      <c r="O15" s="308"/>
      <c r="P15" s="309"/>
      <c r="Q15" s="310"/>
    </row>
    <row r="16" spans="1:17" ht="12.75" x14ac:dyDescent="0.2">
      <c r="A16" s="235"/>
      <c r="B16" s="284"/>
      <c r="C16" s="258"/>
      <c r="D16" s="288"/>
      <c r="E16" s="306"/>
      <c r="F16" s="286"/>
      <c r="G16" s="287"/>
      <c r="H16" s="287"/>
      <c r="I16" s="295"/>
      <c r="J16" s="286"/>
      <c r="K16" s="286"/>
      <c r="L16" s="289"/>
      <c r="M16" s="283"/>
      <c r="N16" s="257"/>
      <c r="O16" s="311">
        <v>-3.7605143002000636E-2</v>
      </c>
      <c r="P16" s="258"/>
      <c r="Q16" s="275"/>
    </row>
    <row r="17" spans="1:17" ht="15" x14ac:dyDescent="0.25">
      <c r="A17" s="235"/>
      <c r="B17" s="142" t="s">
        <v>214</v>
      </c>
      <c r="C17" s="297" t="s">
        <v>33</v>
      </c>
      <c r="D17" s="287">
        <f>D13</f>
        <v>214564223.29299998</v>
      </c>
      <c r="E17" s="74">
        <v>0.41065000000000002</v>
      </c>
      <c r="F17" s="286">
        <f>E17*D17</f>
        <v>88110798.295270443</v>
      </c>
      <c r="G17" s="288"/>
      <c r="H17" s="298">
        <v>0.40664</v>
      </c>
      <c r="I17" s="295">
        <f>H17*D17</f>
        <v>87250395.759865507</v>
      </c>
      <c r="J17" s="286"/>
      <c r="K17" s="286">
        <f>I17-F17</f>
        <v>-860402.53540493548</v>
      </c>
      <c r="L17" s="289">
        <f>ROUND(K17/F17,5)</f>
        <v>-9.7699999999999992E-3</v>
      </c>
      <c r="M17" s="283"/>
      <c r="N17" s="257"/>
      <c r="O17" s="124"/>
      <c r="P17" s="124"/>
      <c r="Q17" s="124"/>
    </row>
    <row r="18" spans="1:17" ht="12.75" x14ac:dyDescent="0.2">
      <c r="A18" s="235"/>
      <c r="B18" s="284"/>
      <c r="C18" s="258"/>
      <c r="D18" s="288"/>
      <c r="E18" s="312"/>
      <c r="F18" s="286"/>
      <c r="G18" s="313"/>
      <c r="H18" s="314"/>
      <c r="I18" s="295"/>
      <c r="J18" s="286"/>
      <c r="K18" s="286"/>
      <c r="L18" s="289"/>
      <c r="M18" s="283"/>
      <c r="N18" s="257"/>
      <c r="O18" s="315"/>
      <c r="P18" s="124"/>
      <c r="Q18" s="124"/>
    </row>
    <row r="19" spans="1:17" ht="12.75" x14ac:dyDescent="0.2">
      <c r="A19" s="235"/>
      <c r="B19" s="316" t="s">
        <v>215</v>
      </c>
      <c r="C19" s="258"/>
      <c r="D19" s="288"/>
      <c r="E19" s="258"/>
      <c r="F19" s="279">
        <f>F17+F15</f>
        <v>176538083.44527045</v>
      </c>
      <c r="G19" s="313"/>
      <c r="H19" s="317"/>
      <c r="I19" s="307">
        <f>I17+I15</f>
        <v>174242043.8498655</v>
      </c>
      <c r="J19" s="286"/>
      <c r="K19" s="279">
        <f>K15+K17</f>
        <v>-2296039.5954049369</v>
      </c>
      <c r="L19" s="282">
        <f>ROUND(K19/F19,5)</f>
        <v>-1.3010000000000001E-2</v>
      </c>
      <c r="M19" s="283"/>
      <c r="N19" s="257"/>
      <c r="O19" s="124"/>
      <c r="P19" s="124"/>
      <c r="Q19" s="124"/>
    </row>
    <row r="20" spans="1:17" ht="12.75" x14ac:dyDescent="0.2">
      <c r="A20" s="235"/>
      <c r="B20" s="318"/>
      <c r="C20" s="319"/>
      <c r="D20" s="320"/>
      <c r="E20" s="321"/>
      <c r="F20" s="322"/>
      <c r="G20" s="320"/>
      <c r="H20" s="323"/>
      <c r="I20" s="324"/>
      <c r="J20" s="325"/>
      <c r="K20" s="325"/>
      <c r="L20" s="326"/>
      <c r="M20" s="283"/>
      <c r="N20" s="257"/>
      <c r="O20" s="258"/>
      <c r="P20" s="235"/>
      <c r="Q20" s="242"/>
    </row>
    <row r="21" spans="1:17" ht="12.75" x14ac:dyDescent="0.2">
      <c r="A21" s="258"/>
      <c r="B21" s="258"/>
      <c r="C21" s="258"/>
      <c r="D21" s="288"/>
      <c r="E21" s="258"/>
      <c r="F21" s="327"/>
      <c r="G21" s="313"/>
      <c r="H21" s="317"/>
      <c r="I21" s="327"/>
      <c r="J21" s="327"/>
      <c r="K21" s="286"/>
      <c r="L21" s="328"/>
      <c r="M21" s="283"/>
      <c r="N21" s="257"/>
      <c r="O21" s="258"/>
      <c r="P21" s="235"/>
      <c r="Q21" s="242"/>
    </row>
    <row r="22" spans="1:17" ht="12.75" x14ac:dyDescent="0.2">
      <c r="A22" s="258"/>
      <c r="B22" s="329" t="s">
        <v>229</v>
      </c>
      <c r="C22" s="277"/>
      <c r="D22" s="278"/>
      <c r="E22" s="278"/>
      <c r="F22" s="279"/>
      <c r="G22" s="280"/>
      <c r="H22" s="281"/>
      <c r="I22" s="279"/>
      <c r="J22" s="279"/>
      <c r="K22" s="279"/>
      <c r="L22" s="282"/>
      <c r="M22" s="283"/>
      <c r="N22" s="257"/>
      <c r="O22" s="258"/>
      <c r="P22" s="235"/>
      <c r="Q22" s="242"/>
    </row>
    <row r="23" spans="1:17" ht="12.75" x14ac:dyDescent="0.2">
      <c r="A23" s="258"/>
      <c r="B23" s="284"/>
      <c r="C23" s="258"/>
      <c r="D23" s="285"/>
      <c r="E23" s="258"/>
      <c r="F23" s="286"/>
      <c r="G23" s="287"/>
      <c r="H23" s="288"/>
      <c r="I23" s="286"/>
      <c r="J23" s="286"/>
      <c r="K23" s="286"/>
      <c r="L23" s="289"/>
      <c r="M23" s="283"/>
      <c r="N23" s="257"/>
      <c r="O23" s="258"/>
      <c r="P23" s="235"/>
      <c r="Q23" s="154">
        <f>H24/E24-1</f>
        <v>-3.7596234935661998E-2</v>
      </c>
    </row>
    <row r="24" spans="1:17" ht="12.75" x14ac:dyDescent="0.2">
      <c r="A24" s="258"/>
      <c r="B24" s="291" t="s">
        <v>30</v>
      </c>
      <c r="C24" s="292" t="s">
        <v>31</v>
      </c>
      <c r="D24" s="293">
        <v>23</v>
      </c>
      <c r="E24" s="294">
        <v>367.59</v>
      </c>
      <c r="F24" s="286">
        <f>ROUND(D24*E24,2)</f>
        <v>8454.57</v>
      </c>
      <c r="G24" s="287"/>
      <c r="H24" s="196">
        <f>ROUND(E24*(1+$O$16),2)</f>
        <v>353.77</v>
      </c>
      <c r="I24" s="295">
        <f>ROUND(D24*H24,2)</f>
        <v>8136.71</v>
      </c>
      <c r="J24" s="286"/>
      <c r="K24" s="286">
        <f>I24-F24</f>
        <v>-317.85999999999967</v>
      </c>
      <c r="L24" s="289"/>
      <c r="M24" s="283"/>
      <c r="N24" s="257"/>
      <c r="O24" s="258"/>
      <c r="P24" s="235"/>
      <c r="Q24" s="154">
        <f>H25/E25-1</f>
        <v>-3.7613870114604708E-2</v>
      </c>
    </row>
    <row r="25" spans="1:17" ht="12.75" x14ac:dyDescent="0.2">
      <c r="A25" s="258"/>
      <c r="B25" s="284" t="s">
        <v>32</v>
      </c>
      <c r="C25" s="297" t="s">
        <v>33</v>
      </c>
      <c r="D25" s="293">
        <v>22880.93</v>
      </c>
      <c r="E25" s="298">
        <v>0.30626999999999999</v>
      </c>
      <c r="F25" s="286">
        <f>ROUND(D25*E25,2)</f>
        <v>7007.74</v>
      </c>
      <c r="G25" s="287"/>
      <c r="H25" s="299">
        <f>H13</f>
        <v>0.29475000000000001</v>
      </c>
      <c r="I25" s="295">
        <f>ROUND(D25*H25,2)</f>
        <v>6744.15</v>
      </c>
      <c r="J25" s="286"/>
      <c r="K25" s="286">
        <f>I25-F25</f>
        <v>-263.59000000000015</v>
      </c>
      <c r="L25" s="289"/>
      <c r="M25" s="283"/>
      <c r="N25" s="257"/>
      <c r="O25" s="258"/>
      <c r="P25" s="235"/>
      <c r="Q25" s="154"/>
    </row>
    <row r="26" spans="1:17" ht="12.75" x14ac:dyDescent="0.2">
      <c r="A26" s="258"/>
      <c r="B26" s="330" t="s">
        <v>36</v>
      </c>
      <c r="C26" s="297"/>
      <c r="D26" s="301">
        <f>D25</f>
        <v>22880.93</v>
      </c>
      <c r="E26" s="298">
        <v>-5.3899999999999998E-3</v>
      </c>
      <c r="F26" s="286">
        <f>ROUND(D26*E26,2)</f>
        <v>-123.33</v>
      </c>
      <c r="G26" s="287"/>
      <c r="H26" s="331">
        <v>0</v>
      </c>
      <c r="I26" s="295">
        <f>ROUND(D26*H26,2)</f>
        <v>0</v>
      </c>
      <c r="J26" s="286"/>
      <c r="K26" s="286">
        <f>I26-F26</f>
        <v>123.33</v>
      </c>
      <c r="L26" s="289"/>
      <c r="M26" s="283"/>
      <c r="N26" s="257"/>
      <c r="O26" s="258"/>
      <c r="P26" s="235"/>
      <c r="Q26" s="242"/>
    </row>
    <row r="27" spans="1:17" ht="12.75" x14ac:dyDescent="0.2">
      <c r="A27" s="258"/>
      <c r="B27" s="174" t="s">
        <v>216</v>
      </c>
      <c r="C27" s="305"/>
      <c r="D27" s="287"/>
      <c r="E27" s="306"/>
      <c r="F27" s="279">
        <f>SUM(F24:F26)</f>
        <v>15338.98</v>
      </c>
      <c r="G27" s="287"/>
      <c r="H27" s="287"/>
      <c r="I27" s="307">
        <f>SUM(I24:I26)</f>
        <v>14880.86</v>
      </c>
      <c r="J27" s="286"/>
      <c r="K27" s="307">
        <f>SUM(K24:K26)</f>
        <v>-458.11999999999983</v>
      </c>
      <c r="L27" s="282"/>
      <c r="M27" s="283"/>
      <c r="N27" s="257"/>
      <c r="O27" s="258"/>
      <c r="P27" s="235"/>
      <c r="Q27" s="242"/>
    </row>
    <row r="28" spans="1:17" ht="12.75" x14ac:dyDescent="0.2">
      <c r="A28" s="258"/>
      <c r="B28" s="284"/>
      <c r="C28" s="258"/>
      <c r="D28" s="288"/>
      <c r="E28" s="306"/>
      <c r="F28" s="286"/>
      <c r="G28" s="287"/>
      <c r="H28" s="287"/>
      <c r="I28" s="295"/>
      <c r="J28" s="286"/>
      <c r="K28" s="286"/>
      <c r="L28" s="289"/>
      <c r="M28" s="283"/>
      <c r="N28" s="257"/>
      <c r="O28" s="258"/>
      <c r="P28" s="235"/>
      <c r="Q28" s="242"/>
    </row>
    <row r="29" spans="1:17" ht="12.75" x14ac:dyDescent="0.2">
      <c r="A29" s="258"/>
      <c r="B29" s="332" t="s">
        <v>230</v>
      </c>
      <c r="C29" s="297" t="s">
        <v>33</v>
      </c>
      <c r="D29" s="287">
        <f>D25</f>
        <v>22880.93</v>
      </c>
      <c r="E29" s="298">
        <v>6.9999999999999999E-4</v>
      </c>
      <c r="F29" s="286">
        <f>E29*D29</f>
        <v>16.016651</v>
      </c>
      <c r="G29" s="288"/>
      <c r="H29" s="299">
        <f>E29</f>
        <v>6.9999999999999999E-4</v>
      </c>
      <c r="I29" s="295">
        <f>H29*D29</f>
        <v>16.016651</v>
      </c>
      <c r="J29" s="286"/>
      <c r="K29" s="286">
        <f>I29-F29</f>
        <v>0</v>
      </c>
      <c r="L29" s="289"/>
      <c r="M29" s="283"/>
      <c r="N29" s="257"/>
      <c r="O29" s="258"/>
      <c r="P29" s="235"/>
      <c r="Q29" s="242"/>
    </row>
    <row r="30" spans="1:17" ht="12.75" x14ac:dyDescent="0.2">
      <c r="A30" s="258"/>
      <c r="B30" s="316" t="s">
        <v>215</v>
      </c>
      <c r="C30" s="258"/>
      <c r="D30" s="288"/>
      <c r="E30" s="258"/>
      <c r="F30" s="279">
        <f>F29+F27</f>
        <v>15354.996650999999</v>
      </c>
      <c r="G30" s="313"/>
      <c r="H30" s="317"/>
      <c r="I30" s="307">
        <f>I29+I27</f>
        <v>14896.876651</v>
      </c>
      <c r="J30" s="286"/>
      <c r="K30" s="279">
        <f>K27+K29</f>
        <v>-458.11999999999983</v>
      </c>
      <c r="L30" s="282"/>
      <c r="M30" s="283"/>
      <c r="N30" s="257"/>
      <c r="O30" s="258"/>
      <c r="P30" s="235"/>
      <c r="Q30" s="242"/>
    </row>
    <row r="31" spans="1:17" ht="12.75" x14ac:dyDescent="0.2">
      <c r="A31" s="258"/>
      <c r="B31" s="318"/>
      <c r="C31" s="319"/>
      <c r="D31" s="320"/>
      <c r="E31" s="321"/>
      <c r="F31" s="322"/>
      <c r="G31" s="320"/>
      <c r="H31" s="323"/>
      <c r="I31" s="324"/>
      <c r="J31" s="325"/>
      <c r="K31" s="325"/>
      <c r="L31" s="326"/>
      <c r="M31" s="283"/>
      <c r="N31" s="257"/>
      <c r="O31" s="258"/>
      <c r="P31" s="235"/>
      <c r="Q31" s="242"/>
    </row>
    <row r="32" spans="1:17" ht="12.75" x14ac:dyDescent="0.2">
      <c r="A32" s="258"/>
      <c r="B32" s="258"/>
      <c r="C32" s="258"/>
      <c r="D32" s="288"/>
      <c r="E32" s="258"/>
      <c r="F32" s="327"/>
      <c r="G32" s="313"/>
      <c r="H32" s="317"/>
      <c r="I32" s="327"/>
      <c r="J32" s="327"/>
      <c r="K32" s="286"/>
      <c r="L32" s="328"/>
      <c r="M32" s="283"/>
      <c r="N32" s="257"/>
      <c r="O32" s="258"/>
      <c r="P32" s="235"/>
      <c r="Q32" s="242"/>
    </row>
    <row r="33" spans="1:17" ht="12.75" x14ac:dyDescent="0.2">
      <c r="A33" s="258"/>
      <c r="B33" s="276" t="s">
        <v>231</v>
      </c>
      <c r="C33" s="277"/>
      <c r="D33" s="278"/>
      <c r="E33" s="278"/>
      <c r="F33" s="279"/>
      <c r="G33" s="280"/>
      <c r="H33" s="281"/>
      <c r="I33" s="279"/>
      <c r="J33" s="279"/>
      <c r="K33" s="279"/>
      <c r="L33" s="282"/>
      <c r="M33" s="283"/>
      <c r="N33" s="257"/>
      <c r="O33" s="258"/>
      <c r="P33" s="235"/>
      <c r="Q33" s="242"/>
    </row>
    <row r="34" spans="1:17" ht="12.75" x14ac:dyDescent="0.2">
      <c r="A34" s="258"/>
      <c r="B34" s="284"/>
      <c r="C34" s="258"/>
      <c r="D34" s="285"/>
      <c r="E34" s="258"/>
      <c r="F34" s="286"/>
      <c r="G34" s="287"/>
      <c r="H34" s="288"/>
      <c r="I34" s="286"/>
      <c r="J34" s="286"/>
      <c r="K34" s="286"/>
      <c r="L34" s="289"/>
      <c r="M34" s="283"/>
      <c r="N34" s="257"/>
      <c r="O34" s="258"/>
      <c r="P34" s="235"/>
      <c r="Q34" s="242"/>
    </row>
    <row r="35" spans="1:17" ht="12.75" x14ac:dyDescent="0.2">
      <c r="A35" s="258"/>
      <c r="B35" s="291" t="s">
        <v>30</v>
      </c>
      <c r="C35" s="292" t="s">
        <v>31</v>
      </c>
      <c r="D35" s="301">
        <f>D12+D24</f>
        <v>679637.01800213428</v>
      </c>
      <c r="E35" s="333"/>
      <c r="F35" s="286">
        <f>F12+F24</f>
        <v>22721155.050000001</v>
      </c>
      <c r="G35" s="287"/>
      <c r="H35" s="333"/>
      <c r="I35" s="286">
        <f>I12+I24</f>
        <v>21864523.530000001</v>
      </c>
      <c r="J35" s="286"/>
      <c r="K35" s="286">
        <f>I35-F35</f>
        <v>-856631.51999999955</v>
      </c>
      <c r="L35" s="289"/>
      <c r="M35" s="283"/>
      <c r="N35" s="257"/>
      <c r="O35" s="258"/>
      <c r="P35" s="235"/>
      <c r="Q35" s="242"/>
    </row>
    <row r="36" spans="1:17" ht="12.75" x14ac:dyDescent="0.2">
      <c r="A36" s="258"/>
      <c r="B36" s="284" t="s">
        <v>32</v>
      </c>
      <c r="C36" s="297" t="s">
        <v>33</v>
      </c>
      <c r="D36" s="301">
        <f>D13+D25</f>
        <v>214587104.22299999</v>
      </c>
      <c r="E36" s="334"/>
      <c r="F36" s="286">
        <f>F13+F25+F26</f>
        <v>65721469.080000006</v>
      </c>
      <c r="G36" s="287"/>
      <c r="H36" s="334"/>
      <c r="I36" s="286">
        <f>I13+I25+I14</f>
        <v>65142005.420000002</v>
      </c>
      <c r="J36" s="286"/>
      <c r="K36" s="286">
        <f>I36-F36</f>
        <v>-579463.66000000387</v>
      </c>
      <c r="L36" s="289"/>
      <c r="M36" s="283"/>
      <c r="N36" s="257"/>
      <c r="O36" s="258"/>
      <c r="P36" s="235"/>
      <c r="Q36" s="242"/>
    </row>
    <row r="37" spans="1:17" ht="12.75" x14ac:dyDescent="0.2">
      <c r="A37" s="258"/>
      <c r="B37" s="174" t="s">
        <v>216</v>
      </c>
      <c r="C37" s="305"/>
      <c r="D37" s="287"/>
      <c r="E37" s="288"/>
      <c r="F37" s="279">
        <f>SUM(F35:F36)</f>
        <v>88442624.13000001</v>
      </c>
      <c r="G37" s="287"/>
      <c r="H37" s="287"/>
      <c r="I37" s="279">
        <f>SUM(I35:I36)</f>
        <v>87006528.950000003</v>
      </c>
      <c r="J37" s="286"/>
      <c r="K37" s="279">
        <f>SUM(K35:K36)</f>
        <v>-1436095.1800000034</v>
      </c>
      <c r="L37" s="282">
        <f>ROUND(K37/F37,5)</f>
        <v>-1.6240000000000001E-2</v>
      </c>
      <c r="M37" s="283"/>
      <c r="N37" s="257"/>
      <c r="O37" s="258"/>
      <c r="P37" s="235"/>
      <c r="Q37" s="242"/>
    </row>
    <row r="38" spans="1:17" ht="12.75" x14ac:dyDescent="0.2">
      <c r="A38" s="258"/>
      <c r="B38" s="284"/>
      <c r="C38" s="258"/>
      <c r="D38" s="288"/>
      <c r="E38" s="288"/>
      <c r="F38" s="286"/>
      <c r="G38" s="287"/>
      <c r="H38" s="287"/>
      <c r="I38" s="286"/>
      <c r="J38" s="286"/>
      <c r="K38" s="286"/>
      <c r="L38" s="289"/>
      <c r="M38" s="283"/>
      <c r="N38" s="257"/>
      <c r="O38" s="258"/>
      <c r="P38" s="235"/>
      <c r="Q38" s="242"/>
    </row>
    <row r="39" spans="1:17" ht="12.75" x14ac:dyDescent="0.2">
      <c r="A39" s="258"/>
      <c r="B39" s="284"/>
      <c r="C39" s="258"/>
      <c r="D39" s="288"/>
      <c r="E39" s="288"/>
      <c r="F39" s="286"/>
      <c r="G39" s="287"/>
      <c r="H39" s="287"/>
      <c r="I39" s="286"/>
      <c r="J39" s="286"/>
      <c r="K39" s="286"/>
      <c r="L39" s="289"/>
      <c r="M39" s="283"/>
      <c r="N39" s="257"/>
      <c r="O39" s="258"/>
      <c r="P39" s="235"/>
      <c r="Q39" s="242"/>
    </row>
    <row r="40" spans="1:17" ht="12.75" x14ac:dyDescent="0.2">
      <c r="A40" s="258"/>
      <c r="B40" s="142" t="s">
        <v>214</v>
      </c>
      <c r="C40" s="297" t="s">
        <v>33</v>
      </c>
      <c r="D40" s="287">
        <f>D36</f>
        <v>214587104.22299999</v>
      </c>
      <c r="E40" s="334"/>
      <c r="F40" s="286">
        <f>F17+F29</f>
        <v>88110814.311921448</v>
      </c>
      <c r="G40" s="288"/>
      <c r="H40" s="299"/>
      <c r="I40" s="286">
        <f>I17+I29</f>
        <v>87250411.776516512</v>
      </c>
      <c r="J40" s="286"/>
      <c r="K40" s="325">
        <f>I40-F40</f>
        <v>-860402.53540493548</v>
      </c>
      <c r="L40" s="326">
        <f>ROUND(K40/F40,5)</f>
        <v>-9.7699999999999992E-3</v>
      </c>
      <c r="M40" s="283"/>
      <c r="N40" s="257"/>
      <c r="O40" s="258"/>
      <c r="P40" s="235"/>
      <c r="Q40" s="242"/>
    </row>
    <row r="41" spans="1:17" ht="12.75" x14ac:dyDescent="0.2">
      <c r="A41" s="258"/>
      <c r="B41" s="316" t="s">
        <v>215</v>
      </c>
      <c r="C41" s="258"/>
      <c r="D41" s="288"/>
      <c r="E41" s="258"/>
      <c r="F41" s="279">
        <f>F40+F37</f>
        <v>176553438.44192147</v>
      </c>
      <c r="G41" s="313"/>
      <c r="H41" s="317"/>
      <c r="I41" s="279">
        <f>I40+I37</f>
        <v>174256940.72651652</v>
      </c>
      <c r="J41" s="286"/>
      <c r="K41" s="279">
        <f>K37+K40</f>
        <v>-2296497.7154049389</v>
      </c>
      <c r="L41" s="282">
        <f>ROUND(K41/F41,5)</f>
        <v>-1.3010000000000001E-2</v>
      </c>
      <c r="M41" s="283"/>
      <c r="N41" s="257"/>
      <c r="O41" s="258"/>
      <c r="P41" s="235"/>
      <c r="Q41" s="242"/>
    </row>
    <row r="42" spans="1:17" ht="12.75" x14ac:dyDescent="0.2">
      <c r="A42" s="258"/>
      <c r="B42" s="318"/>
      <c r="C42" s="319"/>
      <c r="D42" s="320"/>
      <c r="E42" s="321"/>
      <c r="F42" s="322"/>
      <c r="G42" s="320"/>
      <c r="H42" s="323"/>
      <c r="I42" s="324"/>
      <c r="J42" s="325"/>
      <c r="K42" s="325"/>
      <c r="L42" s="326"/>
      <c r="M42" s="283"/>
      <c r="N42" s="257"/>
      <c r="O42" s="258"/>
      <c r="P42" s="235"/>
      <c r="Q42" s="242"/>
    </row>
    <row r="43" spans="1:17" ht="12.75" x14ac:dyDescent="0.2">
      <c r="A43" s="258"/>
      <c r="B43" s="258"/>
      <c r="C43" s="258"/>
      <c r="D43" s="288"/>
      <c r="E43" s="258"/>
      <c r="F43" s="327"/>
      <c r="G43" s="313"/>
      <c r="H43" s="317"/>
      <c r="I43" s="327"/>
      <c r="J43" s="327"/>
      <c r="K43" s="286"/>
      <c r="L43" s="328"/>
      <c r="M43" s="283"/>
      <c r="N43" s="257"/>
      <c r="O43" s="258"/>
      <c r="P43" s="235"/>
      <c r="Q43" s="242"/>
    </row>
    <row r="44" spans="1:17" ht="12.75" x14ac:dyDescent="0.2">
      <c r="A44" s="258"/>
      <c r="B44" s="258"/>
      <c r="C44" s="258"/>
      <c r="D44" s="288"/>
      <c r="E44" s="258"/>
      <c r="F44" s="327"/>
      <c r="G44" s="313"/>
      <c r="H44" s="317"/>
      <c r="I44" s="327"/>
      <c r="J44" s="327"/>
      <c r="K44" s="286"/>
      <c r="L44" s="328"/>
      <c r="M44" s="283"/>
      <c r="N44" s="257"/>
      <c r="O44" s="235"/>
      <c r="P44" s="235"/>
      <c r="Q44" s="242"/>
    </row>
    <row r="45" spans="1:17" ht="15" x14ac:dyDescent="0.25">
      <c r="A45" s="235"/>
      <c r="B45" s="329" t="s">
        <v>232</v>
      </c>
      <c r="C45" s="277"/>
      <c r="D45" s="281"/>
      <c r="E45" s="278"/>
      <c r="F45" s="279"/>
      <c r="G45" s="281"/>
      <c r="H45" s="281"/>
      <c r="I45" s="279"/>
      <c r="J45" s="279"/>
      <c r="K45" s="279"/>
      <c r="L45" s="282"/>
      <c r="M45" s="283"/>
      <c r="N45" s="257"/>
      <c r="O45" s="335" t="s">
        <v>233</v>
      </c>
      <c r="P45" s="235"/>
      <c r="Q45" s="242"/>
    </row>
    <row r="46" spans="1:17" ht="12.75" x14ac:dyDescent="0.2">
      <c r="A46" s="235"/>
      <c r="B46" s="336"/>
      <c r="C46" s="258"/>
      <c r="D46" s="288"/>
      <c r="E46" s="288"/>
      <c r="F46" s="286"/>
      <c r="G46" s="337"/>
      <c r="H46" s="288"/>
      <c r="I46" s="286"/>
      <c r="J46" s="286"/>
      <c r="K46" s="286"/>
      <c r="L46" s="289"/>
      <c r="M46" s="283"/>
      <c r="N46" s="338"/>
      <c r="O46" s="339">
        <v>-300287.59071210795</v>
      </c>
      <c r="P46" s="235"/>
      <c r="Q46" s="154">
        <f>H47/E47-1</f>
        <v>-6.8201715986692224E-2</v>
      </c>
    </row>
    <row r="47" spans="1:17" ht="12.75" x14ac:dyDescent="0.2">
      <c r="A47" s="235"/>
      <c r="B47" s="291" t="s">
        <v>30</v>
      </c>
      <c r="C47" s="292" t="s">
        <v>31</v>
      </c>
      <c r="D47" s="293">
        <v>16236.105928853754</v>
      </c>
      <c r="E47" s="294">
        <v>114.22</v>
      </c>
      <c r="F47" s="286">
        <f>ROUND(D47*E47,2)</f>
        <v>1854488.02</v>
      </c>
      <c r="G47" s="287"/>
      <c r="H47" s="196">
        <f>ROUND(E47*(1+$O$52),2)</f>
        <v>106.43</v>
      </c>
      <c r="I47" s="286">
        <f>ROUND(D47*H47,2)</f>
        <v>1728008.75</v>
      </c>
      <c r="J47" s="286"/>
      <c r="K47" s="286">
        <f>I47-F47</f>
        <v>-126479.27000000002</v>
      </c>
      <c r="L47" s="289"/>
      <c r="M47" s="283"/>
      <c r="N47" s="338"/>
      <c r="O47" s="340" t="s">
        <v>213</v>
      </c>
      <c r="P47" s="235"/>
      <c r="Q47" s="154">
        <f>H48/E48-1</f>
        <v>-6.8189128337085902E-2</v>
      </c>
    </row>
    <row r="48" spans="1:17" ht="12.75" x14ac:dyDescent="0.2">
      <c r="A48" s="235"/>
      <c r="B48" s="336" t="s">
        <v>38</v>
      </c>
      <c r="C48" s="292" t="s">
        <v>31</v>
      </c>
      <c r="D48" s="287">
        <f>D47</f>
        <v>16236.105928853754</v>
      </c>
      <c r="E48" s="294">
        <v>124.36</v>
      </c>
      <c r="F48" s="327">
        <f>D48*E48</f>
        <v>2019122.1333122528</v>
      </c>
      <c r="G48" s="301"/>
      <c r="H48" s="341">
        <f>ROUND(+H53*900,2)</f>
        <v>115.88</v>
      </c>
      <c r="I48" s="327">
        <f>ROUND(D48*H48,2)</f>
        <v>1881439.96</v>
      </c>
      <c r="J48" s="327"/>
      <c r="K48" s="286">
        <f>I48-F48</f>
        <v>-137682.17331225285</v>
      </c>
      <c r="L48" s="303"/>
      <c r="M48" s="283"/>
      <c r="N48" s="342"/>
      <c r="O48" s="343">
        <f>K57+K79-O46</f>
        <v>-172.99586919607827</v>
      </c>
      <c r="P48" s="235"/>
      <c r="Q48" s="154">
        <f>H49/E49-1</f>
        <v>1.7391304347826209E-2</v>
      </c>
    </row>
    <row r="49" spans="1:17" ht="12.75" x14ac:dyDescent="0.2">
      <c r="A49" s="235"/>
      <c r="B49" s="332" t="s">
        <v>39</v>
      </c>
      <c r="C49" s="297" t="s">
        <v>37</v>
      </c>
      <c r="D49" s="293">
        <v>3818909.6199999996</v>
      </c>
      <c r="E49" s="294">
        <v>1.1499999999999999</v>
      </c>
      <c r="F49" s="327">
        <f>ROUND(D49*E49,2)</f>
        <v>4391746.0599999996</v>
      </c>
      <c r="G49" s="287"/>
      <c r="H49" s="294">
        <v>1.17</v>
      </c>
      <c r="I49" s="327">
        <f>ROUND(D49*H49,2)</f>
        <v>4468124.26</v>
      </c>
      <c r="J49" s="327"/>
      <c r="K49" s="286">
        <f>I49-F49</f>
        <v>76378.200000000186</v>
      </c>
      <c r="L49" s="303"/>
      <c r="M49" s="283"/>
      <c r="N49" s="342"/>
      <c r="O49" s="344"/>
      <c r="P49" s="235"/>
      <c r="Q49" s="242"/>
    </row>
    <row r="50" spans="1:17" ht="12.75" x14ac:dyDescent="0.2">
      <c r="A50" s="235"/>
      <c r="B50" s="336"/>
      <c r="C50" s="258"/>
      <c r="D50" s="287"/>
      <c r="E50" s="294"/>
      <c r="F50" s="302"/>
      <c r="G50" s="287"/>
      <c r="H50" s="341"/>
      <c r="I50" s="327"/>
      <c r="J50" s="327"/>
      <c r="K50" s="345"/>
      <c r="L50" s="303"/>
      <c r="M50" s="283"/>
      <c r="N50" s="272"/>
      <c r="O50" s="346"/>
      <c r="P50" s="238"/>
      <c r="Q50" s="347"/>
    </row>
    <row r="51" spans="1:17" ht="12.75" x14ac:dyDescent="0.2">
      <c r="A51" s="235"/>
      <c r="B51" s="332" t="s">
        <v>40</v>
      </c>
      <c r="C51" s="258"/>
      <c r="D51" s="287"/>
      <c r="E51" s="294"/>
      <c r="F51" s="327"/>
      <c r="G51" s="287"/>
      <c r="H51" s="341"/>
      <c r="I51" s="327"/>
      <c r="J51" s="327"/>
      <c r="K51" s="345"/>
      <c r="L51" s="303"/>
      <c r="M51" s="283"/>
      <c r="N51" s="272"/>
      <c r="O51" s="238"/>
      <c r="P51" s="238"/>
      <c r="Q51" s="348"/>
    </row>
    <row r="52" spans="1:17" ht="12.75" x14ac:dyDescent="0.2">
      <c r="A52" s="235"/>
      <c r="B52" s="332" t="s">
        <v>41</v>
      </c>
      <c r="C52" s="297" t="s">
        <v>33</v>
      </c>
      <c r="D52" s="293">
        <v>13495006.088</v>
      </c>
      <c r="E52" s="298">
        <v>0.13818</v>
      </c>
      <c r="F52" s="286"/>
      <c r="G52" s="287"/>
      <c r="H52" s="349">
        <f>H53</f>
        <v>0.12876000000000001</v>
      </c>
      <c r="I52" s="350" t="s">
        <v>42</v>
      </c>
      <c r="J52" s="286"/>
      <c r="K52" s="286"/>
      <c r="L52" s="289"/>
      <c r="M52" s="283"/>
      <c r="N52" s="257"/>
      <c r="O52" s="170">
        <v>-6.819340402544434E-2</v>
      </c>
      <c r="P52" s="263"/>
      <c r="Q52" s="154">
        <f>H53/E53-1</f>
        <v>-6.8171949630916107E-2</v>
      </c>
    </row>
    <row r="53" spans="1:17" ht="12.75" x14ac:dyDescent="0.2">
      <c r="A53" s="235"/>
      <c r="B53" s="336" t="s">
        <v>43</v>
      </c>
      <c r="C53" s="297" t="s">
        <v>33</v>
      </c>
      <c r="D53" s="293">
        <v>28173626.976</v>
      </c>
      <c r="E53" s="298">
        <v>0.13818</v>
      </c>
      <c r="F53" s="286">
        <f>ROUND(D53*E53,2)</f>
        <v>3893031.78</v>
      </c>
      <c r="G53" s="287"/>
      <c r="H53" s="299">
        <f>ROUND(E53*(1+$O$52),5)</f>
        <v>0.12876000000000001</v>
      </c>
      <c r="I53" s="286">
        <f>ROUND(D53*H53,2)</f>
        <v>3627636.21</v>
      </c>
      <c r="J53" s="286"/>
      <c r="K53" s="286">
        <f>I53-F53</f>
        <v>-265395.56999999983</v>
      </c>
      <c r="L53" s="289"/>
      <c r="M53" s="283"/>
      <c r="N53" s="257"/>
      <c r="O53" s="351"/>
      <c r="P53" s="263"/>
      <c r="Q53" s="154">
        <f>H54/E54-1</f>
        <v>-6.8236986424525803E-2</v>
      </c>
    </row>
    <row r="54" spans="1:17" ht="12.75" x14ac:dyDescent="0.2">
      <c r="A54" s="235"/>
      <c r="B54" s="336" t="s">
        <v>44</v>
      </c>
      <c r="C54" s="297" t="s">
        <v>33</v>
      </c>
      <c r="D54" s="293">
        <v>24322017.149</v>
      </c>
      <c r="E54" s="298">
        <v>0.11123</v>
      </c>
      <c r="F54" s="286">
        <f>ROUND(D54*E54,2)</f>
        <v>2705337.97</v>
      </c>
      <c r="G54" s="287"/>
      <c r="H54" s="299">
        <f>ROUND(E54*(1+$O$52),5)</f>
        <v>0.10364</v>
      </c>
      <c r="I54" s="286">
        <f>ROUND(D54*H54,2)</f>
        <v>2520733.86</v>
      </c>
      <c r="J54" s="286"/>
      <c r="K54" s="286">
        <f>I54-F54</f>
        <v>-184604.11000000034</v>
      </c>
      <c r="L54" s="289"/>
      <c r="M54" s="283"/>
      <c r="N54" s="257"/>
      <c r="O54" s="295"/>
      <c r="P54" s="263"/>
      <c r="Q54" s="348"/>
    </row>
    <row r="55" spans="1:17" s="77" customFormat="1" ht="12.75" x14ac:dyDescent="0.2">
      <c r="A55" s="288"/>
      <c r="B55" s="330" t="s">
        <v>45</v>
      </c>
      <c r="C55" s="305"/>
      <c r="D55" s="280">
        <f>SUM(D52:D54)</f>
        <v>65990650.213</v>
      </c>
      <c r="E55" s="352"/>
      <c r="F55" s="327"/>
      <c r="G55" s="287"/>
      <c r="H55" s="287"/>
      <c r="I55" s="288"/>
      <c r="J55" s="288"/>
      <c r="K55" s="288"/>
      <c r="L55" s="353"/>
      <c r="M55" s="354"/>
      <c r="N55" s="355"/>
      <c r="O55" s="356"/>
      <c r="P55" s="357"/>
      <c r="Q55" s="154"/>
    </row>
    <row r="56" spans="1:17" s="77" customFormat="1" ht="12.75" x14ac:dyDescent="0.2">
      <c r="A56" s="288"/>
      <c r="B56" s="330" t="s">
        <v>36</v>
      </c>
      <c r="C56" s="297" t="s">
        <v>33</v>
      </c>
      <c r="D56" s="287">
        <f>D55</f>
        <v>65990650.213</v>
      </c>
      <c r="E56" s="358">
        <v>0</v>
      </c>
      <c r="F56" s="327">
        <f>D56*E56</f>
        <v>0</v>
      </c>
      <c r="G56" s="287"/>
      <c r="H56" s="359">
        <v>6.0899999999999999E-3</v>
      </c>
      <c r="I56" s="327">
        <f>D56*H56</f>
        <v>401883.05979716999</v>
      </c>
      <c r="J56" s="327"/>
      <c r="K56" s="286">
        <f>I56-F56</f>
        <v>401883.05979716999</v>
      </c>
      <c r="L56" s="289"/>
      <c r="M56" s="354"/>
      <c r="N56" s="355"/>
      <c r="O56" s="288"/>
      <c r="P56" s="238"/>
      <c r="Q56" s="360"/>
    </row>
    <row r="57" spans="1:17" ht="15" x14ac:dyDescent="0.25">
      <c r="A57" s="235"/>
      <c r="B57" s="174" t="s">
        <v>216</v>
      </c>
      <c r="C57" s="305"/>
      <c r="D57" s="280"/>
      <c r="E57" s="352"/>
      <c r="F57" s="361">
        <f>SUM(F47:F56)</f>
        <v>14863725.963312253</v>
      </c>
      <c r="G57" s="287"/>
      <c r="H57" s="287"/>
      <c r="I57" s="361">
        <f>SUM(I47:I49,I53:I56)</f>
        <v>14627826.099797169</v>
      </c>
      <c r="J57" s="327"/>
      <c r="K57" s="361">
        <f>SUM(K47:K56)</f>
        <v>-235899.86351508286</v>
      </c>
      <c r="L57" s="282">
        <f>ROUND(K57/F57,5)</f>
        <v>-1.5869999999999999E-2</v>
      </c>
      <c r="M57" s="283"/>
      <c r="N57" s="257"/>
      <c r="O57" s="362"/>
      <c r="P57" s="363"/>
      <c r="Q57" s="364"/>
    </row>
    <row r="58" spans="1:17" ht="15" x14ac:dyDescent="0.25">
      <c r="A58" s="235"/>
      <c r="B58" s="291"/>
      <c r="C58" s="305"/>
      <c r="D58" s="287"/>
      <c r="E58" s="365"/>
      <c r="F58" s="286"/>
      <c r="G58" s="287"/>
      <c r="H58" s="287"/>
      <c r="I58" s="327"/>
      <c r="J58" s="327"/>
      <c r="K58" s="286"/>
      <c r="L58" s="289"/>
      <c r="M58" s="283"/>
      <c r="N58" s="257"/>
      <c r="O58" s="366"/>
      <c r="P58" s="363"/>
      <c r="Q58" s="364"/>
    </row>
    <row r="59" spans="1:17" ht="15" x14ac:dyDescent="0.25">
      <c r="A59" s="235"/>
      <c r="B59" s="142" t="s">
        <v>214</v>
      </c>
      <c r="C59" s="305"/>
      <c r="D59" s="288"/>
      <c r="E59" s="365"/>
      <c r="F59" s="286"/>
      <c r="G59" s="287"/>
      <c r="H59" s="287"/>
      <c r="I59" s="327"/>
      <c r="J59" s="327"/>
      <c r="K59" s="286"/>
      <c r="L59" s="289"/>
      <c r="M59" s="283"/>
      <c r="N59" s="257"/>
      <c r="O59" s="238"/>
      <c r="P59" s="238"/>
      <c r="Q59" s="348"/>
    </row>
    <row r="60" spans="1:17" ht="15" x14ac:dyDescent="0.25">
      <c r="A60" s="235"/>
      <c r="B60" s="332" t="s">
        <v>234</v>
      </c>
      <c r="C60" s="297" t="s">
        <v>33</v>
      </c>
      <c r="D60" s="287">
        <f>D55</f>
        <v>65990650.213</v>
      </c>
      <c r="E60" s="298">
        <v>0.32635999999999998</v>
      </c>
      <c r="F60" s="286">
        <f>E60*D60</f>
        <v>21536708.603514679</v>
      </c>
      <c r="G60" s="288"/>
      <c r="H60" s="298">
        <v>0.39626</v>
      </c>
      <c r="I60" s="286">
        <f>H60*D60</f>
        <v>26149455.053403381</v>
      </c>
      <c r="J60" s="286"/>
      <c r="K60" s="286">
        <f>I60-F60</f>
        <v>4612746.4498887025</v>
      </c>
      <c r="L60" s="289"/>
      <c r="M60" s="283"/>
      <c r="N60" s="258"/>
      <c r="O60" s="238"/>
      <c r="P60" s="367"/>
      <c r="Q60" s="348"/>
    </row>
    <row r="61" spans="1:17" ht="15" x14ac:dyDescent="0.25">
      <c r="A61" s="235"/>
      <c r="B61" s="332" t="s">
        <v>39</v>
      </c>
      <c r="C61" s="297" t="s">
        <v>37</v>
      </c>
      <c r="D61" s="287">
        <f>D49</f>
        <v>3818909.6199999996</v>
      </c>
      <c r="E61" s="294">
        <v>1.05</v>
      </c>
      <c r="F61" s="286">
        <f>E61*D61</f>
        <v>4009855.1009999998</v>
      </c>
      <c r="G61" s="288"/>
      <c r="H61" s="294">
        <v>1.05</v>
      </c>
      <c r="I61" s="286">
        <f>H61*D61</f>
        <v>4009855.1009999998</v>
      </c>
      <c r="J61" s="286"/>
      <c r="K61" s="286">
        <f>I61-F61</f>
        <v>0</v>
      </c>
      <c r="L61" s="289"/>
      <c r="M61" s="283"/>
      <c r="N61" s="257"/>
      <c r="O61" s="366"/>
      <c r="P61" s="363"/>
      <c r="Q61" s="348"/>
    </row>
    <row r="62" spans="1:17" ht="15" x14ac:dyDescent="0.25">
      <c r="A62" s="235"/>
      <c r="B62" s="368" t="s">
        <v>235</v>
      </c>
      <c r="C62" s="305"/>
      <c r="D62" s="288"/>
      <c r="E62" s="369"/>
      <c r="F62" s="361">
        <f>SUM(F60:F61)</f>
        <v>25546563.704514679</v>
      </c>
      <c r="G62" s="288"/>
      <c r="H62" s="341"/>
      <c r="I62" s="361">
        <f>SUM(I60:I61)</f>
        <v>30159310.154403381</v>
      </c>
      <c r="J62" s="286"/>
      <c r="K62" s="361">
        <f>SUM(K60:K61)</f>
        <v>4612746.4498887025</v>
      </c>
      <c r="L62" s="282">
        <f>ROUND(K62/F62,5)</f>
        <v>0.18056</v>
      </c>
      <c r="M62" s="283"/>
      <c r="N62" s="257"/>
      <c r="O62" s="288"/>
      <c r="P62" s="238"/>
      <c r="Q62" s="360"/>
    </row>
    <row r="63" spans="1:17" ht="15" x14ac:dyDescent="0.25">
      <c r="A63" s="235"/>
      <c r="B63" s="336"/>
      <c r="C63" s="258"/>
      <c r="D63" s="288"/>
      <c r="E63" s="258"/>
      <c r="F63" s="286"/>
      <c r="G63" s="288"/>
      <c r="H63" s="288"/>
      <c r="I63" s="327"/>
      <c r="J63" s="327"/>
      <c r="K63" s="286"/>
      <c r="L63" s="289"/>
      <c r="M63" s="283"/>
      <c r="N63" s="257"/>
      <c r="O63" s="295"/>
      <c r="P63" s="238"/>
      <c r="Q63" s="348"/>
    </row>
    <row r="64" spans="1:17" ht="15" x14ac:dyDescent="0.25">
      <c r="A64" s="235"/>
      <c r="B64" s="291" t="s">
        <v>215</v>
      </c>
      <c r="C64" s="305"/>
      <c r="D64" s="288"/>
      <c r="E64" s="287"/>
      <c r="F64" s="361">
        <f>+F62+F57</f>
        <v>40410289.667826936</v>
      </c>
      <c r="G64" s="287"/>
      <c r="H64" s="287"/>
      <c r="I64" s="361">
        <f>+I62+I57</f>
        <v>44787136.254200548</v>
      </c>
      <c r="J64" s="327"/>
      <c r="K64" s="361">
        <f>K62+K57</f>
        <v>4376846.5863736197</v>
      </c>
      <c r="L64" s="282">
        <f>ROUND(K64/F64,5)</f>
        <v>0.10831</v>
      </c>
      <c r="M64" s="283"/>
      <c r="N64" s="257"/>
      <c r="O64" s="288"/>
      <c r="P64" s="238"/>
      <c r="Q64" s="360"/>
    </row>
    <row r="65" spans="1:17" s="77" customFormat="1" ht="12.75" x14ac:dyDescent="0.2">
      <c r="A65" s="238"/>
      <c r="B65" s="370"/>
      <c r="C65" s="320"/>
      <c r="D65" s="320"/>
      <c r="E65" s="320"/>
      <c r="F65" s="324"/>
      <c r="G65" s="320"/>
      <c r="H65" s="320"/>
      <c r="I65" s="322"/>
      <c r="J65" s="322"/>
      <c r="K65" s="324"/>
      <c r="L65" s="371"/>
      <c r="M65" s="354"/>
      <c r="N65" s="355"/>
      <c r="O65" s="288"/>
      <c r="P65" s="238"/>
      <c r="Q65" s="360"/>
    </row>
    <row r="66" spans="1:17" s="77" customFormat="1" ht="12.75" x14ac:dyDescent="0.2">
      <c r="A66" s="288"/>
      <c r="B66" s="288"/>
      <c r="C66" s="288"/>
      <c r="D66" s="288"/>
      <c r="E66" s="288"/>
      <c r="F66" s="295"/>
      <c r="G66" s="288"/>
      <c r="H66" s="288"/>
      <c r="I66" s="372"/>
      <c r="J66" s="372"/>
      <c r="K66" s="295"/>
      <c r="L66" s="373"/>
      <c r="M66" s="354"/>
      <c r="N66" s="355"/>
      <c r="O66" s="288"/>
      <c r="P66" s="238"/>
      <c r="Q66" s="360"/>
    </row>
    <row r="67" spans="1:17" s="77" customFormat="1" ht="12.75" x14ac:dyDescent="0.2">
      <c r="A67" s="288"/>
      <c r="B67" s="329" t="s">
        <v>236</v>
      </c>
      <c r="C67" s="277"/>
      <c r="D67" s="281"/>
      <c r="E67" s="278"/>
      <c r="F67" s="279"/>
      <c r="G67" s="281"/>
      <c r="H67" s="281"/>
      <c r="I67" s="279"/>
      <c r="J67" s="279"/>
      <c r="K67" s="279"/>
      <c r="L67" s="282"/>
      <c r="M67" s="354"/>
      <c r="N67" s="355"/>
      <c r="O67" s="288"/>
      <c r="P67" s="238"/>
      <c r="Q67" s="360"/>
    </row>
    <row r="68" spans="1:17" s="77" customFormat="1" ht="12.75" x14ac:dyDescent="0.2">
      <c r="A68" s="288"/>
      <c r="B68" s="336"/>
      <c r="C68" s="258"/>
      <c r="D68" s="288"/>
      <c r="E68" s="288"/>
      <c r="F68" s="286"/>
      <c r="G68" s="337"/>
      <c r="H68" s="288"/>
      <c r="I68" s="286"/>
      <c r="J68" s="286"/>
      <c r="K68" s="286"/>
      <c r="L68" s="289"/>
      <c r="M68" s="354"/>
      <c r="N68" s="355"/>
      <c r="O68" s="288"/>
      <c r="P68" s="238"/>
      <c r="Q68" s="154">
        <f>H69/E69-1</f>
        <v>-6.8187492906594094E-2</v>
      </c>
    </row>
    <row r="69" spans="1:17" s="77" customFormat="1" ht="12.75" x14ac:dyDescent="0.2">
      <c r="A69" s="288"/>
      <c r="B69" s="291" t="s">
        <v>30</v>
      </c>
      <c r="C69" s="292" t="s">
        <v>31</v>
      </c>
      <c r="D69" s="293">
        <v>1179.1322705534049</v>
      </c>
      <c r="E69" s="294">
        <v>440.55</v>
      </c>
      <c r="F69" s="286">
        <f>ROUND(D69*E69,2)</f>
        <v>519466.72</v>
      </c>
      <c r="G69" s="287"/>
      <c r="H69" s="196">
        <f>ROUND(E69*(1+$O$52),2)</f>
        <v>410.51</v>
      </c>
      <c r="I69" s="286">
        <f>ROUND(D69*H69,2)</f>
        <v>484045.59</v>
      </c>
      <c r="J69" s="286"/>
      <c r="K69" s="286">
        <f>I69-F69</f>
        <v>-35421.129999999946</v>
      </c>
      <c r="L69" s="289"/>
      <c r="M69" s="354"/>
      <c r="N69" s="355"/>
      <c r="O69" s="374"/>
      <c r="P69" s="238"/>
      <c r="Q69" s="154">
        <f>H70/E70-1</f>
        <v>-6.8189128337085902E-2</v>
      </c>
    </row>
    <row r="70" spans="1:17" s="77" customFormat="1" ht="12.75" x14ac:dyDescent="0.2">
      <c r="A70" s="288"/>
      <c r="B70" s="336" t="s">
        <v>38</v>
      </c>
      <c r="C70" s="292" t="s">
        <v>31</v>
      </c>
      <c r="D70" s="287">
        <f>D69</f>
        <v>1179.1322705534049</v>
      </c>
      <c r="E70" s="294">
        <v>124.36</v>
      </c>
      <c r="F70" s="327">
        <f>D70*E70</f>
        <v>146636.88916602143</v>
      </c>
      <c r="G70" s="287"/>
      <c r="H70" s="341">
        <f>H48</f>
        <v>115.88</v>
      </c>
      <c r="I70" s="327">
        <f>ROUND(D70*H70,2)</f>
        <v>136637.85</v>
      </c>
      <c r="J70" s="327"/>
      <c r="K70" s="286">
        <f>I70-F70</f>
        <v>-9999.0391660214227</v>
      </c>
      <c r="L70" s="303"/>
      <c r="M70" s="354"/>
      <c r="N70" s="355"/>
      <c r="O70" s="356"/>
      <c r="P70" s="238"/>
      <c r="Q70" s="154">
        <f>H71/E71-1</f>
        <v>1.7391304347826209E-2</v>
      </c>
    </row>
    <row r="71" spans="1:17" s="77" customFormat="1" ht="12.75" x14ac:dyDescent="0.2">
      <c r="A71" s="288"/>
      <c r="B71" s="332" t="s">
        <v>39</v>
      </c>
      <c r="C71" s="297" t="s">
        <v>37</v>
      </c>
      <c r="D71" s="293">
        <v>956311.5</v>
      </c>
      <c r="E71" s="294">
        <v>1.1499999999999999</v>
      </c>
      <c r="F71" s="327">
        <f>ROUND(D71*E71,2)</f>
        <v>1099758.23</v>
      </c>
      <c r="G71" s="287"/>
      <c r="H71" s="375">
        <f>H49</f>
        <v>1.17</v>
      </c>
      <c r="I71" s="327">
        <f>ROUND(D71*H71,2)</f>
        <v>1118884.46</v>
      </c>
      <c r="J71" s="288"/>
      <c r="K71" s="286">
        <f>I71-F71</f>
        <v>19126.229999999981</v>
      </c>
      <c r="L71" s="303"/>
      <c r="M71" s="354"/>
      <c r="N71" s="355"/>
      <c r="O71" s="356"/>
      <c r="P71" s="238"/>
      <c r="Q71" s="360"/>
    </row>
    <row r="72" spans="1:17" s="77" customFormat="1" ht="12.75" x14ac:dyDescent="0.2">
      <c r="A72" s="288"/>
      <c r="B72" s="336"/>
      <c r="C72" s="258"/>
      <c r="D72" s="287"/>
      <c r="E72" s="294"/>
      <c r="F72" s="327"/>
      <c r="G72" s="287"/>
      <c r="H72" s="341"/>
      <c r="I72" s="327"/>
      <c r="J72" s="327"/>
      <c r="K72" s="345"/>
      <c r="L72" s="303"/>
      <c r="M72" s="354"/>
      <c r="N72" s="355"/>
      <c r="O72" s="356"/>
      <c r="P72" s="238"/>
      <c r="Q72" s="360"/>
    </row>
    <row r="73" spans="1:17" s="77" customFormat="1" ht="12.75" x14ac:dyDescent="0.2">
      <c r="A73" s="288"/>
      <c r="B73" s="332" t="s">
        <v>40</v>
      </c>
      <c r="C73" s="258"/>
      <c r="D73" s="287"/>
      <c r="E73" s="294"/>
      <c r="F73" s="286"/>
      <c r="G73" s="287"/>
      <c r="H73" s="341"/>
      <c r="I73" s="327"/>
      <c r="J73" s="327"/>
      <c r="K73" s="345"/>
      <c r="L73" s="303"/>
      <c r="M73" s="354"/>
      <c r="N73" s="355"/>
      <c r="O73" s="288"/>
      <c r="P73" s="238"/>
      <c r="Q73" s="154">
        <f>H74/E74-1</f>
        <v>-6.8171949630916107E-2</v>
      </c>
    </row>
    <row r="74" spans="1:17" s="77" customFormat="1" ht="12.75" x14ac:dyDescent="0.2">
      <c r="A74" s="288"/>
      <c r="B74" s="332" t="s">
        <v>41</v>
      </c>
      <c r="C74" s="297" t="s">
        <v>33</v>
      </c>
      <c r="D74" s="293">
        <v>1041707.81</v>
      </c>
      <c r="E74" s="298">
        <v>0.13818</v>
      </c>
      <c r="F74" s="350" t="s">
        <v>42</v>
      </c>
      <c r="G74" s="287"/>
      <c r="H74" s="349">
        <f>H52</f>
        <v>0.12876000000000001</v>
      </c>
      <c r="I74" s="350" t="s">
        <v>42</v>
      </c>
      <c r="J74" s="286"/>
      <c r="K74" s="350"/>
      <c r="L74" s="289"/>
      <c r="M74" s="354"/>
      <c r="N74" s="355"/>
      <c r="O74" s="288"/>
      <c r="P74" s="238"/>
      <c r="Q74" s="154">
        <f>H75/E75-1</f>
        <v>-6.8171949630916107E-2</v>
      </c>
    </row>
    <row r="75" spans="1:17" s="77" customFormat="1" ht="12.75" x14ac:dyDescent="0.2">
      <c r="A75" s="288"/>
      <c r="B75" s="336" t="s">
        <v>43</v>
      </c>
      <c r="C75" s="297" t="s">
        <v>33</v>
      </c>
      <c r="D75" s="293">
        <v>3950092.4699999997</v>
      </c>
      <c r="E75" s="298">
        <v>0.13818</v>
      </c>
      <c r="F75" s="286">
        <f>D75*E75</f>
        <v>545823.7775046</v>
      </c>
      <c r="G75" s="287"/>
      <c r="H75" s="349">
        <f>H53</f>
        <v>0.12876000000000001</v>
      </c>
      <c r="I75" s="286">
        <f>H75*D75</f>
        <v>508613.90643720003</v>
      </c>
      <c r="J75" s="286"/>
      <c r="K75" s="286">
        <f>I75-F75</f>
        <v>-37209.871067399974</v>
      </c>
      <c r="L75" s="289"/>
      <c r="M75" s="354"/>
      <c r="N75" s="355"/>
      <c r="O75" s="288"/>
      <c r="P75" s="238"/>
      <c r="Q75" s="154">
        <f>H76/E76-1</f>
        <v>-6.8236986424525803E-2</v>
      </c>
    </row>
    <row r="76" spans="1:17" s="77" customFormat="1" ht="12.75" x14ac:dyDescent="0.2">
      <c r="A76" s="288"/>
      <c r="B76" s="336" t="s">
        <v>44</v>
      </c>
      <c r="C76" s="297" t="s">
        <v>33</v>
      </c>
      <c r="D76" s="293">
        <v>12710325.609999999</v>
      </c>
      <c r="E76" s="298">
        <v>0.11123</v>
      </c>
      <c r="F76" s="286">
        <f>D76*E76</f>
        <v>1413769.5176002998</v>
      </c>
      <c r="G76" s="287"/>
      <c r="H76" s="349">
        <f>H54</f>
        <v>0.10364</v>
      </c>
      <c r="I76" s="286">
        <f>H76*D76</f>
        <v>1317298.1462204</v>
      </c>
      <c r="J76" s="286"/>
      <c r="K76" s="286">
        <f>I76-F76</f>
        <v>-96471.371379899792</v>
      </c>
      <c r="L76" s="289"/>
      <c r="M76" s="354"/>
      <c r="N76" s="355"/>
      <c r="O76" s="288"/>
      <c r="P76" s="238"/>
      <c r="Q76" s="360"/>
    </row>
    <row r="77" spans="1:17" s="77" customFormat="1" ht="12.75" x14ac:dyDescent="0.2">
      <c r="A77" s="288"/>
      <c r="B77" s="330" t="s">
        <v>45</v>
      </c>
      <c r="C77" s="305"/>
      <c r="D77" s="280">
        <f>SUM(D74:D76)</f>
        <v>17702125.890000001</v>
      </c>
      <c r="E77" s="352"/>
      <c r="F77" s="327"/>
      <c r="G77" s="287"/>
      <c r="H77" s="287"/>
      <c r="I77" s="288"/>
      <c r="J77" s="288"/>
      <c r="K77" s="288"/>
      <c r="L77" s="353"/>
      <c r="M77" s="354"/>
      <c r="N77" s="355"/>
      <c r="O77" s="356"/>
      <c r="P77" s="357"/>
      <c r="Q77" s="154"/>
    </row>
    <row r="78" spans="1:17" s="77" customFormat="1" ht="12.75" x14ac:dyDescent="0.2">
      <c r="A78" s="288"/>
      <c r="B78" s="330" t="s">
        <v>36</v>
      </c>
      <c r="C78" s="297" t="s">
        <v>33</v>
      </c>
      <c r="D78" s="287">
        <f>D77</f>
        <v>17702125.890000001</v>
      </c>
      <c r="E78" s="358">
        <v>-5.3899999999999998E-3</v>
      </c>
      <c r="F78" s="327">
        <f>D78*E78</f>
        <v>-95414.458547100003</v>
      </c>
      <c r="G78" s="287"/>
      <c r="H78" s="376">
        <v>0</v>
      </c>
      <c r="I78" s="327">
        <f>D78*H78</f>
        <v>0</v>
      </c>
      <c r="J78" s="327"/>
      <c r="K78" s="286">
        <f>I78-F78</f>
        <v>95414.458547100003</v>
      </c>
      <c r="L78" s="289"/>
      <c r="M78" s="354"/>
      <c r="N78" s="355"/>
      <c r="O78" s="288"/>
      <c r="P78" s="238"/>
      <c r="Q78" s="360"/>
    </row>
    <row r="79" spans="1:17" s="77" customFormat="1" ht="12.75" x14ac:dyDescent="0.2">
      <c r="A79" s="288"/>
      <c r="B79" s="174" t="s">
        <v>216</v>
      </c>
      <c r="C79" s="305"/>
      <c r="D79" s="287"/>
      <c r="E79" s="352"/>
      <c r="F79" s="361">
        <f>SUM(F69:F78)</f>
        <v>3630040.6757238214</v>
      </c>
      <c r="G79" s="287"/>
      <c r="H79" s="287"/>
      <c r="I79" s="361">
        <f>SUM(I69:I78)</f>
        <v>3565479.9526575999</v>
      </c>
      <c r="J79" s="327"/>
      <c r="K79" s="361">
        <f>SUM(K69:K78)</f>
        <v>-64560.723066221151</v>
      </c>
      <c r="L79" s="282">
        <f>ROUND(K79/F79,5)</f>
        <v>-1.779E-2</v>
      </c>
      <c r="M79" s="354"/>
      <c r="N79" s="355"/>
      <c r="O79" s="288"/>
      <c r="P79" s="238"/>
      <c r="Q79" s="360"/>
    </row>
    <row r="80" spans="1:17" s="77" customFormat="1" ht="12.75" x14ac:dyDescent="0.2">
      <c r="A80" s="288"/>
      <c r="B80" s="330"/>
      <c r="C80" s="305"/>
      <c r="D80" s="287"/>
      <c r="E80" s="352"/>
      <c r="F80" s="327"/>
      <c r="G80" s="287"/>
      <c r="H80" s="287"/>
      <c r="I80" s="327"/>
      <c r="J80" s="327"/>
      <c r="K80" s="286"/>
      <c r="L80" s="289"/>
      <c r="M80" s="354"/>
      <c r="N80" s="355"/>
      <c r="O80" s="377"/>
      <c r="P80" s="258"/>
      <c r="Q80" s="154"/>
    </row>
    <row r="81" spans="1:17" s="77" customFormat="1" ht="12.75" x14ac:dyDescent="0.2">
      <c r="A81" s="288"/>
      <c r="B81" s="332" t="s">
        <v>230</v>
      </c>
      <c r="C81" s="297" t="s">
        <v>33</v>
      </c>
      <c r="D81" s="287">
        <f>D77</f>
        <v>17702125.890000001</v>
      </c>
      <c r="E81" s="298">
        <v>6.9999999999999999E-4</v>
      </c>
      <c r="F81" s="286">
        <f>E81*D81</f>
        <v>12391.488123000001</v>
      </c>
      <c r="G81" s="288"/>
      <c r="H81" s="334">
        <v>6.9999999999999999E-4</v>
      </c>
      <c r="I81" s="286">
        <f>H81*D81</f>
        <v>12391.488123000001</v>
      </c>
      <c r="J81" s="286"/>
      <c r="K81" s="286">
        <f>I81-F81</f>
        <v>0</v>
      </c>
      <c r="L81" s="289"/>
      <c r="M81" s="354"/>
      <c r="N81" s="355"/>
      <c r="O81" s="286"/>
      <c r="P81" s="297"/>
      <c r="Q81" s="378"/>
    </row>
    <row r="82" spans="1:17" s="77" customFormat="1" ht="12.75" x14ac:dyDescent="0.2">
      <c r="A82" s="288"/>
      <c r="B82" s="336" t="s">
        <v>215</v>
      </c>
      <c r="C82" s="297"/>
      <c r="D82" s="287"/>
      <c r="E82" s="349"/>
      <c r="F82" s="361">
        <f>F79+F81</f>
        <v>3642432.1638468215</v>
      </c>
      <c r="G82" s="288"/>
      <c r="H82" s="341"/>
      <c r="I82" s="361">
        <f>I79+SUM(I81:I81)</f>
        <v>3577871.4407806001</v>
      </c>
      <c r="J82" s="286"/>
      <c r="K82" s="361">
        <f>K79+SUM(K81:K81)</f>
        <v>-64560.723066221151</v>
      </c>
      <c r="L82" s="282">
        <f>ROUND(K82/F82,5)</f>
        <v>-1.772E-2</v>
      </c>
      <c r="M82" s="354"/>
      <c r="N82" s="355"/>
      <c r="O82" s="295"/>
      <c r="P82" s="297"/>
      <c r="Q82" s="378"/>
    </row>
    <row r="83" spans="1:17" s="77" customFormat="1" ht="12.75" x14ac:dyDescent="0.2">
      <c r="A83" s="288"/>
      <c r="B83" s="336"/>
      <c r="C83" s="305"/>
      <c r="D83" s="288"/>
      <c r="E83" s="369"/>
      <c r="F83" s="288"/>
      <c r="G83" s="288"/>
      <c r="H83" s="288"/>
      <c r="I83" s="295"/>
      <c r="J83" s="288"/>
      <c r="K83" s="288"/>
      <c r="L83" s="353"/>
      <c r="M83" s="354"/>
      <c r="N83" s="355"/>
      <c r="O83" s="379"/>
      <c r="P83" s="297"/>
      <c r="Q83" s="378"/>
    </row>
    <row r="84" spans="1:17" s="77" customFormat="1" ht="12.75" x14ac:dyDescent="0.2">
      <c r="A84" s="288"/>
      <c r="B84" s="370"/>
      <c r="C84" s="320"/>
      <c r="D84" s="320"/>
      <c r="E84" s="320"/>
      <c r="F84" s="324"/>
      <c r="G84" s="320"/>
      <c r="H84" s="320"/>
      <c r="I84" s="322"/>
      <c r="J84" s="322"/>
      <c r="K84" s="324"/>
      <c r="L84" s="371"/>
      <c r="M84" s="354"/>
      <c r="N84" s="355"/>
      <c r="O84" s="379"/>
      <c r="P84" s="297"/>
      <c r="Q84" s="378"/>
    </row>
    <row r="85" spans="1:17" s="77" customFormat="1" ht="12.75" x14ac:dyDescent="0.2">
      <c r="A85" s="288"/>
      <c r="B85" s="288"/>
      <c r="C85" s="288"/>
      <c r="D85" s="288"/>
      <c r="E85" s="288"/>
      <c r="F85" s="295"/>
      <c r="G85" s="288"/>
      <c r="H85" s="288"/>
      <c r="I85" s="372"/>
      <c r="J85" s="372"/>
      <c r="K85" s="295"/>
      <c r="L85" s="373"/>
      <c r="M85" s="354"/>
      <c r="N85" s="355"/>
      <c r="O85" s="377"/>
      <c r="P85" s="297"/>
      <c r="Q85" s="378"/>
    </row>
    <row r="86" spans="1:17" s="77" customFormat="1" ht="12.75" x14ac:dyDescent="0.2">
      <c r="A86" s="288"/>
      <c r="B86" s="329" t="s">
        <v>237</v>
      </c>
      <c r="C86" s="277"/>
      <c r="D86" s="281"/>
      <c r="E86" s="278"/>
      <c r="F86" s="279"/>
      <c r="G86" s="281"/>
      <c r="H86" s="281"/>
      <c r="I86" s="279"/>
      <c r="J86" s="279"/>
      <c r="K86" s="279"/>
      <c r="L86" s="282"/>
      <c r="M86" s="354"/>
      <c r="N86" s="355"/>
      <c r="O86" s="379"/>
      <c r="P86" s="297"/>
      <c r="Q86" s="378"/>
    </row>
    <row r="87" spans="1:17" s="77" customFormat="1" ht="12.75" x14ac:dyDescent="0.2">
      <c r="A87" s="288"/>
      <c r="B87" s="284"/>
      <c r="C87" s="258"/>
      <c r="D87" s="288"/>
      <c r="E87" s="288"/>
      <c r="F87" s="286"/>
      <c r="G87" s="337"/>
      <c r="H87" s="288"/>
      <c r="I87" s="286"/>
      <c r="J87" s="286"/>
      <c r="K87" s="286"/>
      <c r="L87" s="289"/>
      <c r="M87" s="354"/>
      <c r="N87" s="355"/>
      <c r="O87" s="379"/>
      <c r="P87" s="297"/>
      <c r="Q87" s="378"/>
    </row>
    <row r="88" spans="1:17" s="77" customFormat="1" x14ac:dyDescent="0.25">
      <c r="A88" s="288"/>
      <c r="B88" s="291" t="s">
        <v>30</v>
      </c>
      <c r="C88" s="292" t="s">
        <v>31</v>
      </c>
      <c r="D88" s="301">
        <f>D69+D47</f>
        <v>17415.238199407158</v>
      </c>
      <c r="E88" s="333"/>
      <c r="F88" s="286">
        <f>F69+F47</f>
        <v>2373954.7400000002</v>
      </c>
      <c r="G88" s="287"/>
      <c r="H88" s="333"/>
      <c r="I88" s="286">
        <f>I69+I47</f>
        <v>2212054.34</v>
      </c>
      <c r="J88" s="286"/>
      <c r="K88" s="286">
        <f>K69+K47</f>
        <v>-161900.39999999997</v>
      </c>
      <c r="L88" s="289"/>
      <c r="M88" s="354"/>
      <c r="N88" s="355"/>
      <c r="O88" s="379"/>
      <c r="P88" s="297"/>
      <c r="Q88" s="378"/>
    </row>
    <row r="89" spans="1:17" s="77" customFormat="1" x14ac:dyDescent="0.25">
      <c r="A89" s="288"/>
      <c r="B89" s="336" t="s">
        <v>38</v>
      </c>
      <c r="C89" s="292" t="s">
        <v>31</v>
      </c>
      <c r="D89" s="287">
        <f>D88</f>
        <v>17415.238199407158</v>
      </c>
      <c r="E89" s="333"/>
      <c r="F89" s="286">
        <f>F70+F48</f>
        <v>2165759.0224782741</v>
      </c>
      <c r="G89" s="287"/>
      <c r="H89" s="341"/>
      <c r="I89" s="286">
        <f>I70+I48</f>
        <v>2018077.81</v>
      </c>
      <c r="J89" s="327"/>
      <c r="K89" s="286">
        <f>K70+K48</f>
        <v>-147681.21247827428</v>
      </c>
      <c r="L89" s="303"/>
      <c r="M89" s="354"/>
      <c r="N89" s="355"/>
      <c r="O89" s="379"/>
      <c r="P89" s="297"/>
      <c r="Q89" s="378"/>
    </row>
    <row r="90" spans="1:17" s="77" customFormat="1" x14ac:dyDescent="0.25">
      <c r="A90" s="288"/>
      <c r="B90" s="380" t="s">
        <v>39</v>
      </c>
      <c r="C90" s="297" t="s">
        <v>37</v>
      </c>
      <c r="D90" s="301">
        <f>D71+D49</f>
        <v>4775221.1199999992</v>
      </c>
      <c r="E90" s="333"/>
      <c r="F90" s="286">
        <f>F71+F49</f>
        <v>5491504.2899999991</v>
      </c>
      <c r="G90" s="287"/>
      <c r="H90" s="333"/>
      <c r="I90" s="286">
        <f>I71+I49</f>
        <v>5587008.7199999997</v>
      </c>
      <c r="J90" s="327"/>
      <c r="K90" s="286">
        <f>K71+K49</f>
        <v>95504.430000000168</v>
      </c>
      <c r="L90" s="303"/>
      <c r="M90" s="354"/>
      <c r="N90" s="355"/>
      <c r="O90" s="379"/>
      <c r="P90" s="297"/>
      <c r="Q90" s="378"/>
    </row>
    <row r="91" spans="1:17" s="77" customFormat="1" x14ac:dyDescent="0.25">
      <c r="A91" s="288"/>
      <c r="B91" s="284"/>
      <c r="C91" s="258"/>
      <c r="D91" s="287"/>
      <c r="E91" s="341"/>
      <c r="F91" s="327"/>
      <c r="G91" s="287"/>
      <c r="H91" s="341"/>
      <c r="I91" s="327"/>
      <c r="J91" s="327"/>
      <c r="K91" s="345"/>
      <c r="L91" s="303"/>
      <c r="M91" s="354"/>
      <c r="N91" s="355"/>
      <c r="O91" s="379"/>
      <c r="P91" s="297"/>
      <c r="Q91" s="378"/>
    </row>
    <row r="92" spans="1:17" s="77" customFormat="1" x14ac:dyDescent="0.25">
      <c r="A92" s="288"/>
      <c r="B92" s="380" t="s">
        <v>40</v>
      </c>
      <c r="C92" s="258"/>
      <c r="D92" s="287"/>
      <c r="E92" s="341"/>
      <c r="F92" s="286"/>
      <c r="G92" s="287"/>
      <c r="H92" s="341"/>
      <c r="I92" s="327"/>
      <c r="J92" s="327"/>
      <c r="K92" s="345"/>
      <c r="L92" s="303"/>
      <c r="M92" s="354"/>
      <c r="N92" s="355"/>
      <c r="O92" s="379"/>
      <c r="P92" s="297"/>
      <c r="Q92" s="378"/>
    </row>
    <row r="93" spans="1:17" s="77" customFormat="1" x14ac:dyDescent="0.25">
      <c r="A93" s="288"/>
      <c r="B93" s="332" t="s">
        <v>41</v>
      </c>
      <c r="C93" s="297" t="s">
        <v>33</v>
      </c>
      <c r="D93" s="301">
        <f>D74+D52</f>
        <v>14536713.898</v>
      </c>
      <c r="E93" s="334"/>
      <c r="F93" s="286"/>
      <c r="G93" s="287"/>
      <c r="H93" s="349"/>
      <c r="I93" s="350" t="s">
        <v>42</v>
      </c>
      <c r="J93" s="286"/>
      <c r="K93" s="286"/>
      <c r="L93" s="289"/>
      <c r="M93" s="354"/>
      <c r="N93" s="355"/>
      <c r="O93" s="379"/>
      <c r="P93" s="297"/>
      <c r="Q93" s="378"/>
    </row>
    <row r="94" spans="1:17" s="77" customFormat="1" x14ac:dyDescent="0.25">
      <c r="A94" s="288"/>
      <c r="B94" s="336" t="s">
        <v>43</v>
      </c>
      <c r="C94" s="297" t="s">
        <v>33</v>
      </c>
      <c r="D94" s="301">
        <f>D75+D53</f>
        <v>32123719.445999999</v>
      </c>
      <c r="E94" s="334"/>
      <c r="F94" s="286">
        <f>F75+F53</f>
        <v>4438855.5575045999</v>
      </c>
      <c r="G94" s="287"/>
      <c r="H94" s="299"/>
      <c r="I94" s="286">
        <f>I75+I53</f>
        <v>4136250.1164372</v>
      </c>
      <c r="J94" s="286"/>
      <c r="K94" s="286">
        <f>K75+K53</f>
        <v>-302605.44106739981</v>
      </c>
      <c r="L94" s="289"/>
      <c r="M94" s="354"/>
      <c r="N94" s="355"/>
      <c r="O94" s="379"/>
      <c r="P94" s="297"/>
      <c r="Q94" s="378"/>
    </row>
    <row r="95" spans="1:17" s="77" customFormat="1" x14ac:dyDescent="0.25">
      <c r="A95" s="288"/>
      <c r="B95" s="336" t="s">
        <v>44</v>
      </c>
      <c r="C95" s="297" t="s">
        <v>33</v>
      </c>
      <c r="D95" s="381">
        <f>D76+D54</f>
        <v>37032342.759000003</v>
      </c>
      <c r="E95" s="334"/>
      <c r="F95" s="286">
        <f>F76+F54</f>
        <v>4119107.4876003</v>
      </c>
      <c r="G95" s="287"/>
      <c r="H95" s="299"/>
      <c r="I95" s="286">
        <f>I76+I54</f>
        <v>3838032.0062203999</v>
      </c>
      <c r="J95" s="286"/>
      <c r="K95" s="286">
        <f>K76+K54</f>
        <v>-281075.48137990013</v>
      </c>
      <c r="L95" s="289"/>
      <c r="M95" s="354"/>
      <c r="N95" s="355"/>
      <c r="O95" s="379"/>
      <c r="P95" s="297"/>
      <c r="Q95" s="378"/>
    </row>
    <row r="96" spans="1:17" s="77" customFormat="1" x14ac:dyDescent="0.25">
      <c r="A96" s="288"/>
      <c r="B96" s="368" t="s">
        <v>45</v>
      </c>
      <c r="C96" s="305"/>
      <c r="D96" s="280">
        <f>SUM(D93:D95)</f>
        <v>83692776.103</v>
      </c>
      <c r="E96" s="285"/>
      <c r="F96" s="327"/>
      <c r="G96" s="287"/>
      <c r="H96" s="287"/>
      <c r="I96" s="288"/>
      <c r="J96" s="288"/>
      <c r="K96" s="288"/>
      <c r="L96" s="353"/>
      <c r="M96" s="354"/>
      <c r="N96" s="355"/>
      <c r="O96" s="379"/>
      <c r="P96" s="297"/>
      <c r="Q96" s="378"/>
    </row>
    <row r="97" spans="1:17" s="77" customFormat="1" x14ac:dyDescent="0.25">
      <c r="A97" s="288"/>
      <c r="B97" s="330" t="s">
        <v>36</v>
      </c>
      <c r="C97" s="297" t="s">
        <v>33</v>
      </c>
      <c r="D97" s="301">
        <f>D78+D58</f>
        <v>17702125.890000001</v>
      </c>
      <c r="E97" s="382"/>
      <c r="F97" s="327">
        <f>F78</f>
        <v>-95414.458547100003</v>
      </c>
      <c r="G97" s="287"/>
      <c r="H97" s="287"/>
      <c r="I97" s="327">
        <f>I78+I56</f>
        <v>401883.05979716999</v>
      </c>
      <c r="J97" s="327"/>
      <c r="K97" s="327">
        <f>K78</f>
        <v>95414.458547100003</v>
      </c>
      <c r="L97" s="289"/>
      <c r="M97" s="354"/>
      <c r="N97" s="355"/>
      <c r="O97" s="379"/>
      <c r="P97" s="297"/>
      <c r="Q97" s="378"/>
    </row>
    <row r="98" spans="1:17" s="77" customFormat="1" x14ac:dyDescent="0.25">
      <c r="A98" s="288"/>
      <c r="B98" s="174" t="s">
        <v>216</v>
      </c>
      <c r="C98" s="305"/>
      <c r="D98" s="287"/>
      <c r="E98" s="285"/>
      <c r="F98" s="361">
        <f>SUM(F88:F97)</f>
        <v>18493766.639036071</v>
      </c>
      <c r="G98" s="287"/>
      <c r="H98" s="287"/>
      <c r="I98" s="361">
        <f>SUM(I88:I90,I94:I97)</f>
        <v>18193306.052454773</v>
      </c>
      <c r="J98" s="327"/>
      <c r="K98" s="361">
        <f>SUM(K88:K97)</f>
        <v>-702343.64637847408</v>
      </c>
      <c r="L98" s="282">
        <f>ROUND(K98/F98,5)</f>
        <v>-3.798E-2</v>
      </c>
      <c r="M98" s="354"/>
      <c r="N98" s="355"/>
      <c r="O98" s="379"/>
      <c r="P98" s="297"/>
      <c r="Q98" s="378"/>
    </row>
    <row r="99" spans="1:17" s="77" customFormat="1" x14ac:dyDescent="0.25">
      <c r="A99" s="288"/>
      <c r="B99" s="316"/>
      <c r="C99" s="305"/>
      <c r="D99" s="287"/>
      <c r="E99" s="285"/>
      <c r="F99" s="327"/>
      <c r="G99" s="287"/>
      <c r="H99" s="287"/>
      <c r="I99" s="327"/>
      <c r="J99" s="327"/>
      <c r="K99" s="286"/>
      <c r="L99" s="289"/>
      <c r="M99" s="354"/>
      <c r="N99" s="355"/>
      <c r="O99" s="379"/>
      <c r="P99" s="297"/>
      <c r="Q99" s="378"/>
    </row>
    <row r="100" spans="1:17" s="77" customFormat="1" x14ac:dyDescent="0.25">
      <c r="A100" s="288"/>
      <c r="B100" s="142" t="s">
        <v>214</v>
      </c>
      <c r="C100" s="305"/>
      <c r="D100" s="287"/>
      <c r="E100" s="285"/>
      <c r="F100" s="327"/>
      <c r="G100" s="287"/>
      <c r="H100" s="287"/>
      <c r="I100" s="327"/>
      <c r="J100" s="327"/>
      <c r="K100" s="286"/>
      <c r="L100" s="289"/>
      <c r="M100" s="354"/>
      <c r="N100" s="355"/>
      <c r="O100" s="379"/>
      <c r="P100" s="297"/>
      <c r="Q100" s="378"/>
    </row>
    <row r="101" spans="1:17" s="77" customFormat="1" x14ac:dyDescent="0.25">
      <c r="A101" s="288"/>
      <c r="B101" s="332" t="s">
        <v>234</v>
      </c>
      <c r="C101" s="305"/>
      <c r="D101" s="287"/>
      <c r="E101" s="285"/>
      <c r="F101" s="327">
        <f>F60</f>
        <v>21536708.603514679</v>
      </c>
      <c r="G101" s="287"/>
      <c r="H101" s="287"/>
      <c r="I101" s="327">
        <f>I60</f>
        <v>26149455.053403381</v>
      </c>
      <c r="J101" s="327"/>
      <c r="K101" s="327">
        <f>K60</f>
        <v>4612746.4498887025</v>
      </c>
      <c r="L101" s="289"/>
      <c r="M101" s="354"/>
      <c r="N101" s="355"/>
      <c r="O101" s="379"/>
      <c r="P101" s="297"/>
      <c r="Q101" s="378"/>
    </row>
    <row r="102" spans="1:17" s="77" customFormat="1" x14ac:dyDescent="0.25">
      <c r="A102" s="288"/>
      <c r="B102" s="332" t="s">
        <v>39</v>
      </c>
      <c r="C102" s="305"/>
      <c r="D102" s="287"/>
      <c r="E102" s="285"/>
      <c r="F102" s="327">
        <f>F61</f>
        <v>4009855.1009999998</v>
      </c>
      <c r="G102" s="287"/>
      <c r="H102" s="287"/>
      <c r="I102" s="327">
        <f>I61</f>
        <v>4009855.1009999998</v>
      </c>
      <c r="J102" s="327"/>
      <c r="K102" s="327">
        <f>K61</f>
        <v>0</v>
      </c>
      <c r="L102" s="289"/>
      <c r="M102" s="354"/>
      <c r="N102" s="355"/>
      <c r="O102" s="379"/>
      <c r="P102" s="297"/>
      <c r="Q102" s="378"/>
    </row>
    <row r="103" spans="1:17" s="77" customFormat="1" x14ac:dyDescent="0.25">
      <c r="A103" s="288"/>
      <c r="B103" s="332" t="s">
        <v>230</v>
      </c>
      <c r="C103" s="305"/>
      <c r="D103" s="287"/>
      <c r="E103" s="285"/>
      <c r="F103" s="327">
        <f>F81</f>
        <v>12391.488123000001</v>
      </c>
      <c r="G103" s="287"/>
      <c r="H103" s="287"/>
      <c r="I103" s="327">
        <f>I81</f>
        <v>12391.488123000001</v>
      </c>
      <c r="J103" s="327"/>
      <c r="K103" s="327">
        <f>K81</f>
        <v>0</v>
      </c>
      <c r="L103" s="289"/>
      <c r="M103" s="354"/>
      <c r="N103" s="355"/>
      <c r="O103" s="379"/>
      <c r="P103" s="297"/>
      <c r="Q103" s="378"/>
    </row>
    <row r="104" spans="1:17" s="77" customFormat="1" x14ac:dyDescent="0.25">
      <c r="A104" s="288"/>
      <c r="B104" s="368" t="s">
        <v>235</v>
      </c>
      <c r="C104" s="305"/>
      <c r="D104" s="287"/>
      <c r="E104" s="285"/>
      <c r="F104" s="361">
        <f>SUM(F101:F103)</f>
        <v>25558955.192637678</v>
      </c>
      <c r="G104" s="287"/>
      <c r="H104" s="287"/>
      <c r="I104" s="361">
        <f>SUM(I101:I103)</f>
        <v>30171701.642526381</v>
      </c>
      <c r="J104" s="327"/>
      <c r="K104" s="361">
        <f>SUM(K101:K103)</f>
        <v>4612746.4498887025</v>
      </c>
      <c r="L104" s="282">
        <f>ROUND(K104/F104,5)</f>
        <v>0.18046999999999999</v>
      </c>
      <c r="M104" s="354"/>
      <c r="N104" s="355"/>
      <c r="O104" s="379"/>
      <c r="P104" s="297"/>
      <c r="Q104" s="378"/>
    </row>
    <row r="105" spans="1:17" s="77" customFormat="1" x14ac:dyDescent="0.25">
      <c r="A105" s="288"/>
      <c r="B105" s="380"/>
      <c r="C105" s="305"/>
      <c r="D105" s="288"/>
      <c r="E105" s="258"/>
      <c r="F105" s="286"/>
      <c r="G105" s="287"/>
      <c r="H105" s="287"/>
      <c r="I105" s="327"/>
      <c r="J105" s="327"/>
      <c r="K105" s="286"/>
      <c r="L105" s="289"/>
      <c r="M105" s="354"/>
      <c r="N105" s="355"/>
      <c r="O105" s="286"/>
      <c r="P105" s="297"/>
      <c r="Q105" s="378"/>
    </row>
    <row r="106" spans="1:17" s="77" customFormat="1" x14ac:dyDescent="0.25">
      <c r="A106" s="288"/>
      <c r="B106" s="284" t="s">
        <v>215</v>
      </c>
      <c r="C106" s="297"/>
      <c r="D106" s="287"/>
      <c r="E106" s="349"/>
      <c r="F106" s="361">
        <f>F98+F104</f>
        <v>44052721.831673749</v>
      </c>
      <c r="G106" s="288"/>
      <c r="H106" s="341"/>
      <c r="I106" s="361">
        <f>I98+I104</f>
        <v>48365007.694981158</v>
      </c>
      <c r="J106" s="286"/>
      <c r="K106" s="361">
        <f>K98+K104</f>
        <v>3910402.8035102282</v>
      </c>
      <c r="L106" s="282">
        <f>ROUND(K106/F106,5)</f>
        <v>8.8770000000000002E-2</v>
      </c>
      <c r="M106" s="354"/>
      <c r="N106" s="355"/>
      <c r="O106" s="297"/>
      <c r="P106" s="297"/>
      <c r="Q106" s="287"/>
    </row>
    <row r="107" spans="1:17" s="77" customFormat="1" x14ac:dyDescent="0.25">
      <c r="A107" s="288"/>
      <c r="B107" s="370"/>
      <c r="C107" s="320"/>
      <c r="D107" s="320"/>
      <c r="E107" s="383"/>
      <c r="F107" s="384"/>
      <c r="G107" s="320"/>
      <c r="H107" s="320"/>
      <c r="I107" s="322"/>
      <c r="J107" s="322"/>
      <c r="K107" s="324"/>
      <c r="L107" s="371"/>
      <c r="M107" s="354"/>
      <c r="N107" s="355"/>
      <c r="O107" s="297"/>
      <c r="P107" s="297"/>
      <c r="Q107" s="287"/>
    </row>
    <row r="108" spans="1:17" s="76" customFormat="1" x14ac:dyDescent="0.25">
      <c r="A108" s="288"/>
      <c r="B108" s="288"/>
      <c r="C108" s="288"/>
      <c r="D108" s="288"/>
      <c r="E108" s="356"/>
      <c r="F108" s="385"/>
      <c r="G108" s="288"/>
      <c r="H108" s="288"/>
      <c r="I108" s="372"/>
      <c r="J108" s="372"/>
      <c r="K108" s="295"/>
      <c r="L108" s="373"/>
      <c r="M108" s="354"/>
      <c r="N108" s="355"/>
      <c r="O108" s="124"/>
      <c r="P108" s="124"/>
      <c r="Q108" s="124"/>
    </row>
    <row r="109" spans="1:17" x14ac:dyDescent="0.25">
      <c r="A109" s="235"/>
      <c r="B109" s="258"/>
      <c r="C109" s="235"/>
      <c r="D109" s="235"/>
      <c r="E109" s="235"/>
      <c r="F109" s="386"/>
      <c r="G109" s="237"/>
      <c r="H109" s="238"/>
      <c r="I109" s="386"/>
      <c r="J109" s="386"/>
      <c r="K109" s="386"/>
      <c r="L109" s="239"/>
      <c r="M109" s="283"/>
      <c r="N109" s="257"/>
      <c r="O109" s="124"/>
      <c r="P109" s="124"/>
      <c r="Q109" s="124"/>
    </row>
    <row r="110" spans="1:17" x14ac:dyDescent="0.25">
      <c r="A110" s="235"/>
      <c r="B110" s="387" t="s">
        <v>238</v>
      </c>
      <c r="C110" s="235"/>
      <c r="D110" s="235"/>
      <c r="E110" s="235"/>
      <c r="F110" s="386"/>
      <c r="G110" s="237"/>
      <c r="H110" s="238"/>
      <c r="I110" s="386"/>
      <c r="J110" s="386"/>
      <c r="K110" s="386"/>
      <c r="L110" s="239"/>
      <c r="M110" s="283"/>
      <c r="N110" s="257"/>
      <c r="O110" s="388"/>
      <c r="P110" s="389"/>
      <c r="Q110" s="390"/>
    </row>
    <row r="111" spans="1:17" x14ac:dyDescent="0.25">
      <c r="A111" s="235"/>
      <c r="B111" s="235"/>
      <c r="C111" s="235"/>
      <c r="D111" s="227" t="s">
        <v>33</v>
      </c>
      <c r="E111" s="235"/>
      <c r="F111" s="391" t="s">
        <v>161</v>
      </c>
      <c r="G111" s="237"/>
      <c r="H111" s="238"/>
      <c r="I111" s="391" t="s">
        <v>162</v>
      </c>
      <c r="J111" s="386"/>
      <c r="K111" s="391" t="s">
        <v>35</v>
      </c>
      <c r="L111" s="239"/>
      <c r="M111" s="283"/>
      <c r="N111" s="257"/>
      <c r="O111" s="235"/>
      <c r="P111" s="235"/>
      <c r="Q111" s="242"/>
    </row>
    <row r="112" spans="1:17" x14ac:dyDescent="0.25">
      <c r="A112" s="235"/>
      <c r="B112" s="105" t="s">
        <v>239</v>
      </c>
      <c r="C112" s="348"/>
      <c r="D112" s="392"/>
      <c r="E112" s="348"/>
      <c r="F112" s="348"/>
      <c r="G112" s="393"/>
      <c r="H112" s="393"/>
      <c r="I112" s="348"/>
      <c r="J112" s="348"/>
      <c r="K112" s="348"/>
      <c r="L112" s="239"/>
      <c r="M112" s="394"/>
      <c r="N112" s="241"/>
      <c r="O112" s="235"/>
      <c r="P112" s="235"/>
      <c r="Q112" s="242"/>
    </row>
    <row r="113" spans="1:17" x14ac:dyDescent="0.25">
      <c r="A113" s="235"/>
      <c r="B113" s="395" t="s">
        <v>240</v>
      </c>
      <c r="C113" s="348"/>
      <c r="D113" s="392"/>
      <c r="E113" s="348"/>
      <c r="F113" s="348">
        <f>F17+F29</f>
        <v>88110814.311921448</v>
      </c>
      <c r="G113" s="393"/>
      <c r="H113" s="393"/>
      <c r="I113" s="348">
        <f>I17+I29</f>
        <v>87250411.776516512</v>
      </c>
      <c r="J113" s="348"/>
      <c r="K113" s="396">
        <f>I113-F113</f>
        <v>-860402.53540493548</v>
      </c>
      <c r="L113" s="239"/>
      <c r="M113" s="394"/>
      <c r="N113" s="241"/>
      <c r="O113" s="235"/>
      <c r="P113" s="235"/>
      <c r="Q113" s="242"/>
    </row>
    <row r="114" spans="1:17" x14ac:dyDescent="0.25">
      <c r="A114" s="235"/>
      <c r="B114" s="395" t="s">
        <v>241</v>
      </c>
      <c r="C114" s="348"/>
      <c r="D114" s="392"/>
      <c r="E114" s="348"/>
      <c r="F114" s="348">
        <f>F62+F81</f>
        <v>25558955.192637678</v>
      </c>
      <c r="G114" s="393"/>
      <c r="H114" s="393"/>
      <c r="I114" s="348">
        <f>I62+I81</f>
        <v>30171701.642526381</v>
      </c>
      <c r="J114" s="348"/>
      <c r="K114" s="396">
        <f>I114-F114</f>
        <v>4612746.4498887025</v>
      </c>
      <c r="L114" s="239"/>
      <c r="M114" s="397"/>
      <c r="N114" s="241"/>
      <c r="O114" s="235"/>
      <c r="P114" s="235"/>
      <c r="Q114" s="242"/>
    </row>
    <row r="115" spans="1:17" x14ac:dyDescent="0.25">
      <c r="A115" s="235"/>
      <c r="B115" s="395" t="s">
        <v>46</v>
      </c>
      <c r="C115" s="348"/>
      <c r="D115" s="392"/>
      <c r="E115" s="348"/>
      <c r="F115" s="398">
        <f>SUM(F113:F114)</f>
        <v>113669769.50455913</v>
      </c>
      <c r="G115" s="393"/>
      <c r="H115" s="393"/>
      <c r="I115" s="398">
        <f>SUM(I113:I114)</f>
        <v>117422113.41904289</v>
      </c>
      <c r="J115" s="348"/>
      <c r="K115" s="398">
        <f>SUM(K113:K114)</f>
        <v>3752343.914483767</v>
      </c>
      <c r="L115" s="239"/>
      <c r="M115" s="397"/>
      <c r="N115" s="241"/>
      <c r="O115" s="235"/>
      <c r="P115" s="235"/>
      <c r="Q115" s="242"/>
    </row>
    <row r="116" spans="1:17" x14ac:dyDescent="0.25">
      <c r="A116" s="235"/>
      <c r="B116" s="235"/>
      <c r="C116" s="348"/>
      <c r="D116" s="392"/>
      <c r="E116" s="348"/>
      <c r="F116" s="348"/>
      <c r="G116" s="393"/>
      <c r="H116" s="393"/>
      <c r="I116" s="348"/>
      <c r="J116" s="348"/>
      <c r="K116" s="396"/>
      <c r="L116" s="239"/>
      <c r="M116" s="397"/>
      <c r="N116" s="241"/>
      <c r="O116" s="235"/>
      <c r="P116" s="235"/>
      <c r="Q116" s="242"/>
    </row>
    <row r="117" spans="1:17" x14ac:dyDescent="0.25">
      <c r="A117" s="235"/>
      <c r="B117" s="105" t="s">
        <v>242</v>
      </c>
      <c r="C117" s="348"/>
      <c r="D117" s="392"/>
      <c r="E117" s="348"/>
      <c r="F117" s="348"/>
      <c r="G117" s="393"/>
      <c r="H117" s="393"/>
      <c r="I117" s="348"/>
      <c r="J117" s="348"/>
      <c r="K117" s="396"/>
      <c r="L117" s="239"/>
      <c r="M117" s="397"/>
      <c r="N117" s="241"/>
      <c r="O117" s="235"/>
      <c r="P117" s="235"/>
      <c r="Q117" s="242"/>
    </row>
    <row r="118" spans="1:17" x14ac:dyDescent="0.25">
      <c r="A118" s="235"/>
      <c r="B118" s="395" t="s">
        <v>243</v>
      </c>
      <c r="C118" s="348"/>
      <c r="D118" s="392"/>
      <c r="E118" s="348"/>
      <c r="F118" s="348">
        <f>F15+F27</f>
        <v>88442624.13000001</v>
      </c>
      <c r="G118" s="348"/>
      <c r="H118" s="393"/>
      <c r="I118" s="348">
        <f>I15+I27</f>
        <v>87006528.950000003</v>
      </c>
      <c r="J118" s="348"/>
      <c r="K118" s="396">
        <f>I118-F118</f>
        <v>-1436095.1800000072</v>
      </c>
      <c r="L118" s="239">
        <f>K118/F118</f>
        <v>-1.6237591253388414E-2</v>
      </c>
      <c r="M118" s="397"/>
      <c r="N118" s="241"/>
      <c r="O118" s="235"/>
      <c r="P118" s="235"/>
      <c r="Q118" s="242"/>
    </row>
    <row r="119" spans="1:17" x14ac:dyDescent="0.25">
      <c r="A119" s="235"/>
      <c r="B119" s="395" t="s">
        <v>241</v>
      </c>
      <c r="C119" s="348"/>
      <c r="D119" s="392"/>
      <c r="E119" s="348"/>
      <c r="F119" s="348">
        <f>F57+F79</f>
        <v>18493766.639036074</v>
      </c>
      <c r="G119" s="348"/>
      <c r="H119" s="393"/>
      <c r="I119" s="348">
        <f>I57+I79</f>
        <v>18193306.05245477</v>
      </c>
      <c r="J119" s="348"/>
      <c r="K119" s="396">
        <f>I119-F119</f>
        <v>-300460.58658130467</v>
      </c>
      <c r="L119" s="239">
        <f>K119/F119</f>
        <v>-1.6246586887665258E-2</v>
      </c>
      <c r="M119" s="397"/>
      <c r="N119" s="241"/>
      <c r="O119" s="235"/>
      <c r="P119" s="235"/>
      <c r="Q119" s="242"/>
    </row>
    <row r="120" spans="1:17" x14ac:dyDescent="0.25">
      <c r="A120" s="235"/>
      <c r="B120" s="395" t="s">
        <v>46</v>
      </c>
      <c r="C120" s="348"/>
      <c r="D120" s="392"/>
      <c r="E120" s="348"/>
      <c r="F120" s="398">
        <f>SUM(F118:F119)</f>
        <v>106936390.76903608</v>
      </c>
      <c r="G120" s="348"/>
      <c r="H120" s="393"/>
      <c r="I120" s="398">
        <f>SUM(I118:I119)</f>
        <v>105199835.00245477</v>
      </c>
      <c r="J120" s="348"/>
      <c r="K120" s="398">
        <f>SUM(K118:K119)</f>
        <v>-1736555.7665813118</v>
      </c>
      <c r="L120" s="239">
        <f>K120/F120</f>
        <v>-1.6239146974129405E-2</v>
      </c>
      <c r="M120" s="397"/>
      <c r="N120" s="241"/>
      <c r="O120" s="235"/>
      <c r="P120" s="235"/>
      <c r="Q120" s="242"/>
    </row>
    <row r="121" spans="1:17" x14ac:dyDescent="0.25">
      <c r="A121" s="235"/>
      <c r="B121" s="235"/>
      <c r="C121" s="348"/>
      <c r="D121" s="392"/>
      <c r="E121" s="348"/>
      <c r="F121" s="348"/>
      <c r="G121" s="348"/>
      <c r="H121" s="393"/>
      <c r="I121" s="348"/>
      <c r="J121" s="348"/>
      <c r="K121" s="396"/>
      <c r="L121" s="239"/>
      <c r="M121" s="397"/>
      <c r="N121" s="241"/>
      <c r="O121" s="235"/>
      <c r="P121" s="235"/>
      <c r="Q121" s="242"/>
    </row>
    <row r="122" spans="1:17" x14ac:dyDescent="0.25">
      <c r="A122" s="235"/>
      <c r="B122" s="387" t="s">
        <v>244</v>
      </c>
      <c r="C122" s="348"/>
      <c r="D122" s="392"/>
      <c r="E122" s="348"/>
      <c r="F122" s="348"/>
      <c r="G122" s="348"/>
      <c r="H122" s="393"/>
      <c r="I122" s="348"/>
      <c r="J122" s="348"/>
      <c r="K122" s="396"/>
      <c r="L122" s="239"/>
      <c r="M122" s="397"/>
      <c r="N122" s="241"/>
      <c r="O122" s="235"/>
      <c r="P122" s="235"/>
      <c r="Q122" s="242"/>
    </row>
    <row r="123" spans="1:17" x14ac:dyDescent="0.25">
      <c r="A123" s="235"/>
      <c r="B123" s="395" t="s">
        <v>243</v>
      </c>
      <c r="C123" s="348"/>
      <c r="D123" s="392">
        <f>D36</f>
        <v>214587104.22299999</v>
      </c>
      <c r="E123" s="348"/>
      <c r="F123" s="348">
        <f>F113+F118</f>
        <v>176553438.44192147</v>
      </c>
      <c r="G123" s="393"/>
      <c r="H123" s="393"/>
      <c r="I123" s="348">
        <f>I113+I118</f>
        <v>174256940.72651652</v>
      </c>
      <c r="J123" s="348"/>
      <c r="K123" s="396">
        <f>I123-F123</f>
        <v>-2296497.7154049575</v>
      </c>
      <c r="L123" s="239">
        <f>K123/F123</f>
        <v>-1.3007380290474531E-2</v>
      </c>
      <c r="M123" s="397"/>
      <c r="N123" s="241"/>
      <c r="O123" s="235"/>
      <c r="P123" s="235"/>
      <c r="Q123" s="242"/>
    </row>
    <row r="124" spans="1:17" x14ac:dyDescent="0.25">
      <c r="A124" s="235"/>
      <c r="B124" s="395" t="s">
        <v>241</v>
      </c>
      <c r="C124" s="348"/>
      <c r="D124" s="392">
        <f>D96</f>
        <v>83692776.103</v>
      </c>
      <c r="E124" s="348"/>
      <c r="F124" s="348">
        <f>F114+F119</f>
        <v>44052721.831673756</v>
      </c>
      <c r="G124" s="393"/>
      <c r="H124" s="393"/>
      <c r="I124" s="348">
        <f>I114+I119</f>
        <v>48365007.69498115</v>
      </c>
      <c r="J124" s="348"/>
      <c r="K124" s="396">
        <f>I124-F124</f>
        <v>4312285.8633073941</v>
      </c>
      <c r="L124" s="239">
        <f>K124/F124</f>
        <v>9.7889203754190635E-2</v>
      </c>
      <c r="M124" s="397"/>
      <c r="N124" s="241"/>
      <c r="O124" s="235"/>
      <c r="P124" s="235"/>
      <c r="Q124" s="242"/>
    </row>
    <row r="125" spans="1:17" x14ac:dyDescent="0.25">
      <c r="A125" s="235"/>
      <c r="B125" s="395" t="s">
        <v>46</v>
      </c>
      <c r="C125" s="348"/>
      <c r="D125" s="399">
        <f>SUM(D123:D124)</f>
        <v>298279880.32599998</v>
      </c>
      <c r="E125" s="348"/>
      <c r="F125" s="398">
        <f>SUM(F123:F124)</f>
        <v>220606160.27359521</v>
      </c>
      <c r="G125" s="393"/>
      <c r="H125" s="393"/>
      <c r="I125" s="398">
        <f>SUM(I123:I124)</f>
        <v>222621948.42149767</v>
      </c>
      <c r="J125" s="348"/>
      <c r="K125" s="398">
        <f>SUM(K123:K124)</f>
        <v>2015788.1479024366</v>
      </c>
      <c r="L125" s="239">
        <f>K125/F125</f>
        <v>9.1374970916608175E-3</v>
      </c>
      <c r="M125" s="397"/>
      <c r="N125" s="241"/>
      <c r="O125" s="235"/>
      <c r="P125" s="235"/>
      <c r="Q125" s="242"/>
    </row>
    <row r="126" spans="1:17" x14ac:dyDescent="0.25">
      <c r="A126" s="235"/>
      <c r="B126" s="235"/>
      <c r="C126" s="348"/>
      <c r="D126" s="392"/>
      <c r="E126" s="348"/>
      <c r="F126" s="348"/>
      <c r="G126" s="393"/>
      <c r="H126" s="393"/>
      <c r="I126" s="348"/>
      <c r="J126" s="348"/>
      <c r="K126" s="348"/>
      <c r="L126" s="239"/>
      <c r="M126" s="397"/>
      <c r="N126" s="241"/>
      <c r="O126" s="235"/>
      <c r="P126" s="235"/>
      <c r="Q126" s="242"/>
    </row>
    <row r="127" spans="1:17" x14ac:dyDescent="0.25">
      <c r="A127" s="235"/>
      <c r="B127" s="91" t="s">
        <v>226</v>
      </c>
      <c r="C127" s="348"/>
      <c r="D127" s="348"/>
      <c r="E127" s="348"/>
      <c r="F127" s="348"/>
      <c r="G127" s="393"/>
      <c r="H127" s="393"/>
      <c r="I127" s="348"/>
      <c r="J127" s="348"/>
      <c r="K127" s="348"/>
      <c r="L127" s="239"/>
      <c r="M127" s="397"/>
      <c r="N127" s="241"/>
      <c r="O127" s="235"/>
      <c r="P127" s="235"/>
      <c r="Q127" s="242"/>
    </row>
    <row r="128" spans="1:17" x14ac:dyDescent="0.25">
      <c r="A128" s="235"/>
      <c r="B128" s="235"/>
      <c r="C128" s="348"/>
      <c r="D128" s="348"/>
      <c r="E128" s="348"/>
      <c r="F128" s="348"/>
      <c r="G128" s="393"/>
      <c r="H128" s="393"/>
      <c r="I128" s="348"/>
      <c r="J128" s="348"/>
      <c r="K128" s="348"/>
      <c r="L128" s="239"/>
      <c r="M128" s="397"/>
      <c r="N128" s="241"/>
      <c r="O128" s="235"/>
      <c r="P128" s="235"/>
      <c r="Q128" s="242"/>
    </row>
    <row r="129" spans="1:17" x14ac:dyDescent="0.25">
      <c r="A129" s="235"/>
      <c r="B129" s="235"/>
      <c r="C129" s="348"/>
      <c r="D129" s="348"/>
      <c r="E129" s="348"/>
      <c r="F129" s="348"/>
      <c r="G129" s="393"/>
      <c r="H129" s="393"/>
      <c r="I129" s="348"/>
      <c r="J129" s="348"/>
      <c r="K129" s="348"/>
      <c r="L129" s="239"/>
      <c r="M129" s="397"/>
      <c r="N129" s="241"/>
      <c r="O129" s="235"/>
      <c r="P129" s="235"/>
      <c r="Q129" s="242"/>
    </row>
    <row r="130" spans="1:17" x14ac:dyDescent="0.25">
      <c r="A130" s="235"/>
      <c r="B130" s="235"/>
      <c r="C130" s="348"/>
      <c r="D130" s="348"/>
      <c r="E130" s="348"/>
      <c r="F130" s="348"/>
      <c r="G130" s="393"/>
      <c r="H130" s="393"/>
      <c r="I130" s="348"/>
      <c r="J130" s="348"/>
      <c r="K130" s="348"/>
      <c r="L130" s="239"/>
      <c r="M130" s="397"/>
      <c r="N130" s="241"/>
      <c r="O130" s="235"/>
      <c r="P130" s="235"/>
      <c r="Q130" s="242"/>
    </row>
    <row r="131" spans="1:17" x14ac:dyDescent="0.25">
      <c r="A131" s="235"/>
      <c r="B131" s="235"/>
      <c r="C131" s="348"/>
      <c r="D131" s="348"/>
      <c r="E131" s="348"/>
      <c r="F131" s="348"/>
      <c r="G131" s="393"/>
      <c r="H131" s="393"/>
      <c r="I131" s="348"/>
      <c r="J131" s="348"/>
      <c r="K131" s="348"/>
      <c r="L131" s="239"/>
      <c r="M131" s="397"/>
      <c r="N131" s="241"/>
      <c r="O131" s="235"/>
      <c r="P131" s="235"/>
      <c r="Q131" s="242"/>
    </row>
    <row r="132" spans="1:17" x14ac:dyDescent="0.25">
      <c r="C132" s="75"/>
      <c r="D132" s="75"/>
      <c r="E132" s="75"/>
      <c r="F132" s="75"/>
      <c r="G132" s="82"/>
      <c r="H132" s="82"/>
      <c r="I132" s="75"/>
      <c r="J132" s="75"/>
      <c r="K132" s="75"/>
      <c r="M132" s="84"/>
    </row>
    <row r="133" spans="1:17" x14ac:dyDescent="0.25">
      <c r="C133" s="75"/>
      <c r="D133" s="75"/>
      <c r="E133" s="75"/>
      <c r="F133" s="75"/>
      <c r="G133" s="82"/>
      <c r="H133" s="82"/>
      <c r="I133" s="75"/>
      <c r="J133" s="75"/>
      <c r="K133" s="75"/>
      <c r="M133" s="84"/>
    </row>
    <row r="134" spans="1:17" x14ac:dyDescent="0.25">
      <c r="C134" s="75"/>
      <c r="D134" s="75"/>
      <c r="E134" s="75"/>
      <c r="F134" s="75"/>
      <c r="G134" s="82"/>
      <c r="H134" s="82"/>
      <c r="I134" s="75"/>
      <c r="J134" s="75"/>
      <c r="K134" s="75"/>
      <c r="M134" s="84"/>
    </row>
    <row r="135" spans="1:17" x14ac:dyDescent="0.25">
      <c r="C135" s="75"/>
      <c r="D135" s="75"/>
      <c r="E135" s="75"/>
      <c r="F135" s="75"/>
      <c r="G135" s="82"/>
      <c r="H135" s="82"/>
      <c r="I135" s="75"/>
      <c r="J135" s="75"/>
      <c r="K135" s="75"/>
      <c r="M135" s="84"/>
    </row>
    <row r="136" spans="1:17" x14ac:dyDescent="0.25">
      <c r="C136" s="75"/>
      <c r="D136" s="75"/>
      <c r="E136" s="75"/>
      <c r="F136" s="75"/>
      <c r="G136" s="82"/>
      <c r="H136" s="82"/>
      <c r="I136" s="75"/>
      <c r="J136" s="75"/>
      <c r="K136" s="75"/>
      <c r="M136" s="84"/>
    </row>
    <row r="137" spans="1:17" x14ac:dyDescent="0.25">
      <c r="C137" s="75"/>
      <c r="D137" s="75"/>
      <c r="E137" s="75"/>
      <c r="F137" s="75"/>
      <c r="G137" s="82"/>
      <c r="H137" s="82"/>
      <c r="I137" s="75"/>
      <c r="J137" s="75"/>
      <c r="K137" s="75"/>
      <c r="M137" s="84"/>
    </row>
    <row r="138" spans="1:17" x14ac:dyDescent="0.25">
      <c r="C138" s="75"/>
      <c r="D138" s="75"/>
      <c r="E138" s="75"/>
      <c r="F138" s="75"/>
      <c r="G138" s="82"/>
      <c r="H138" s="82"/>
      <c r="I138" s="75"/>
      <c r="J138" s="75"/>
      <c r="K138" s="75"/>
      <c r="M138" s="84"/>
    </row>
    <row r="139" spans="1:17" x14ac:dyDescent="0.25">
      <c r="C139" s="75"/>
      <c r="D139" s="75"/>
      <c r="E139" s="75"/>
      <c r="F139" s="75"/>
      <c r="G139" s="82"/>
      <c r="H139" s="82"/>
      <c r="I139" s="75"/>
      <c r="J139" s="75"/>
      <c r="K139" s="75"/>
      <c r="M139" s="84"/>
    </row>
    <row r="140" spans="1:17" x14ac:dyDescent="0.25">
      <c r="C140" s="75"/>
      <c r="D140" s="75"/>
      <c r="E140" s="75"/>
      <c r="F140" s="75"/>
      <c r="G140" s="82"/>
      <c r="H140" s="82"/>
      <c r="I140" s="75"/>
      <c r="J140" s="75"/>
      <c r="K140" s="75"/>
      <c r="M140" s="84"/>
    </row>
    <row r="141" spans="1:17" x14ac:dyDescent="0.25">
      <c r="C141" s="75"/>
      <c r="D141" s="75"/>
      <c r="E141" s="75"/>
      <c r="F141" s="75"/>
      <c r="G141" s="82"/>
      <c r="H141" s="82"/>
      <c r="I141" s="75"/>
      <c r="J141" s="75"/>
      <c r="K141" s="75"/>
      <c r="M141" s="84"/>
    </row>
    <row r="142" spans="1:17" x14ac:dyDescent="0.25">
      <c r="C142" s="75"/>
      <c r="D142" s="75"/>
      <c r="E142" s="75"/>
      <c r="F142" s="75"/>
      <c r="G142" s="82"/>
      <c r="H142" s="82"/>
      <c r="I142" s="75"/>
      <c r="J142" s="75"/>
      <c r="K142" s="75"/>
      <c r="M142" s="84"/>
    </row>
    <row r="143" spans="1:17" x14ac:dyDescent="0.25">
      <c r="C143" s="75"/>
      <c r="D143" s="75"/>
      <c r="E143" s="75"/>
      <c r="F143" s="75"/>
      <c r="G143" s="82"/>
      <c r="H143" s="82"/>
      <c r="I143" s="75"/>
      <c r="J143" s="75"/>
      <c r="K143" s="75"/>
      <c r="M143" s="84"/>
    </row>
    <row r="144" spans="1:17" x14ac:dyDescent="0.25">
      <c r="C144" s="75"/>
      <c r="D144" s="75"/>
      <c r="E144" s="75"/>
      <c r="F144" s="75"/>
      <c r="G144" s="82"/>
      <c r="H144" s="82"/>
      <c r="I144" s="75"/>
      <c r="J144" s="75"/>
      <c r="K144" s="75"/>
      <c r="M144" s="84"/>
    </row>
    <row r="145" spans="3:13" x14ac:dyDescent="0.25">
      <c r="C145" s="75"/>
      <c r="D145" s="75"/>
      <c r="E145" s="75"/>
      <c r="F145" s="75"/>
      <c r="G145" s="82"/>
      <c r="H145" s="82"/>
      <c r="I145" s="75"/>
      <c r="J145" s="75"/>
      <c r="K145" s="75"/>
      <c r="M145" s="84"/>
    </row>
    <row r="146" spans="3:13" x14ac:dyDescent="0.25">
      <c r="C146" s="75"/>
      <c r="D146" s="75"/>
      <c r="E146" s="75"/>
      <c r="F146" s="75"/>
      <c r="G146" s="82"/>
      <c r="H146" s="82"/>
      <c r="I146" s="75"/>
      <c r="J146" s="75"/>
      <c r="K146" s="75"/>
      <c r="M146" s="84"/>
    </row>
    <row r="147" spans="3:13" x14ac:dyDescent="0.25">
      <c r="M147" s="84"/>
    </row>
    <row r="148" spans="3:13" x14ac:dyDescent="0.25">
      <c r="M148" s="84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1"/>
  <sheetViews>
    <sheetView topLeftCell="A147" workbookViewId="0">
      <selection activeCell="D18" sqref="D18"/>
    </sheetView>
  </sheetViews>
  <sheetFormatPr defaultColWidth="9.109375" defaultRowHeight="13.2" x14ac:dyDescent="0.25"/>
  <cols>
    <col min="1" max="1" width="2.109375" style="67" customWidth="1"/>
    <col min="2" max="2" width="27.5546875" style="67" customWidth="1"/>
    <col min="3" max="3" width="7.88671875" style="67" bestFit="1" customWidth="1"/>
    <col min="4" max="4" width="14.44140625" style="78" bestFit="1" customWidth="1"/>
    <col min="5" max="5" width="11" style="89" customWidth="1"/>
    <col min="6" max="6" width="16.5546875" style="86" customWidth="1"/>
    <col min="7" max="7" width="3" style="73" customWidth="1"/>
    <col min="8" max="8" width="17.33203125" style="90" bestFit="1" customWidth="1"/>
    <col min="9" max="9" width="17" style="86" customWidth="1"/>
    <col min="10" max="10" width="2.5546875" style="86" customWidth="1"/>
    <col min="11" max="11" width="13" style="86" customWidth="1"/>
    <col min="12" max="12" width="13.5546875" style="88" customWidth="1"/>
    <col min="13" max="13" width="2" style="68" customWidth="1"/>
    <col min="14" max="14" width="2.109375" style="87" customWidth="1"/>
    <col min="15" max="15" width="16.44140625" style="67" bestFit="1" customWidth="1"/>
    <col min="16" max="16" width="2.6640625" style="67" customWidth="1"/>
    <col min="17" max="17" width="9.33203125" style="67" bestFit="1" customWidth="1"/>
    <col min="18" max="16384" width="9.109375" style="67"/>
  </cols>
  <sheetData>
    <row r="1" spans="1:17" ht="12.75" x14ac:dyDescent="0.2">
      <c r="A1" s="235"/>
      <c r="B1" s="243"/>
      <c r="C1" s="243"/>
      <c r="D1" s="245"/>
      <c r="E1" s="400"/>
      <c r="F1" s="244"/>
      <c r="G1" s="401"/>
      <c r="H1" s="402"/>
      <c r="I1" s="244"/>
      <c r="J1" s="244"/>
      <c r="K1" s="244"/>
      <c r="L1" s="248"/>
      <c r="M1" s="248"/>
      <c r="N1" s="250"/>
      <c r="O1" s="243"/>
      <c r="P1" s="243"/>
      <c r="Q1" s="243"/>
    </row>
    <row r="2" spans="1:17" ht="12.75" x14ac:dyDescent="0.2">
      <c r="A2" s="235"/>
      <c r="B2" s="102" t="s">
        <v>17</v>
      </c>
      <c r="C2" s="102"/>
      <c r="D2" s="402"/>
      <c r="E2" s="244"/>
      <c r="F2" s="244"/>
      <c r="G2" s="402"/>
      <c r="H2" s="402"/>
      <c r="I2" s="244"/>
      <c r="J2" s="244"/>
      <c r="K2" s="244"/>
      <c r="L2" s="244"/>
      <c r="M2" s="248"/>
      <c r="N2" s="250"/>
      <c r="O2" s="243"/>
      <c r="P2" s="243"/>
      <c r="Q2" s="243"/>
    </row>
    <row r="3" spans="1:17" ht="12.75" x14ac:dyDescent="0.2">
      <c r="A3" s="235"/>
      <c r="B3" s="101" t="s">
        <v>351</v>
      </c>
      <c r="C3" s="102"/>
      <c r="D3" s="402"/>
      <c r="E3" s="244"/>
      <c r="F3" s="244"/>
      <c r="G3" s="402"/>
      <c r="H3" s="402"/>
      <c r="I3" s="244"/>
      <c r="J3" s="244"/>
      <c r="K3" s="244"/>
      <c r="L3" s="244"/>
      <c r="M3" s="248"/>
      <c r="N3" s="250"/>
      <c r="O3" s="243"/>
      <c r="P3" s="243"/>
      <c r="Q3" s="243"/>
    </row>
    <row r="4" spans="1:17" ht="12.75" x14ac:dyDescent="0.2">
      <c r="A4" s="235"/>
      <c r="B4" s="101" t="s">
        <v>352</v>
      </c>
      <c r="C4" s="102"/>
      <c r="D4" s="402"/>
      <c r="E4" s="244"/>
      <c r="F4" s="244"/>
      <c r="G4" s="402"/>
      <c r="H4" s="402"/>
      <c r="I4" s="244"/>
      <c r="J4" s="244"/>
      <c r="K4" s="244"/>
      <c r="L4" s="244"/>
      <c r="M4" s="248"/>
      <c r="N4" s="250"/>
      <c r="O4" s="243"/>
      <c r="P4" s="243"/>
      <c r="Q4" s="243"/>
    </row>
    <row r="5" spans="1:17" ht="12.75" x14ac:dyDescent="0.2">
      <c r="A5" s="235"/>
      <c r="B5" s="102" t="s">
        <v>206</v>
      </c>
      <c r="C5" s="102"/>
      <c r="D5" s="245"/>
      <c r="E5" s="400"/>
      <c r="F5" s="244"/>
      <c r="G5" s="401"/>
      <c r="H5" s="402"/>
      <c r="I5" s="244"/>
      <c r="J5" s="244"/>
      <c r="K5" s="244"/>
      <c r="L5" s="248"/>
      <c r="M5" s="248"/>
      <c r="N5" s="250"/>
      <c r="O5" s="251"/>
      <c r="P5" s="243"/>
      <c r="Q5" s="243"/>
    </row>
    <row r="6" spans="1:17" s="69" customFormat="1" ht="12.75" x14ac:dyDescent="0.2">
      <c r="A6" s="258"/>
      <c r="B6" s="403"/>
      <c r="C6" s="251"/>
      <c r="D6" s="301"/>
      <c r="E6" s="312"/>
      <c r="F6" s="369"/>
      <c r="G6" s="287"/>
      <c r="H6" s="341"/>
      <c r="I6" s="369"/>
      <c r="J6" s="369"/>
      <c r="K6" s="369"/>
      <c r="L6" s="404"/>
      <c r="M6" s="271"/>
      <c r="N6" s="271"/>
      <c r="O6" s="258"/>
      <c r="P6" s="258"/>
      <c r="Q6" s="258"/>
    </row>
    <row r="7" spans="1:17" ht="12.75" x14ac:dyDescent="0.2">
      <c r="A7" s="235"/>
      <c r="B7" s="259"/>
      <c r="C7" s="260"/>
      <c r="D7" s="405" t="s">
        <v>22</v>
      </c>
      <c r="E7" s="120" t="s">
        <v>161</v>
      </c>
      <c r="F7" s="262"/>
      <c r="G7" s="405"/>
      <c r="H7" s="406" t="s">
        <v>162</v>
      </c>
      <c r="I7" s="262"/>
      <c r="J7" s="265"/>
      <c r="K7" s="661" t="s">
        <v>207</v>
      </c>
      <c r="L7" s="662"/>
      <c r="M7" s="271"/>
      <c r="N7" s="250"/>
      <c r="O7" s="124" t="s">
        <v>23</v>
      </c>
      <c r="P7" s="235"/>
      <c r="Q7" s="125" t="s">
        <v>208</v>
      </c>
    </row>
    <row r="8" spans="1:17" ht="12.75" x14ac:dyDescent="0.2">
      <c r="A8" s="235"/>
      <c r="B8" s="267" t="s">
        <v>24</v>
      </c>
      <c r="C8" s="407" t="s">
        <v>25</v>
      </c>
      <c r="D8" s="408" t="s">
        <v>26</v>
      </c>
      <c r="E8" s="409" t="s">
        <v>27</v>
      </c>
      <c r="F8" s="269" t="s">
        <v>28</v>
      </c>
      <c r="G8" s="408"/>
      <c r="H8" s="321" t="s">
        <v>27</v>
      </c>
      <c r="I8" s="269" t="s">
        <v>28</v>
      </c>
      <c r="J8" s="269"/>
      <c r="K8" s="269" t="s">
        <v>209</v>
      </c>
      <c r="L8" s="410" t="s">
        <v>210</v>
      </c>
      <c r="M8" s="271"/>
      <c r="N8" s="131"/>
      <c r="O8" s="132" t="s">
        <v>211</v>
      </c>
      <c r="P8" s="235"/>
      <c r="Q8" s="133" t="s">
        <v>29</v>
      </c>
    </row>
    <row r="9" spans="1:17" ht="12.75" x14ac:dyDescent="0.2">
      <c r="A9" s="258"/>
      <c r="B9" s="316"/>
      <c r="C9" s="305"/>
      <c r="D9" s="287"/>
      <c r="E9" s="312"/>
      <c r="F9" s="369"/>
      <c r="G9" s="337"/>
      <c r="H9" s="341"/>
      <c r="I9" s="302"/>
      <c r="J9" s="302"/>
      <c r="K9" s="369"/>
      <c r="L9" s="411"/>
      <c r="M9" s="271"/>
      <c r="N9" s="404"/>
      <c r="O9" s="258"/>
      <c r="P9" s="235"/>
      <c r="Q9" s="235"/>
    </row>
    <row r="10" spans="1:17" ht="15" x14ac:dyDescent="0.25">
      <c r="A10" s="235"/>
      <c r="B10" s="276" t="s">
        <v>245</v>
      </c>
      <c r="C10" s="412"/>
      <c r="D10" s="280"/>
      <c r="E10" s="413"/>
      <c r="F10" s="279"/>
      <c r="G10" s="414"/>
      <c r="H10" s="415"/>
      <c r="I10" s="416"/>
      <c r="J10" s="416"/>
      <c r="K10" s="279"/>
      <c r="L10" s="417"/>
      <c r="M10" s="271"/>
      <c r="N10" s="271"/>
      <c r="O10" s="290" t="s">
        <v>246</v>
      </c>
      <c r="P10" s="235"/>
      <c r="Q10" s="235"/>
    </row>
    <row r="11" spans="1:17" ht="12.75" x14ac:dyDescent="0.2">
      <c r="A11" s="235"/>
      <c r="B11" s="284"/>
      <c r="C11" s="258"/>
      <c r="D11" s="287"/>
      <c r="E11" s="312"/>
      <c r="F11" s="286"/>
      <c r="G11" s="337"/>
      <c r="H11" s="341"/>
      <c r="I11" s="327"/>
      <c r="J11" s="302"/>
      <c r="K11" s="286"/>
      <c r="L11" s="418"/>
      <c r="M11" s="271"/>
      <c r="N11" s="271"/>
      <c r="O11" s="296">
        <v>-148896.05400749875</v>
      </c>
      <c r="P11" s="235"/>
      <c r="Q11" s="235"/>
    </row>
    <row r="12" spans="1:17" ht="12.75" x14ac:dyDescent="0.2">
      <c r="A12" s="235"/>
      <c r="B12" s="368" t="s">
        <v>30</v>
      </c>
      <c r="C12" s="419" t="s">
        <v>31</v>
      </c>
      <c r="D12" s="293">
        <v>329.72400330954827</v>
      </c>
      <c r="E12" s="294">
        <v>563.45000000000005</v>
      </c>
      <c r="F12" s="286">
        <f>ROUND(D12*E12,2)</f>
        <v>185782.99</v>
      </c>
      <c r="G12" s="287"/>
      <c r="H12" s="375">
        <f>ROUND(E12*(1+$O$18),2)</f>
        <v>548.57000000000005</v>
      </c>
      <c r="I12" s="327">
        <f>ROUND(D12*H12,2)</f>
        <v>180876.7</v>
      </c>
      <c r="J12" s="302"/>
      <c r="K12" s="286">
        <f>I12-F12</f>
        <v>-4906.289999999979</v>
      </c>
      <c r="L12" s="418"/>
      <c r="M12" s="271"/>
      <c r="N12" s="420"/>
      <c r="O12" s="300" t="s">
        <v>213</v>
      </c>
      <c r="P12" s="235"/>
      <c r="Q12" s="154">
        <f>H12/E12-1</f>
        <v>-2.6408731919424944E-2</v>
      </c>
    </row>
    <row r="13" spans="1:17" ht="12.75" x14ac:dyDescent="0.2">
      <c r="A13" s="235"/>
      <c r="B13" s="380" t="s">
        <v>39</v>
      </c>
      <c r="C13" s="297" t="s">
        <v>37</v>
      </c>
      <c r="D13" s="293">
        <v>110230.038</v>
      </c>
      <c r="E13" s="294">
        <v>1.1499999999999999</v>
      </c>
      <c r="F13" s="286">
        <f>ROUND(D13*E13,2)</f>
        <v>126764.54</v>
      </c>
      <c r="G13" s="287"/>
      <c r="H13" s="294">
        <v>1.21</v>
      </c>
      <c r="I13" s="327">
        <f>ROUND(D13*H13,2)</f>
        <v>133378.35</v>
      </c>
      <c r="J13" s="302"/>
      <c r="K13" s="286">
        <f>I13-F13</f>
        <v>6613.8100000000122</v>
      </c>
      <c r="L13" s="418"/>
      <c r="M13" s="271"/>
      <c r="N13" s="420"/>
      <c r="O13" s="421">
        <f>K21+K43-O11</f>
        <v>-8.2308864813821856</v>
      </c>
      <c r="P13" s="235"/>
      <c r="Q13" s="154">
        <f>H13/E13-1</f>
        <v>5.2173913043478404E-2</v>
      </c>
    </row>
    <row r="14" spans="1:17" ht="12.75" x14ac:dyDescent="0.2">
      <c r="A14" s="235"/>
      <c r="B14" s="284" t="s">
        <v>36</v>
      </c>
      <c r="C14" s="297" t="s">
        <v>33</v>
      </c>
      <c r="D14" s="287">
        <f>D21</f>
        <v>17139795.438999999</v>
      </c>
      <c r="E14" s="298">
        <v>6.8199999999999997E-3</v>
      </c>
      <c r="F14" s="286">
        <f>E14*D14</f>
        <v>116893.40489397998</v>
      </c>
      <c r="G14" s="287"/>
      <c r="H14" s="298">
        <v>7.4700000000000001E-3</v>
      </c>
      <c r="I14" s="327">
        <f>ROUND(D14*H14,2)</f>
        <v>128034.27</v>
      </c>
      <c r="J14" s="369"/>
      <c r="K14" s="286">
        <f>I14-F14</f>
        <v>11140.865106020021</v>
      </c>
      <c r="L14" s="418"/>
      <c r="M14" s="271"/>
      <c r="N14" s="420"/>
      <c r="O14" s="308"/>
      <c r="P14" s="235"/>
      <c r="Q14" s="154">
        <f>H14/E14-1</f>
        <v>9.5307917888563187E-2</v>
      </c>
    </row>
    <row r="15" spans="1:17" ht="12.75" x14ac:dyDescent="0.2">
      <c r="A15" s="235"/>
      <c r="B15" s="380" t="s">
        <v>47</v>
      </c>
      <c r="C15" s="297"/>
      <c r="D15" s="287"/>
      <c r="E15" s="334"/>
      <c r="F15" s="422">
        <v>35324.22</v>
      </c>
      <c r="G15" s="287"/>
      <c r="H15" s="349"/>
      <c r="I15" s="350">
        <f>F15</f>
        <v>35324.22</v>
      </c>
      <c r="J15" s="369"/>
      <c r="K15" s="286">
        <f>I15-F15</f>
        <v>0</v>
      </c>
      <c r="L15" s="418"/>
      <c r="M15" s="271"/>
      <c r="N15" s="271"/>
      <c r="O15" s="308"/>
      <c r="P15" s="235"/>
      <c r="Q15" s="235"/>
    </row>
    <row r="16" spans="1:17" ht="12.75" x14ac:dyDescent="0.2">
      <c r="A16" s="235"/>
      <c r="B16" s="284"/>
      <c r="C16" s="258"/>
      <c r="D16" s="287"/>
      <c r="E16" s="334"/>
      <c r="F16" s="286"/>
      <c r="G16" s="287"/>
      <c r="H16" s="349"/>
      <c r="I16" s="327"/>
      <c r="J16" s="302"/>
      <c r="K16" s="286"/>
      <c r="L16" s="418"/>
      <c r="M16" s="271"/>
      <c r="N16" s="271"/>
      <c r="O16" s="423"/>
      <c r="P16" s="235"/>
      <c r="Q16" s="235"/>
    </row>
    <row r="17" spans="1:17" ht="12.75" x14ac:dyDescent="0.2">
      <c r="A17" s="235"/>
      <c r="B17" s="380" t="s">
        <v>40</v>
      </c>
      <c r="C17" s="258"/>
      <c r="D17" s="287"/>
      <c r="E17" s="334"/>
      <c r="F17" s="286"/>
      <c r="G17" s="287"/>
      <c r="H17" s="349"/>
      <c r="I17" s="327"/>
      <c r="J17" s="302"/>
      <c r="K17" s="286"/>
      <c r="L17" s="418"/>
      <c r="M17" s="271"/>
      <c r="N17" s="271"/>
      <c r="O17" s="423"/>
      <c r="P17" s="235"/>
      <c r="Q17" s="235"/>
    </row>
    <row r="18" spans="1:17" ht="12.75" x14ac:dyDescent="0.2">
      <c r="A18" s="235"/>
      <c r="B18" s="284" t="s">
        <v>48</v>
      </c>
      <c r="C18" s="297" t="s">
        <v>33</v>
      </c>
      <c r="D18" s="293">
        <v>7604132.790000001</v>
      </c>
      <c r="E18" s="298">
        <v>0.10206</v>
      </c>
      <c r="F18" s="286">
        <f>ROUND(D18*E18,2)</f>
        <v>776077.79</v>
      </c>
      <c r="G18" s="287"/>
      <c r="H18" s="299">
        <f>ROUND(E18*(1+$O$18),5)</f>
        <v>9.9360000000000004E-2</v>
      </c>
      <c r="I18" s="327">
        <f>ROUND(D18*H18,2)</f>
        <v>755546.63</v>
      </c>
      <c r="J18" s="302"/>
      <c r="K18" s="286">
        <f>I18-F18</f>
        <v>-20531.160000000033</v>
      </c>
      <c r="L18" s="418"/>
      <c r="M18" s="271"/>
      <c r="N18" s="420"/>
      <c r="O18" s="311">
        <v>-2.6406574664256333E-2</v>
      </c>
      <c r="P18" s="424"/>
      <c r="Q18" s="154">
        <f>H18/E18-1</f>
        <v>-2.6455026455026398E-2</v>
      </c>
    </row>
    <row r="19" spans="1:17" ht="12.75" x14ac:dyDescent="0.2">
      <c r="A19" s="235"/>
      <c r="B19" s="284" t="s">
        <v>49</v>
      </c>
      <c r="C19" s="297" t="s">
        <v>33</v>
      </c>
      <c r="D19" s="293">
        <v>4221473.3529999992</v>
      </c>
      <c r="E19" s="298">
        <v>5.0500000000000003E-2</v>
      </c>
      <c r="F19" s="286">
        <f>ROUND(D19*E19,2)</f>
        <v>213184.4</v>
      </c>
      <c r="G19" s="287"/>
      <c r="H19" s="299">
        <f>ROUND(E19*(1+$O$18),5)</f>
        <v>4.9169999999999998E-2</v>
      </c>
      <c r="I19" s="327">
        <f>ROUND(D19*H19,2)</f>
        <v>207569.84</v>
      </c>
      <c r="J19" s="302"/>
      <c r="K19" s="286">
        <f>I19-F19</f>
        <v>-5614.5599999999977</v>
      </c>
      <c r="L19" s="418"/>
      <c r="M19" s="271"/>
      <c r="N19" s="420"/>
      <c r="O19" s="334"/>
      <c r="P19" s="334"/>
      <c r="Q19" s="154">
        <f>H19/E19-1</f>
        <v>-2.6336633663366471E-2</v>
      </c>
    </row>
    <row r="20" spans="1:17" ht="12.75" x14ac:dyDescent="0.2">
      <c r="A20" s="235"/>
      <c r="B20" s="284" t="s">
        <v>50</v>
      </c>
      <c r="C20" s="297" t="s">
        <v>33</v>
      </c>
      <c r="D20" s="293">
        <v>5314189.2960000001</v>
      </c>
      <c r="E20" s="298">
        <v>4.8320000000000002E-2</v>
      </c>
      <c r="F20" s="286">
        <f>ROUND(D20*E20,2)</f>
        <v>256781.63</v>
      </c>
      <c r="G20" s="287"/>
      <c r="H20" s="299">
        <f>ROUND(E20*(1+$O$18),5)</f>
        <v>4.7039999999999998E-2</v>
      </c>
      <c r="I20" s="327">
        <f>ROUND(D20*H20,2)</f>
        <v>249979.46</v>
      </c>
      <c r="J20" s="302"/>
      <c r="K20" s="286">
        <f>I20-F20</f>
        <v>-6802.1700000000128</v>
      </c>
      <c r="L20" s="289"/>
      <c r="M20" s="271"/>
      <c r="N20" s="420"/>
      <c r="O20" s="334"/>
      <c r="P20" s="334"/>
      <c r="Q20" s="154">
        <f>H20/E20-1</f>
        <v>-2.6490066225165587E-2</v>
      </c>
    </row>
    <row r="21" spans="1:17" ht="12.75" x14ac:dyDescent="0.2">
      <c r="A21" s="235"/>
      <c r="B21" s="174" t="s">
        <v>216</v>
      </c>
      <c r="C21" s="305"/>
      <c r="D21" s="280">
        <f>SUM(D18:D20)</f>
        <v>17139795.438999999</v>
      </c>
      <c r="E21" s="369"/>
      <c r="F21" s="361">
        <f>SUM(F12:F20)</f>
        <v>1710808.9748939797</v>
      </c>
      <c r="G21" s="287"/>
      <c r="H21" s="341"/>
      <c r="I21" s="361">
        <f>SUM(I12:I20)</f>
        <v>1690709.47</v>
      </c>
      <c r="J21" s="302"/>
      <c r="K21" s="361">
        <f>SUM(K12:K20)</f>
        <v>-20099.504893979989</v>
      </c>
      <c r="L21" s="425">
        <f>K21/F21</f>
        <v>-1.174853837508397E-2</v>
      </c>
      <c r="M21" s="271"/>
      <c r="N21" s="271"/>
      <c r="O21" s="426"/>
      <c r="P21" s="363"/>
      <c r="Q21" s="364"/>
    </row>
    <row r="22" spans="1:17" ht="12.75" customHeight="1" x14ac:dyDescent="0.2">
      <c r="A22" s="235"/>
      <c r="B22" s="316"/>
      <c r="C22" s="305"/>
      <c r="D22" s="287"/>
      <c r="E22" s="369"/>
      <c r="F22" s="327"/>
      <c r="G22" s="287"/>
      <c r="H22" s="341"/>
      <c r="I22" s="327"/>
      <c r="J22" s="302"/>
      <c r="K22" s="286"/>
      <c r="L22" s="418"/>
      <c r="M22" s="271"/>
      <c r="N22" s="271"/>
      <c r="O22" s="427"/>
      <c r="P22" s="389"/>
      <c r="Q22" s="390"/>
    </row>
    <row r="23" spans="1:17" ht="12.75" customHeight="1" x14ac:dyDescent="0.2">
      <c r="A23" s="235"/>
      <c r="B23" s="142" t="s">
        <v>214</v>
      </c>
      <c r="C23" s="305"/>
      <c r="D23" s="287"/>
      <c r="E23" s="369"/>
      <c r="F23" s="327"/>
      <c r="G23" s="287"/>
      <c r="H23" s="341"/>
      <c r="I23" s="327"/>
      <c r="J23" s="302"/>
      <c r="K23" s="286"/>
      <c r="L23" s="418"/>
      <c r="M23" s="271"/>
      <c r="N23" s="271"/>
      <c r="O23" s="427"/>
      <c r="P23" s="389"/>
      <c r="Q23" s="390"/>
    </row>
    <row r="24" spans="1:17" ht="12.75" x14ac:dyDescent="0.2">
      <c r="A24" s="235"/>
      <c r="B24" s="380" t="s">
        <v>234</v>
      </c>
      <c r="C24" s="297" t="s">
        <v>33</v>
      </c>
      <c r="D24" s="428">
        <f>D21</f>
        <v>17139795.438999999</v>
      </c>
      <c r="E24" s="298">
        <v>0.35809000000000002</v>
      </c>
      <c r="F24" s="327">
        <f>D24*E24</f>
        <v>6137589.3487515105</v>
      </c>
      <c r="G24" s="429"/>
      <c r="H24" s="298">
        <v>0.39240999999999998</v>
      </c>
      <c r="I24" s="327">
        <f>$D24*H24</f>
        <v>6725827.1282179896</v>
      </c>
      <c r="J24" s="302"/>
      <c r="K24" s="286">
        <f>I24-F24</f>
        <v>588237.77946647909</v>
      </c>
      <c r="L24" s="418"/>
      <c r="M24" s="271"/>
      <c r="N24" s="430"/>
      <c r="O24" s="235"/>
      <c r="P24" s="235"/>
      <c r="Q24" s="235"/>
    </row>
    <row r="25" spans="1:17" ht="12.75" x14ac:dyDescent="0.2">
      <c r="A25" s="235"/>
      <c r="B25" s="380" t="s">
        <v>39</v>
      </c>
      <c r="C25" s="297" t="s">
        <v>37</v>
      </c>
      <c r="D25" s="428">
        <f>D13</f>
        <v>110230.038</v>
      </c>
      <c r="E25" s="294">
        <v>1.05</v>
      </c>
      <c r="F25" s="327">
        <f>D25*E25</f>
        <v>115741.5399</v>
      </c>
      <c r="G25" s="429"/>
      <c r="H25" s="294">
        <v>1.05</v>
      </c>
      <c r="I25" s="327">
        <f>$D25*H25</f>
        <v>115741.5399</v>
      </c>
      <c r="J25" s="302"/>
      <c r="K25" s="286">
        <f>I25-F25</f>
        <v>0</v>
      </c>
      <c r="L25" s="289"/>
      <c r="M25" s="271"/>
      <c r="N25" s="271"/>
      <c r="O25" s="235"/>
      <c r="P25" s="235"/>
      <c r="Q25" s="235"/>
    </row>
    <row r="26" spans="1:17" ht="12.75" x14ac:dyDescent="0.2">
      <c r="A26" s="235"/>
      <c r="B26" s="368" t="s">
        <v>235</v>
      </c>
      <c r="C26" s="305"/>
      <c r="D26" s="288"/>
      <c r="E26" s="369"/>
      <c r="F26" s="361">
        <f>SUM(F24:F25)</f>
        <v>6253330.8886515107</v>
      </c>
      <c r="G26" s="288"/>
      <c r="H26" s="341"/>
      <c r="I26" s="361">
        <f>SUM(I24:I25)</f>
        <v>6841568.6681179898</v>
      </c>
      <c r="J26" s="369"/>
      <c r="K26" s="361">
        <f>SUM(K24:K25)</f>
        <v>588237.77946647909</v>
      </c>
      <c r="L26" s="425">
        <f>ROUND(K26/F26,5)</f>
        <v>9.4070000000000001E-2</v>
      </c>
      <c r="M26" s="271"/>
      <c r="N26" s="271"/>
      <c r="O26" s="427"/>
      <c r="P26" s="389"/>
      <c r="Q26" s="390"/>
    </row>
    <row r="27" spans="1:17" ht="12.75" x14ac:dyDescent="0.2">
      <c r="A27" s="235"/>
      <c r="B27" s="284"/>
      <c r="C27" s="258"/>
      <c r="D27" s="287"/>
      <c r="E27" s="341"/>
      <c r="F27" s="327"/>
      <c r="G27" s="287"/>
      <c r="H27" s="341"/>
      <c r="I27" s="327"/>
      <c r="J27" s="302"/>
      <c r="K27" s="286"/>
      <c r="L27" s="289"/>
      <c r="M27" s="271"/>
      <c r="N27" s="271"/>
      <c r="O27" s="235"/>
      <c r="P27" s="235"/>
      <c r="Q27" s="235"/>
    </row>
    <row r="28" spans="1:17" ht="12.75" x14ac:dyDescent="0.2">
      <c r="A28" s="235"/>
      <c r="B28" s="284" t="s">
        <v>215</v>
      </c>
      <c r="C28" s="258"/>
      <c r="D28" s="287"/>
      <c r="E28" s="349"/>
      <c r="F28" s="361">
        <f>F21+F26</f>
        <v>7964139.8635454904</v>
      </c>
      <c r="G28" s="287"/>
      <c r="H28" s="341"/>
      <c r="I28" s="361">
        <f>I21+I26</f>
        <v>8532278.1381179895</v>
      </c>
      <c r="J28" s="302"/>
      <c r="K28" s="361">
        <f>K21+K26</f>
        <v>568138.2745724991</v>
      </c>
      <c r="L28" s="425">
        <f>K28/F28</f>
        <v>7.1337053882372964E-2</v>
      </c>
      <c r="M28" s="271"/>
      <c r="N28" s="271"/>
      <c r="O28" s="235"/>
      <c r="P28" s="235"/>
      <c r="Q28" s="235"/>
    </row>
    <row r="29" spans="1:17" ht="12.75" x14ac:dyDescent="0.2">
      <c r="A29" s="235"/>
      <c r="B29" s="284"/>
      <c r="C29" s="258"/>
      <c r="D29" s="301"/>
      <c r="E29" s="349"/>
      <c r="F29" s="295"/>
      <c r="G29" s="287"/>
      <c r="H29" s="341"/>
      <c r="I29" s="327"/>
      <c r="J29" s="302"/>
      <c r="K29" s="286"/>
      <c r="L29" s="289"/>
      <c r="M29" s="271"/>
      <c r="N29" s="271"/>
      <c r="O29" s="235"/>
      <c r="P29" s="235"/>
      <c r="Q29" s="235"/>
    </row>
    <row r="30" spans="1:17" ht="12.75" x14ac:dyDescent="0.2">
      <c r="A30" s="235"/>
      <c r="B30" s="318"/>
      <c r="C30" s="431"/>
      <c r="D30" s="432"/>
      <c r="E30" s="433"/>
      <c r="F30" s="325"/>
      <c r="G30" s="432"/>
      <c r="H30" s="434"/>
      <c r="I30" s="325"/>
      <c r="J30" s="435"/>
      <c r="K30" s="325"/>
      <c r="L30" s="326"/>
      <c r="M30" s="271"/>
      <c r="N30" s="271"/>
      <c r="O30" s="235"/>
      <c r="P30" s="235"/>
      <c r="Q30" s="235"/>
    </row>
    <row r="31" spans="1:17" ht="12.75" x14ac:dyDescent="0.2">
      <c r="A31" s="235"/>
      <c r="B31" s="288"/>
      <c r="C31" s="288"/>
      <c r="D31" s="287"/>
      <c r="E31" s="349"/>
      <c r="F31" s="295"/>
      <c r="G31" s="287"/>
      <c r="H31" s="341"/>
      <c r="I31" s="436"/>
      <c r="J31" s="437"/>
      <c r="K31" s="295"/>
      <c r="L31" s="373"/>
      <c r="M31" s="271"/>
      <c r="N31" s="271"/>
      <c r="O31" s="235"/>
      <c r="P31" s="235"/>
      <c r="Q31" s="235"/>
    </row>
    <row r="32" spans="1:17" ht="12.75" x14ac:dyDescent="0.2">
      <c r="A32" s="235"/>
      <c r="B32" s="276" t="s">
        <v>247</v>
      </c>
      <c r="C32" s="412"/>
      <c r="D32" s="280"/>
      <c r="E32" s="413"/>
      <c r="F32" s="279"/>
      <c r="G32" s="414"/>
      <c r="H32" s="415"/>
      <c r="I32" s="416"/>
      <c r="J32" s="416"/>
      <c r="K32" s="279"/>
      <c r="L32" s="417"/>
      <c r="M32" s="271"/>
      <c r="N32" s="271"/>
      <c r="O32" s="438"/>
      <c r="P32" s="374"/>
      <c r="Q32" s="287"/>
    </row>
    <row r="33" spans="1:17" ht="12.75" x14ac:dyDescent="0.2">
      <c r="A33" s="235"/>
      <c r="B33" s="284"/>
      <c r="C33" s="258"/>
      <c r="D33" s="287"/>
      <c r="E33" s="312"/>
      <c r="F33" s="286"/>
      <c r="G33" s="337"/>
      <c r="H33" s="341"/>
      <c r="I33" s="327"/>
      <c r="J33" s="302"/>
      <c r="K33" s="286"/>
      <c r="L33" s="418"/>
      <c r="M33" s="271"/>
      <c r="N33" s="271"/>
      <c r="O33" s="288"/>
      <c r="P33" s="288"/>
      <c r="Q33" s="287"/>
    </row>
    <row r="34" spans="1:17" ht="12.75" x14ac:dyDescent="0.2">
      <c r="A34" s="235"/>
      <c r="B34" s="368" t="s">
        <v>30</v>
      </c>
      <c r="C34" s="419" t="s">
        <v>31</v>
      </c>
      <c r="D34" s="293">
        <v>1264.063439933019</v>
      </c>
      <c r="E34" s="294">
        <v>901.5</v>
      </c>
      <c r="F34" s="286">
        <f>ROUND(D34*E34,2)</f>
        <v>1139553.19</v>
      </c>
      <c r="G34" s="287"/>
      <c r="H34" s="375">
        <f>ROUND(E34*(1+$O$18),2)</f>
        <v>877.69</v>
      </c>
      <c r="I34" s="327">
        <f>ROUND(D34*H34,2)</f>
        <v>1109455.8400000001</v>
      </c>
      <c r="J34" s="302"/>
      <c r="K34" s="286">
        <f>I34-F34</f>
        <v>-30097.34999999986</v>
      </c>
      <c r="L34" s="418"/>
      <c r="M34" s="271"/>
      <c r="N34" s="271"/>
      <c r="O34" s="374"/>
      <c r="P34" s="374"/>
      <c r="Q34" s="154">
        <f>H34/E34-1</f>
        <v>-2.6411536328341589E-2</v>
      </c>
    </row>
    <row r="35" spans="1:17" ht="12.75" x14ac:dyDescent="0.2">
      <c r="A35" s="235"/>
      <c r="B35" s="380" t="s">
        <v>39</v>
      </c>
      <c r="C35" s="297" t="s">
        <v>37</v>
      </c>
      <c r="D35" s="293">
        <v>748907.66700000013</v>
      </c>
      <c r="E35" s="294">
        <v>1.1499999999999999</v>
      </c>
      <c r="F35" s="286">
        <f>ROUND(D35*E35,2)</f>
        <v>861243.82</v>
      </c>
      <c r="G35" s="287"/>
      <c r="H35" s="341">
        <f>$H$13</f>
        <v>1.21</v>
      </c>
      <c r="I35" s="327">
        <f>ROUND(D35*H35,2)</f>
        <v>906178.28</v>
      </c>
      <c r="J35" s="302"/>
      <c r="K35" s="286">
        <f>I35-F35</f>
        <v>44934.460000000079</v>
      </c>
      <c r="L35" s="418"/>
      <c r="M35" s="271"/>
      <c r="N35" s="271"/>
      <c r="O35" s="356"/>
      <c r="P35" s="356"/>
      <c r="Q35" s="154">
        <f>H35/E35-1</f>
        <v>5.2173913043478404E-2</v>
      </c>
    </row>
    <row r="36" spans="1:17" ht="12.75" x14ac:dyDescent="0.2">
      <c r="A36" s="235"/>
      <c r="B36" s="380" t="s">
        <v>47</v>
      </c>
      <c r="C36" s="297"/>
      <c r="D36" s="293"/>
      <c r="E36" s="294"/>
      <c r="F36" s="439">
        <v>26487.829999999994</v>
      </c>
      <c r="G36" s="287"/>
      <c r="H36" s="341"/>
      <c r="I36" s="440">
        <f>F36</f>
        <v>26487.829999999994</v>
      </c>
      <c r="J36" s="302"/>
      <c r="K36" s="286">
        <f>I36-F36</f>
        <v>0</v>
      </c>
      <c r="L36" s="418"/>
      <c r="M36" s="271"/>
      <c r="N36" s="271"/>
      <c r="O36" s="356"/>
      <c r="P36" s="356"/>
      <c r="Q36" s="378"/>
    </row>
    <row r="37" spans="1:17" ht="12.75" x14ac:dyDescent="0.2">
      <c r="A37" s="235"/>
      <c r="B37" s="380"/>
      <c r="C37" s="297"/>
      <c r="D37" s="293"/>
      <c r="E37" s="298"/>
      <c r="F37" s="258"/>
      <c r="G37" s="287"/>
      <c r="H37" s="349"/>
      <c r="I37" s="258"/>
      <c r="J37" s="369"/>
      <c r="K37" s="286"/>
      <c r="L37" s="418"/>
      <c r="M37" s="271"/>
      <c r="N37" s="271"/>
      <c r="O37" s="288"/>
      <c r="P37" s="356"/>
      <c r="Q37" s="287"/>
    </row>
    <row r="38" spans="1:17" ht="12.75" x14ac:dyDescent="0.2">
      <c r="A38" s="235"/>
      <c r="B38" s="284"/>
      <c r="C38" s="258"/>
      <c r="D38" s="293"/>
      <c r="E38" s="298"/>
      <c r="F38" s="286"/>
      <c r="G38" s="287"/>
      <c r="H38" s="349"/>
      <c r="I38" s="327"/>
      <c r="J38" s="302"/>
      <c r="K38" s="286"/>
      <c r="L38" s="418"/>
      <c r="M38" s="271"/>
      <c r="N38" s="271"/>
      <c r="O38" s="297"/>
      <c r="P38" s="288"/>
      <c r="Q38" s="287"/>
    </row>
    <row r="39" spans="1:17" ht="12.75" x14ac:dyDescent="0.2">
      <c r="A39" s="235"/>
      <c r="B39" s="380" t="s">
        <v>40</v>
      </c>
      <c r="C39" s="258"/>
      <c r="D39" s="293"/>
      <c r="E39" s="298"/>
      <c r="F39" s="286"/>
      <c r="G39" s="287"/>
      <c r="H39" s="349"/>
      <c r="I39" s="327"/>
      <c r="J39" s="302"/>
      <c r="K39" s="286"/>
      <c r="L39" s="418"/>
      <c r="M39" s="271"/>
      <c r="N39" s="271"/>
      <c r="O39" s="288"/>
      <c r="P39" s="288"/>
      <c r="Q39" s="287"/>
    </row>
    <row r="40" spans="1:17" ht="12.75" x14ac:dyDescent="0.2">
      <c r="A40" s="235"/>
      <c r="B40" s="284" t="s">
        <v>48</v>
      </c>
      <c r="C40" s="297" t="s">
        <v>33</v>
      </c>
      <c r="D40" s="293">
        <v>28841779.980000004</v>
      </c>
      <c r="E40" s="298">
        <v>0.10206</v>
      </c>
      <c r="F40" s="286">
        <f>ROUND(D40*E40,2)</f>
        <v>2943592.06</v>
      </c>
      <c r="G40" s="287"/>
      <c r="H40" s="299">
        <f>H18</f>
        <v>9.9360000000000004E-2</v>
      </c>
      <c r="I40" s="327">
        <f>ROUND(D40*H40,2)</f>
        <v>2865719.26</v>
      </c>
      <c r="J40" s="302"/>
      <c r="K40" s="286">
        <f>I40-F40</f>
        <v>-77872.800000000279</v>
      </c>
      <c r="L40" s="418"/>
      <c r="M40" s="271"/>
      <c r="N40" s="271"/>
      <c r="O40" s="356"/>
      <c r="P40" s="288"/>
      <c r="Q40" s="154">
        <f>H40/E40-1</f>
        <v>-2.6455026455026398E-2</v>
      </c>
    </row>
    <row r="41" spans="1:17" ht="12.75" x14ac:dyDescent="0.2">
      <c r="A41" s="235"/>
      <c r="B41" s="284" t="s">
        <v>49</v>
      </c>
      <c r="C41" s="297" t="s">
        <v>33</v>
      </c>
      <c r="D41" s="293">
        <v>19041755.700000003</v>
      </c>
      <c r="E41" s="298">
        <v>5.0500000000000003E-2</v>
      </c>
      <c r="F41" s="286">
        <f>ROUND(D41*E41,2)</f>
        <v>961608.66</v>
      </c>
      <c r="G41" s="287"/>
      <c r="H41" s="299">
        <f>H19</f>
        <v>4.9169999999999998E-2</v>
      </c>
      <c r="I41" s="327">
        <f>ROUND(D41*H41,2)</f>
        <v>936283.13</v>
      </c>
      <c r="J41" s="302"/>
      <c r="K41" s="286">
        <f>I41-F41</f>
        <v>-25325.530000000028</v>
      </c>
      <c r="L41" s="418"/>
      <c r="M41" s="271"/>
      <c r="N41" s="271"/>
      <c r="O41" s="288"/>
      <c r="P41" s="356"/>
      <c r="Q41" s="154">
        <f>H41/E41-1</f>
        <v>-2.6336633663366471E-2</v>
      </c>
    </row>
    <row r="42" spans="1:17" ht="12.75" x14ac:dyDescent="0.2">
      <c r="A42" s="235"/>
      <c r="B42" s="380" t="s">
        <v>51</v>
      </c>
      <c r="C42" s="297" t="s">
        <v>33</v>
      </c>
      <c r="D42" s="293">
        <v>31596529.580000002</v>
      </c>
      <c r="E42" s="298">
        <v>4.8320000000000002E-2</v>
      </c>
      <c r="F42" s="325">
        <f>ROUND(D42*E42,2)</f>
        <v>1526744.31</v>
      </c>
      <c r="G42" s="287"/>
      <c r="H42" s="299">
        <f>H20</f>
        <v>4.7039999999999998E-2</v>
      </c>
      <c r="I42" s="327">
        <f>ROUND(D42*H42,2)</f>
        <v>1486300.75</v>
      </c>
      <c r="J42" s="302"/>
      <c r="K42" s="286">
        <f>I42-F42</f>
        <v>-40443.560000000056</v>
      </c>
      <c r="L42" s="289"/>
      <c r="M42" s="271"/>
      <c r="N42" s="271"/>
      <c r="O42" s="288"/>
      <c r="P42" s="356"/>
      <c r="Q42" s="154">
        <f>H42/E42-1</f>
        <v>-2.6490066225165587E-2</v>
      </c>
    </row>
    <row r="43" spans="1:17" ht="12.75" x14ac:dyDescent="0.2">
      <c r="A43" s="235"/>
      <c r="B43" s="174" t="s">
        <v>216</v>
      </c>
      <c r="C43" s="305"/>
      <c r="D43" s="280">
        <f>SUM(D40:D42)</f>
        <v>79480065.260000005</v>
      </c>
      <c r="E43" s="441"/>
      <c r="F43" s="361">
        <f>SUM(F34:F42)</f>
        <v>7459229.870000001</v>
      </c>
      <c r="G43" s="287"/>
      <c r="H43" s="341"/>
      <c r="I43" s="361">
        <f>SUM(I34:I42)</f>
        <v>7330425.0899999999</v>
      </c>
      <c r="J43" s="302"/>
      <c r="K43" s="361">
        <f>SUM(K34:K42)</f>
        <v>-128804.78000000014</v>
      </c>
      <c r="L43" s="425">
        <f>K43/F43</f>
        <v>-1.726783893844528E-2</v>
      </c>
      <c r="M43" s="271"/>
      <c r="N43" s="271"/>
      <c r="O43" s="356"/>
      <c r="P43" s="356"/>
      <c r="Q43" s="301"/>
    </row>
    <row r="44" spans="1:17" ht="12.75" x14ac:dyDescent="0.2">
      <c r="A44" s="235"/>
      <c r="B44" s="316"/>
      <c r="C44" s="305"/>
      <c r="D44" s="287"/>
      <c r="E44" s="441"/>
      <c r="F44" s="327"/>
      <c r="G44" s="287"/>
      <c r="H44" s="341"/>
      <c r="I44" s="327"/>
      <c r="J44" s="302"/>
      <c r="K44" s="286"/>
      <c r="L44" s="418"/>
      <c r="M44" s="271"/>
      <c r="N44" s="271"/>
      <c r="O44" s="292"/>
      <c r="P44" s="288"/>
      <c r="Q44" s="287"/>
    </row>
    <row r="45" spans="1:17" ht="12.75" x14ac:dyDescent="0.2">
      <c r="A45" s="235"/>
      <c r="B45" s="380" t="s">
        <v>230</v>
      </c>
      <c r="C45" s="297" t="s">
        <v>33</v>
      </c>
      <c r="D45" s="428">
        <f>D43</f>
        <v>79480065.260000005</v>
      </c>
      <c r="E45" s="298">
        <v>6.9999999999999999E-4</v>
      </c>
      <c r="F45" s="327">
        <f>E45*D45</f>
        <v>55636.045682000004</v>
      </c>
      <c r="G45" s="429"/>
      <c r="H45" s="334">
        <v>6.9999999999999999E-4</v>
      </c>
      <c r="I45" s="286">
        <f>H45*D45</f>
        <v>55636.045682000004</v>
      </c>
      <c r="J45" s="302"/>
      <c r="K45" s="286">
        <f>I45-F45</f>
        <v>0</v>
      </c>
      <c r="L45" s="418"/>
      <c r="M45" s="271"/>
      <c r="N45" s="271"/>
      <c r="O45" s="292"/>
      <c r="P45" s="292"/>
      <c r="Q45" s="287"/>
    </row>
    <row r="46" spans="1:17" ht="12.75" x14ac:dyDescent="0.2">
      <c r="A46" s="235"/>
      <c r="B46" s="368" t="s">
        <v>215</v>
      </c>
      <c r="C46" s="258"/>
      <c r="D46" s="287"/>
      <c r="E46" s="333"/>
      <c r="F46" s="361">
        <f>F45+F43</f>
        <v>7514865.915682001</v>
      </c>
      <c r="G46" s="288"/>
      <c r="H46" s="341"/>
      <c r="I46" s="361">
        <f>I45+I43</f>
        <v>7386061.1356819998</v>
      </c>
      <c r="J46" s="369"/>
      <c r="K46" s="361">
        <f>K45+K43</f>
        <v>-128804.78000000014</v>
      </c>
      <c r="L46" s="425">
        <f>ROUND(K46/F46,5)</f>
        <v>-1.7139999999999999E-2</v>
      </c>
      <c r="M46" s="271"/>
      <c r="N46" s="271"/>
      <c r="O46" s="442"/>
      <c r="P46" s="356"/>
      <c r="Q46" s="429"/>
    </row>
    <row r="47" spans="1:17" ht="12.75" x14ac:dyDescent="0.2">
      <c r="A47" s="235"/>
      <c r="B47" s="318"/>
      <c r="C47" s="431"/>
      <c r="D47" s="432"/>
      <c r="E47" s="433"/>
      <c r="F47" s="325"/>
      <c r="G47" s="432"/>
      <c r="H47" s="434"/>
      <c r="I47" s="443"/>
      <c r="J47" s="435"/>
      <c r="K47" s="325"/>
      <c r="L47" s="326"/>
      <c r="M47" s="271"/>
      <c r="N47" s="271"/>
      <c r="O47" s="288"/>
      <c r="P47" s="288"/>
      <c r="Q47" s="287"/>
    </row>
    <row r="48" spans="1:17" ht="12.75" x14ac:dyDescent="0.2">
      <c r="A48" s="235"/>
      <c r="B48" s="258"/>
      <c r="C48" s="258"/>
      <c r="D48" s="287"/>
      <c r="E48" s="312"/>
      <c r="F48" s="286"/>
      <c r="G48" s="287"/>
      <c r="H48" s="341"/>
      <c r="I48" s="327"/>
      <c r="J48" s="302"/>
      <c r="K48" s="286"/>
      <c r="L48" s="328"/>
      <c r="M48" s="271"/>
      <c r="N48" s="271"/>
      <c r="O48" s="288"/>
      <c r="P48" s="288"/>
      <c r="Q48" s="287"/>
    </row>
    <row r="49" spans="1:17" ht="12.75" x14ac:dyDescent="0.2">
      <c r="A49" s="235"/>
      <c r="B49" s="329" t="s">
        <v>248</v>
      </c>
      <c r="C49" s="412"/>
      <c r="D49" s="280"/>
      <c r="E49" s="413"/>
      <c r="F49" s="279"/>
      <c r="G49" s="414"/>
      <c r="H49" s="415"/>
      <c r="I49" s="416"/>
      <c r="J49" s="416"/>
      <c r="K49" s="279"/>
      <c r="L49" s="417"/>
      <c r="M49" s="271"/>
      <c r="N49" s="271"/>
      <c r="O49" s="288"/>
      <c r="P49" s="288"/>
      <c r="Q49" s="287"/>
    </row>
    <row r="50" spans="1:17" ht="12.75" x14ac:dyDescent="0.2">
      <c r="A50" s="235"/>
      <c r="B50" s="284"/>
      <c r="C50" s="258"/>
      <c r="D50" s="287"/>
      <c r="E50" s="349"/>
      <c r="F50" s="295"/>
      <c r="G50" s="337"/>
      <c r="H50" s="341"/>
      <c r="I50" s="436"/>
      <c r="J50" s="437"/>
      <c r="K50" s="295"/>
      <c r="L50" s="444"/>
      <c r="M50" s="445"/>
      <c r="N50" s="271"/>
      <c r="O50" s="288"/>
      <c r="P50" s="288"/>
      <c r="Q50" s="301"/>
    </row>
    <row r="51" spans="1:17" ht="12.75" x14ac:dyDescent="0.2">
      <c r="A51" s="235"/>
      <c r="B51" s="368" t="s">
        <v>30</v>
      </c>
      <c r="C51" s="419" t="s">
        <v>31</v>
      </c>
      <c r="D51" s="301">
        <f>D34+D12</f>
        <v>1593.7874432425674</v>
      </c>
      <c r="E51" s="333"/>
      <c r="F51" s="295">
        <f>F12+F34</f>
        <v>1325336.18</v>
      </c>
      <c r="G51" s="287"/>
      <c r="H51" s="341"/>
      <c r="I51" s="295">
        <f>I12+I34</f>
        <v>1290332.54</v>
      </c>
      <c r="J51" s="437"/>
      <c r="K51" s="295">
        <f>I51-F51</f>
        <v>-35003.639999999898</v>
      </c>
      <c r="L51" s="444"/>
      <c r="M51" s="445"/>
      <c r="N51" s="271"/>
      <c r="O51" s="288"/>
      <c r="P51" s="288"/>
      <c r="Q51" s="154"/>
    </row>
    <row r="52" spans="1:17" ht="12.75" x14ac:dyDescent="0.2">
      <c r="A52" s="235"/>
      <c r="B52" s="380" t="s">
        <v>39</v>
      </c>
      <c r="C52" s="297" t="s">
        <v>37</v>
      </c>
      <c r="D52" s="301">
        <f>D35+D13</f>
        <v>859137.70500000007</v>
      </c>
      <c r="E52" s="333"/>
      <c r="F52" s="295">
        <f>F13+F35</f>
        <v>988008.36</v>
      </c>
      <c r="G52" s="287"/>
      <c r="H52" s="341"/>
      <c r="I52" s="295">
        <f>I13+I35</f>
        <v>1039556.63</v>
      </c>
      <c r="J52" s="437"/>
      <c r="K52" s="295">
        <f>I52-F52</f>
        <v>51548.270000000019</v>
      </c>
      <c r="L52" s="444"/>
      <c r="M52" s="445"/>
      <c r="N52" s="271"/>
      <c r="O52" s="288"/>
      <c r="P52" s="288"/>
      <c r="Q52" s="154"/>
    </row>
    <row r="53" spans="1:17" ht="12.75" x14ac:dyDescent="0.2">
      <c r="A53" s="235"/>
      <c r="B53" s="380" t="s">
        <v>36</v>
      </c>
      <c r="C53" s="297" t="s">
        <v>33</v>
      </c>
      <c r="D53" s="301">
        <f>D36+D14</f>
        <v>17139795.438999999</v>
      </c>
      <c r="E53" s="333"/>
      <c r="F53" s="295">
        <f>F14</f>
        <v>116893.40489397998</v>
      </c>
      <c r="G53" s="287"/>
      <c r="H53" s="341"/>
      <c r="I53" s="295">
        <f>I14</f>
        <v>128034.27</v>
      </c>
      <c r="J53" s="437"/>
      <c r="K53" s="295">
        <f>I53-F53</f>
        <v>11140.865106020021</v>
      </c>
      <c r="L53" s="444"/>
      <c r="M53" s="445"/>
      <c r="N53" s="271"/>
      <c r="O53" s="288"/>
      <c r="P53" s="288"/>
      <c r="Q53" s="154"/>
    </row>
    <row r="54" spans="1:17" ht="12.75" x14ac:dyDescent="0.2">
      <c r="A54" s="235"/>
      <c r="B54" s="380" t="s">
        <v>47</v>
      </c>
      <c r="C54" s="297"/>
      <c r="D54" s="378"/>
      <c r="E54" s="333"/>
      <c r="F54" s="446">
        <f>F15+F36</f>
        <v>61812.049999999996</v>
      </c>
      <c r="G54" s="287"/>
      <c r="H54" s="341"/>
      <c r="I54" s="446">
        <f>I15+I36</f>
        <v>61812.049999999996</v>
      </c>
      <c r="J54" s="437"/>
      <c r="K54" s="295">
        <f>I54-F54</f>
        <v>0</v>
      </c>
      <c r="L54" s="444"/>
      <c r="M54" s="445"/>
      <c r="N54" s="271"/>
      <c r="O54" s="288"/>
      <c r="P54" s="288"/>
      <c r="Q54" s="301"/>
    </row>
    <row r="55" spans="1:17" ht="12.75" x14ac:dyDescent="0.2">
      <c r="A55" s="235"/>
      <c r="B55" s="380"/>
      <c r="C55" s="297"/>
      <c r="D55" s="287"/>
      <c r="E55" s="334"/>
      <c r="F55" s="288"/>
      <c r="G55" s="287"/>
      <c r="H55" s="349"/>
      <c r="I55" s="288"/>
      <c r="J55" s="341"/>
      <c r="K55" s="295"/>
      <c r="L55" s="444"/>
      <c r="M55" s="445"/>
      <c r="N55" s="271"/>
      <c r="O55" s="288"/>
      <c r="P55" s="288"/>
      <c r="Q55" s="301"/>
    </row>
    <row r="56" spans="1:17" ht="12.75" x14ac:dyDescent="0.2">
      <c r="A56" s="235"/>
      <c r="B56" s="380" t="s">
        <v>40</v>
      </c>
      <c r="C56" s="258"/>
      <c r="D56" s="287"/>
      <c r="E56" s="334"/>
      <c r="F56" s="295"/>
      <c r="G56" s="287"/>
      <c r="H56" s="349"/>
      <c r="I56" s="295"/>
      <c r="J56" s="437"/>
      <c r="K56" s="295"/>
      <c r="L56" s="444"/>
      <c r="M56" s="445"/>
      <c r="N56" s="271"/>
      <c r="O56" s="288"/>
      <c r="P56" s="288"/>
      <c r="Q56" s="301"/>
    </row>
    <row r="57" spans="1:17" ht="12.75" x14ac:dyDescent="0.2">
      <c r="A57" s="235"/>
      <c r="B57" s="284" t="s">
        <v>48</v>
      </c>
      <c r="C57" s="297" t="s">
        <v>33</v>
      </c>
      <c r="D57" s="301">
        <f>D40+D18</f>
        <v>36445912.770000003</v>
      </c>
      <c r="E57" s="334"/>
      <c r="F57" s="295">
        <f>F18+F40</f>
        <v>3719669.85</v>
      </c>
      <c r="G57" s="287"/>
      <c r="H57" s="334"/>
      <c r="I57" s="295">
        <f>I18+I40</f>
        <v>3621265.8899999997</v>
      </c>
      <c r="J57" s="437"/>
      <c r="K57" s="295">
        <f>I57-F57</f>
        <v>-98403.960000000428</v>
      </c>
      <c r="L57" s="444"/>
      <c r="M57" s="445"/>
      <c r="N57" s="271"/>
      <c r="O57" s="356"/>
      <c r="P57" s="288"/>
      <c r="Q57" s="301"/>
    </row>
    <row r="58" spans="1:17" ht="12.75" x14ac:dyDescent="0.2">
      <c r="A58" s="235"/>
      <c r="B58" s="284" t="s">
        <v>49</v>
      </c>
      <c r="C58" s="297" t="s">
        <v>33</v>
      </c>
      <c r="D58" s="301">
        <f>D41+D19</f>
        <v>23263229.053000003</v>
      </c>
      <c r="E58" s="334"/>
      <c r="F58" s="295">
        <f>F19+F41</f>
        <v>1174793.06</v>
      </c>
      <c r="G58" s="287"/>
      <c r="H58" s="334"/>
      <c r="I58" s="295">
        <f>I19+I41</f>
        <v>1143852.97</v>
      </c>
      <c r="J58" s="437"/>
      <c r="K58" s="295">
        <f>I58-F58</f>
        <v>-30940.090000000084</v>
      </c>
      <c r="L58" s="444"/>
      <c r="M58" s="445"/>
      <c r="N58" s="271"/>
      <c r="O58" s="356"/>
      <c r="P58" s="288"/>
      <c r="Q58" s="301"/>
    </row>
    <row r="59" spans="1:17" ht="12.75" x14ac:dyDescent="0.2">
      <c r="A59" s="235"/>
      <c r="B59" s="284" t="s">
        <v>50</v>
      </c>
      <c r="C59" s="297" t="s">
        <v>33</v>
      </c>
      <c r="D59" s="301">
        <f>D42+D20</f>
        <v>36910718.876000002</v>
      </c>
      <c r="E59" s="334"/>
      <c r="F59" s="324">
        <f>F20+F42</f>
        <v>1783525.94</v>
      </c>
      <c r="G59" s="287"/>
      <c r="H59" s="349"/>
      <c r="I59" s="324">
        <f>I20+I42</f>
        <v>1736280.21</v>
      </c>
      <c r="J59" s="437"/>
      <c r="K59" s="295">
        <f>I59-F59</f>
        <v>-47245.729999999981</v>
      </c>
      <c r="L59" s="353"/>
      <c r="M59" s="445"/>
      <c r="N59" s="271"/>
      <c r="O59" s="356"/>
      <c r="P59" s="288"/>
      <c r="Q59" s="301"/>
    </row>
    <row r="60" spans="1:17" ht="12.75" x14ac:dyDescent="0.2">
      <c r="A60" s="235"/>
      <c r="B60" s="174" t="s">
        <v>216</v>
      </c>
      <c r="C60" s="305"/>
      <c r="D60" s="280">
        <f>SUM(D57:D59)</f>
        <v>96619860.699000001</v>
      </c>
      <c r="E60" s="341"/>
      <c r="F60" s="447">
        <f>SUM(F51:F59)</f>
        <v>9170038.8448939789</v>
      </c>
      <c r="G60" s="287"/>
      <c r="H60" s="341"/>
      <c r="I60" s="447">
        <f>SUM(I51:I59)</f>
        <v>9021134.5599999987</v>
      </c>
      <c r="J60" s="437"/>
      <c r="K60" s="447">
        <f>SUM(K51:K59)</f>
        <v>-148904.28489398037</v>
      </c>
      <c r="L60" s="425">
        <f>K60/F60</f>
        <v>-1.6238130220886972E-2</v>
      </c>
      <c r="M60" s="445"/>
      <c r="N60" s="271"/>
      <c r="O60" s="356"/>
      <c r="P60" s="288"/>
      <c r="Q60" s="301"/>
    </row>
    <row r="61" spans="1:17" ht="12.75" x14ac:dyDescent="0.2">
      <c r="A61" s="235"/>
      <c r="B61" s="316"/>
      <c r="C61" s="305"/>
      <c r="D61" s="287"/>
      <c r="E61" s="341"/>
      <c r="F61" s="436"/>
      <c r="G61" s="287"/>
      <c r="H61" s="341"/>
      <c r="I61" s="436"/>
      <c r="J61" s="437"/>
      <c r="K61" s="295"/>
      <c r="L61" s="444"/>
      <c r="M61" s="445"/>
      <c r="N61" s="271"/>
      <c r="O61" s="356"/>
      <c r="P61" s="288"/>
      <c r="Q61" s="301"/>
    </row>
    <row r="62" spans="1:17" ht="12.75" x14ac:dyDescent="0.2">
      <c r="A62" s="235"/>
      <c r="B62" s="142" t="s">
        <v>214</v>
      </c>
      <c r="C62" s="305"/>
      <c r="D62" s="287"/>
      <c r="E62" s="341"/>
      <c r="F62" s="436"/>
      <c r="G62" s="287"/>
      <c r="H62" s="341"/>
      <c r="I62" s="436"/>
      <c r="J62" s="437"/>
      <c r="K62" s="295"/>
      <c r="L62" s="448"/>
      <c r="M62" s="445"/>
      <c r="N62" s="271"/>
      <c r="O62" s="356"/>
      <c r="P62" s="288"/>
      <c r="Q62" s="301"/>
    </row>
    <row r="63" spans="1:17" ht="12.75" x14ac:dyDescent="0.2">
      <c r="A63" s="235"/>
      <c r="B63" s="380" t="s">
        <v>234</v>
      </c>
      <c r="C63" s="305"/>
      <c r="D63" s="287">
        <f>D24</f>
        <v>17139795.438999999</v>
      </c>
      <c r="E63" s="341"/>
      <c r="F63" s="436">
        <f>F24</f>
        <v>6137589.3487515105</v>
      </c>
      <c r="G63" s="287"/>
      <c r="H63" s="341"/>
      <c r="I63" s="436">
        <f>I24</f>
        <v>6725827.1282179896</v>
      </c>
      <c r="J63" s="437"/>
      <c r="K63" s="295">
        <f>I63-F63</f>
        <v>588237.77946647909</v>
      </c>
      <c r="L63" s="444"/>
      <c r="M63" s="445"/>
      <c r="N63" s="271"/>
      <c r="O63" s="356"/>
      <c r="P63" s="288"/>
      <c r="Q63" s="301"/>
    </row>
    <row r="64" spans="1:17" ht="12.75" x14ac:dyDescent="0.2">
      <c r="A64" s="235"/>
      <c r="B64" s="380" t="s">
        <v>39</v>
      </c>
      <c r="C64" s="305"/>
      <c r="D64" s="287">
        <f>D25</f>
        <v>110230.038</v>
      </c>
      <c r="E64" s="341"/>
      <c r="F64" s="436">
        <f>F25</f>
        <v>115741.5399</v>
      </c>
      <c r="G64" s="287"/>
      <c r="H64" s="341"/>
      <c r="I64" s="436">
        <f>I25</f>
        <v>115741.5399</v>
      </c>
      <c r="J64" s="437"/>
      <c r="K64" s="295">
        <f>I64-F64</f>
        <v>0</v>
      </c>
      <c r="L64" s="444"/>
      <c r="M64" s="445"/>
      <c r="N64" s="271"/>
      <c r="O64" s="356"/>
      <c r="P64" s="288"/>
      <c r="Q64" s="301"/>
    </row>
    <row r="65" spans="1:17" ht="12.75" x14ac:dyDescent="0.2">
      <c r="A65" s="235"/>
      <c r="B65" s="380" t="s">
        <v>230</v>
      </c>
      <c r="C65" s="297" t="s">
        <v>33</v>
      </c>
      <c r="D65" s="301">
        <f>D45</f>
        <v>79480065.260000005</v>
      </c>
      <c r="E65" s="341"/>
      <c r="F65" s="436">
        <f>F45</f>
        <v>55636.045682000004</v>
      </c>
      <c r="G65" s="287"/>
      <c r="H65" s="341"/>
      <c r="I65" s="436">
        <f>I45</f>
        <v>55636.045682000004</v>
      </c>
      <c r="J65" s="437"/>
      <c r="K65" s="295">
        <f>I65-F65</f>
        <v>0</v>
      </c>
      <c r="L65" s="444"/>
      <c r="M65" s="445"/>
      <c r="N65" s="271"/>
      <c r="O65" s="356"/>
      <c r="P65" s="288"/>
      <c r="Q65" s="301"/>
    </row>
    <row r="66" spans="1:17" ht="12.75" x14ac:dyDescent="0.2">
      <c r="A66" s="235"/>
      <c r="B66" s="368" t="s">
        <v>235</v>
      </c>
      <c r="C66" s="305"/>
      <c r="D66" s="287"/>
      <c r="E66" s="341"/>
      <c r="F66" s="447">
        <f>SUM(F63:F65)</f>
        <v>6308966.9343335107</v>
      </c>
      <c r="G66" s="287"/>
      <c r="H66" s="341"/>
      <c r="I66" s="447">
        <f>SUM(I63:I65)</f>
        <v>6897204.7137999898</v>
      </c>
      <c r="J66" s="437"/>
      <c r="K66" s="447">
        <f>SUM(K63:K65)</f>
        <v>588237.77946647909</v>
      </c>
      <c r="L66" s="425">
        <f>K66/F66</f>
        <v>9.3238367800800886E-2</v>
      </c>
      <c r="M66" s="445"/>
      <c r="N66" s="271"/>
      <c r="O66" s="356"/>
      <c r="P66" s="288"/>
      <c r="Q66" s="301"/>
    </row>
    <row r="67" spans="1:17" ht="12.75" x14ac:dyDescent="0.2">
      <c r="A67" s="235"/>
      <c r="B67" s="316"/>
      <c r="C67" s="305"/>
      <c r="D67" s="287"/>
      <c r="E67" s="341"/>
      <c r="F67" s="436"/>
      <c r="G67" s="287"/>
      <c r="H67" s="341"/>
      <c r="I67" s="436"/>
      <c r="J67" s="437"/>
      <c r="K67" s="295"/>
      <c r="L67" s="444"/>
      <c r="M67" s="445"/>
      <c r="N67" s="271"/>
      <c r="O67" s="288"/>
      <c r="P67" s="288"/>
      <c r="Q67" s="287"/>
    </row>
    <row r="68" spans="1:17" ht="12.75" x14ac:dyDescent="0.2">
      <c r="A68" s="235"/>
      <c r="B68" s="284" t="s">
        <v>215</v>
      </c>
      <c r="C68" s="258"/>
      <c r="D68" s="287"/>
      <c r="E68" s="341"/>
      <c r="F68" s="447">
        <f>F60+F66</f>
        <v>15479005.77922749</v>
      </c>
      <c r="G68" s="287"/>
      <c r="H68" s="341"/>
      <c r="I68" s="447">
        <f>I60+I66</f>
        <v>15918339.273799989</v>
      </c>
      <c r="J68" s="437"/>
      <c r="K68" s="447">
        <f>K60+K66</f>
        <v>439333.49457249872</v>
      </c>
      <c r="L68" s="425">
        <f>K68/F68</f>
        <v>2.8382539604841762E-2</v>
      </c>
      <c r="M68" s="445"/>
      <c r="N68" s="271"/>
      <c r="O68" s="235"/>
      <c r="P68" s="235"/>
      <c r="Q68" s="235"/>
    </row>
    <row r="69" spans="1:17" ht="12.75" x14ac:dyDescent="0.2">
      <c r="A69" s="235"/>
      <c r="B69" s="318"/>
      <c r="C69" s="431"/>
      <c r="D69" s="432"/>
      <c r="E69" s="449"/>
      <c r="F69" s="324"/>
      <c r="G69" s="432"/>
      <c r="H69" s="434"/>
      <c r="I69" s="450"/>
      <c r="J69" s="451"/>
      <c r="K69" s="324"/>
      <c r="L69" s="371"/>
      <c r="M69" s="445"/>
      <c r="N69" s="271"/>
      <c r="O69" s="235"/>
      <c r="P69" s="235"/>
      <c r="Q69" s="235"/>
    </row>
    <row r="70" spans="1:17" ht="12.75" x14ac:dyDescent="0.2">
      <c r="A70" s="258"/>
      <c r="B70" s="258"/>
      <c r="C70" s="258"/>
      <c r="D70" s="287"/>
      <c r="E70" s="312"/>
      <c r="F70" s="286"/>
      <c r="G70" s="287"/>
      <c r="H70" s="341"/>
      <c r="I70" s="327"/>
      <c r="J70" s="302"/>
      <c r="K70" s="286"/>
      <c r="L70" s="328"/>
      <c r="M70" s="271"/>
      <c r="N70" s="271"/>
      <c r="O70" s="431"/>
      <c r="P70" s="235"/>
      <c r="Q70" s="235"/>
    </row>
    <row r="71" spans="1:17" ht="15" x14ac:dyDescent="0.25">
      <c r="A71" s="235"/>
      <c r="B71" s="276" t="s">
        <v>249</v>
      </c>
      <c r="C71" s="412"/>
      <c r="D71" s="280"/>
      <c r="E71" s="413"/>
      <c r="F71" s="279"/>
      <c r="G71" s="280"/>
      <c r="H71" s="415"/>
      <c r="I71" s="361"/>
      <c r="J71" s="416"/>
      <c r="K71" s="279"/>
      <c r="L71" s="282"/>
      <c r="M71" s="271"/>
      <c r="N71" s="452"/>
      <c r="O71" s="453" t="s">
        <v>250</v>
      </c>
      <c r="P71" s="235"/>
      <c r="Q71" s="235"/>
    </row>
    <row r="72" spans="1:17" ht="12.75" x14ac:dyDescent="0.2">
      <c r="A72" s="235"/>
      <c r="B72" s="284"/>
      <c r="C72" s="258"/>
      <c r="D72" s="287"/>
      <c r="E72" s="312"/>
      <c r="F72" s="286"/>
      <c r="G72" s="337"/>
      <c r="H72" s="341"/>
      <c r="I72" s="327"/>
      <c r="J72" s="302"/>
      <c r="K72" s="286"/>
      <c r="L72" s="418"/>
      <c r="M72" s="271"/>
      <c r="N72" s="452"/>
      <c r="O72" s="339">
        <v>-36090.447132685651</v>
      </c>
      <c r="P72" s="235"/>
      <c r="Q72" s="235"/>
    </row>
    <row r="73" spans="1:17" ht="12.75" x14ac:dyDescent="0.2">
      <c r="A73" s="235"/>
      <c r="B73" s="368" t="s">
        <v>30</v>
      </c>
      <c r="C73" s="419" t="s">
        <v>31</v>
      </c>
      <c r="D73" s="293">
        <v>2858.9139747435988</v>
      </c>
      <c r="E73" s="294">
        <v>144.01</v>
      </c>
      <c r="F73" s="286">
        <f>ROUND(D73*E73,2)</f>
        <v>411712.2</v>
      </c>
      <c r="G73" s="287"/>
      <c r="H73" s="375">
        <f>ROUND(E73*(1+$O$79),2)</f>
        <v>139.36000000000001</v>
      </c>
      <c r="I73" s="327">
        <f>ROUND(D73*H73,2)</f>
        <v>398418.25</v>
      </c>
      <c r="J73" s="302"/>
      <c r="K73" s="286">
        <f>I73-F73</f>
        <v>-13293.950000000012</v>
      </c>
      <c r="L73" s="418"/>
      <c r="M73" s="271"/>
      <c r="N73" s="420"/>
      <c r="O73" s="300" t="s">
        <v>213</v>
      </c>
      <c r="P73" s="235"/>
      <c r="Q73" s="154">
        <f>H73/E73-1</f>
        <v>-3.2289424345531392E-2</v>
      </c>
    </row>
    <row r="74" spans="1:17" ht="12.75" x14ac:dyDescent="0.2">
      <c r="A74" s="235"/>
      <c r="B74" s="380" t="s">
        <v>39</v>
      </c>
      <c r="C74" s="297" t="s">
        <v>37</v>
      </c>
      <c r="D74" s="293">
        <v>84423.830999999991</v>
      </c>
      <c r="E74" s="294">
        <v>1.1499999999999999</v>
      </c>
      <c r="F74" s="286">
        <f>ROUND(D74*E74,2)</f>
        <v>97087.41</v>
      </c>
      <c r="G74" s="287"/>
      <c r="H74" s="294">
        <v>1.22</v>
      </c>
      <c r="I74" s="327">
        <f>ROUND(D74*H74,2)</f>
        <v>102997.07</v>
      </c>
      <c r="J74" s="302"/>
      <c r="K74" s="286">
        <f>I74-F74</f>
        <v>5909.6600000000035</v>
      </c>
      <c r="L74" s="418"/>
      <c r="M74" s="271"/>
      <c r="N74" s="271"/>
      <c r="O74" s="421">
        <f>K81+K100-O72</f>
        <v>-73.622867314545147</v>
      </c>
      <c r="P74" s="235"/>
      <c r="Q74" s="154">
        <f>H74/E74-1</f>
        <v>6.0869565217391397E-2</v>
      </c>
    </row>
    <row r="75" spans="1:17" ht="12.75" x14ac:dyDescent="0.2">
      <c r="A75" s="235"/>
      <c r="B75" s="284" t="s">
        <v>36</v>
      </c>
      <c r="C75" s="297" t="s">
        <v>33</v>
      </c>
      <c r="D75" s="287">
        <f>D81</f>
        <v>9926029.5299999993</v>
      </c>
      <c r="E75" s="298">
        <v>6.8100000000000001E-3</v>
      </c>
      <c r="F75" s="286">
        <f>ROUND(D75*E75,2)</f>
        <v>67596.259999999995</v>
      </c>
      <c r="G75" s="287"/>
      <c r="H75" s="298">
        <v>9.0699999999999999E-3</v>
      </c>
      <c r="I75" s="327">
        <f>ROUND(D81*H75,2)</f>
        <v>90029.09</v>
      </c>
      <c r="J75" s="302"/>
      <c r="K75" s="286">
        <f>I75-F75</f>
        <v>22432.83</v>
      </c>
      <c r="L75" s="418"/>
      <c r="M75" s="271"/>
      <c r="N75" s="271"/>
      <c r="O75" s="235"/>
      <c r="P75" s="235"/>
      <c r="Q75" s="154">
        <f>H75/E75-1</f>
        <v>0.33186490455212914</v>
      </c>
    </row>
    <row r="76" spans="1:17" ht="12.75" x14ac:dyDescent="0.2">
      <c r="A76" s="235"/>
      <c r="B76" s="380" t="s">
        <v>47</v>
      </c>
      <c r="C76" s="258"/>
      <c r="D76" s="287"/>
      <c r="E76" s="298"/>
      <c r="F76" s="439">
        <v>32304.22</v>
      </c>
      <c r="G76" s="287"/>
      <c r="H76" s="349"/>
      <c r="I76" s="440">
        <f>F76</f>
        <v>32304.22</v>
      </c>
      <c r="J76" s="454"/>
      <c r="K76" s="286">
        <f>I76-F76</f>
        <v>0</v>
      </c>
      <c r="L76" s="418"/>
      <c r="M76" s="271"/>
      <c r="N76" s="271"/>
      <c r="O76" s="423"/>
      <c r="P76" s="235"/>
      <c r="Q76" s="235"/>
    </row>
    <row r="77" spans="1:17" ht="12.75" x14ac:dyDescent="0.2">
      <c r="A77" s="235"/>
      <c r="B77" s="284"/>
      <c r="C77" s="258"/>
      <c r="D77" s="287"/>
      <c r="E77" s="298"/>
      <c r="F77" s="286"/>
      <c r="G77" s="287"/>
      <c r="H77" s="349"/>
      <c r="I77" s="327"/>
      <c r="J77" s="302"/>
      <c r="K77" s="286"/>
      <c r="L77" s="418"/>
      <c r="M77" s="271"/>
      <c r="N77" s="420"/>
      <c r="O77" s="124"/>
      <c r="P77" s="389"/>
      <c r="Q77" s="389"/>
    </row>
    <row r="78" spans="1:17" ht="12.75" x14ac:dyDescent="0.2">
      <c r="A78" s="235"/>
      <c r="B78" s="380" t="s">
        <v>40</v>
      </c>
      <c r="C78" s="258"/>
      <c r="D78" s="287"/>
      <c r="E78" s="298"/>
      <c r="F78" s="286"/>
      <c r="G78" s="287"/>
      <c r="H78" s="349"/>
      <c r="I78" s="327"/>
      <c r="J78" s="302"/>
      <c r="K78" s="286"/>
      <c r="L78" s="418"/>
      <c r="M78" s="271"/>
      <c r="N78" s="420"/>
      <c r="O78" s="455"/>
      <c r="P78" s="124"/>
      <c r="Q78" s="389"/>
    </row>
    <row r="79" spans="1:17" ht="12.75" x14ac:dyDescent="0.2">
      <c r="A79" s="235"/>
      <c r="B79" s="336" t="s">
        <v>52</v>
      </c>
      <c r="C79" s="356" t="s">
        <v>33</v>
      </c>
      <c r="D79" s="293">
        <v>2175439.4739999999</v>
      </c>
      <c r="E79" s="298">
        <v>0.19916</v>
      </c>
      <c r="F79" s="286">
        <f>ROUND(D79*E79,2)</f>
        <v>433260.53</v>
      </c>
      <c r="G79" s="287"/>
      <c r="H79" s="299">
        <f>ROUND(E79*(1+$O$79),5)</f>
        <v>0.19273999999999999</v>
      </c>
      <c r="I79" s="327">
        <f>ROUND(D79*H79,2)</f>
        <v>419294.2</v>
      </c>
      <c r="J79" s="302"/>
      <c r="K79" s="286">
        <f>I79-F79</f>
        <v>-13966.330000000016</v>
      </c>
      <c r="L79" s="418"/>
      <c r="M79" s="271"/>
      <c r="N79" s="271"/>
      <c r="O79" s="170">
        <v>-3.226024143962801E-2</v>
      </c>
      <c r="P79" s="389"/>
      <c r="Q79" s="154">
        <f>H79/E79-1</f>
        <v>-3.2235388632255502E-2</v>
      </c>
    </row>
    <row r="80" spans="1:17" ht="12.75" customHeight="1" x14ac:dyDescent="0.2">
      <c r="A80" s="235"/>
      <c r="B80" s="336" t="s">
        <v>53</v>
      </c>
      <c r="C80" s="356" t="s">
        <v>33</v>
      </c>
      <c r="D80" s="293">
        <v>7750590.0559999999</v>
      </c>
      <c r="E80" s="298">
        <v>0.14119999999999999</v>
      </c>
      <c r="F80" s="286">
        <f>ROUND(D80*E80,2)</f>
        <v>1094383.32</v>
      </c>
      <c r="G80" s="287"/>
      <c r="H80" s="299">
        <f>ROUND(E80*(1+$O$79),5)</f>
        <v>0.13664000000000001</v>
      </c>
      <c r="I80" s="327">
        <f>ROUND(D80*H80,2)</f>
        <v>1059040.6299999999</v>
      </c>
      <c r="J80" s="302"/>
      <c r="K80" s="286">
        <f>I80-F80</f>
        <v>-35342.690000000177</v>
      </c>
      <c r="L80" s="418"/>
      <c r="M80" s="271"/>
      <c r="N80" s="271"/>
      <c r="O80" s="455"/>
      <c r="P80" s="389"/>
      <c r="Q80" s="154">
        <f>H80/E80-1</f>
        <v>-3.2294617563739192E-2</v>
      </c>
    </row>
    <row r="81" spans="1:17" ht="12.75" customHeight="1" x14ac:dyDescent="0.2">
      <c r="A81" s="235"/>
      <c r="B81" s="174" t="s">
        <v>216</v>
      </c>
      <c r="C81" s="297" t="s">
        <v>33</v>
      </c>
      <c r="D81" s="280">
        <f>SUM(D79:D80)</f>
        <v>9926029.5299999993</v>
      </c>
      <c r="E81" s="456"/>
      <c r="F81" s="361">
        <f>SUM(F73:F80)</f>
        <v>2136343.94</v>
      </c>
      <c r="G81" s="287"/>
      <c r="H81" s="341"/>
      <c r="I81" s="361">
        <f>SUM(I73:I80)</f>
        <v>2102083.46</v>
      </c>
      <c r="J81" s="302"/>
      <c r="K81" s="361">
        <f>SUM(K73:K80)</f>
        <v>-34260.4800000002</v>
      </c>
      <c r="L81" s="417">
        <f>K81/F81</f>
        <v>-1.6036968279555305E-2</v>
      </c>
      <c r="M81" s="271"/>
      <c r="N81" s="271"/>
      <c r="O81" s="388"/>
      <c r="P81" s="389"/>
      <c r="Q81" s="390"/>
    </row>
    <row r="82" spans="1:17" ht="12.75" x14ac:dyDescent="0.2">
      <c r="A82" s="235"/>
      <c r="B82" s="316"/>
      <c r="C82" s="305"/>
      <c r="D82" s="287"/>
      <c r="E82" s="456"/>
      <c r="F82" s="327"/>
      <c r="G82" s="287"/>
      <c r="H82" s="341"/>
      <c r="I82" s="327"/>
      <c r="J82" s="302"/>
      <c r="K82" s="286"/>
      <c r="L82" s="289"/>
      <c r="M82" s="271"/>
      <c r="N82" s="430"/>
      <c r="O82" s="427"/>
      <c r="P82" s="389"/>
      <c r="Q82" s="390"/>
    </row>
    <row r="83" spans="1:17" ht="12.75" x14ac:dyDescent="0.2">
      <c r="A83" s="235"/>
      <c r="B83" s="142" t="s">
        <v>214</v>
      </c>
      <c r="C83" s="305"/>
      <c r="D83" s="287"/>
      <c r="E83" s="456"/>
      <c r="F83" s="327"/>
      <c r="G83" s="287"/>
      <c r="H83" s="341"/>
      <c r="I83" s="327"/>
      <c r="J83" s="302"/>
      <c r="K83" s="286"/>
      <c r="L83" s="289"/>
      <c r="M83" s="271"/>
      <c r="N83" s="271"/>
      <c r="O83" s="235"/>
      <c r="P83" s="235"/>
      <c r="Q83" s="235"/>
    </row>
    <row r="84" spans="1:17" ht="12.75" x14ac:dyDescent="0.2">
      <c r="A84" s="235"/>
      <c r="B84" s="380" t="s">
        <v>234</v>
      </c>
      <c r="C84" s="297" t="s">
        <v>33</v>
      </c>
      <c r="D84" s="428">
        <f>D81</f>
        <v>9926029.5299999993</v>
      </c>
      <c r="E84" s="298">
        <v>0.34773999999999999</v>
      </c>
      <c r="F84" s="327">
        <f>+D84*E84</f>
        <v>3451677.5087621999</v>
      </c>
      <c r="G84" s="429"/>
      <c r="H84" s="298">
        <v>0.39258999999999999</v>
      </c>
      <c r="I84" s="327">
        <f>+D84*H84</f>
        <v>3896859.9331826996</v>
      </c>
      <c r="J84" s="302"/>
      <c r="K84" s="286">
        <f>I84-F84</f>
        <v>445182.42442049971</v>
      </c>
      <c r="L84" s="418"/>
      <c r="M84" s="271"/>
      <c r="N84" s="271"/>
      <c r="O84" s="427"/>
      <c r="P84" s="389"/>
      <c r="Q84" s="390"/>
    </row>
    <row r="85" spans="1:17" ht="12.75" x14ac:dyDescent="0.2">
      <c r="A85" s="235"/>
      <c r="B85" s="380" t="s">
        <v>39</v>
      </c>
      <c r="C85" s="297" t="s">
        <v>37</v>
      </c>
      <c r="D85" s="428">
        <f>D74</f>
        <v>84423.830999999991</v>
      </c>
      <c r="E85" s="294">
        <v>1.05</v>
      </c>
      <c r="F85" s="327">
        <f>D85*E85</f>
        <v>88645.022549999994</v>
      </c>
      <c r="G85" s="429"/>
      <c r="H85" s="294">
        <v>1.05</v>
      </c>
      <c r="I85" s="327">
        <f>D85*H85</f>
        <v>88645.022549999994</v>
      </c>
      <c r="J85" s="302"/>
      <c r="K85" s="286">
        <f>I85-F85</f>
        <v>0</v>
      </c>
      <c r="L85" s="289"/>
      <c r="M85" s="271"/>
      <c r="N85" s="271"/>
      <c r="O85" s="235"/>
      <c r="P85" s="235"/>
      <c r="Q85" s="235"/>
    </row>
    <row r="86" spans="1:17" ht="12.75" x14ac:dyDescent="0.2">
      <c r="A86" s="235"/>
      <c r="B86" s="368" t="s">
        <v>235</v>
      </c>
      <c r="C86" s="305"/>
      <c r="D86" s="288"/>
      <c r="E86" s="369"/>
      <c r="F86" s="361">
        <f>SUM(F84:F85)</f>
        <v>3540322.5313121998</v>
      </c>
      <c r="G86" s="288"/>
      <c r="H86" s="341"/>
      <c r="I86" s="361">
        <f>SUM(I84:I85)</f>
        <v>3985504.9557326995</v>
      </c>
      <c r="J86" s="369"/>
      <c r="K86" s="361">
        <f>SUM(K84:K85)</f>
        <v>445182.42442049971</v>
      </c>
      <c r="L86" s="417">
        <f>ROUND(K86/F86,5)</f>
        <v>0.12575</v>
      </c>
      <c r="M86" s="271"/>
      <c r="N86" s="271"/>
      <c r="O86" s="235"/>
      <c r="P86" s="235"/>
      <c r="Q86" s="235"/>
    </row>
    <row r="87" spans="1:17" ht="12.75" x14ac:dyDescent="0.2">
      <c r="A87" s="235"/>
      <c r="B87" s="284"/>
      <c r="C87" s="258"/>
      <c r="D87" s="287"/>
      <c r="E87" s="312"/>
      <c r="F87" s="327"/>
      <c r="G87" s="287"/>
      <c r="H87" s="341"/>
      <c r="I87" s="327"/>
      <c r="J87" s="302"/>
      <c r="K87" s="286"/>
      <c r="L87" s="289"/>
      <c r="M87" s="271"/>
      <c r="N87" s="271"/>
      <c r="O87" s="235"/>
      <c r="P87" s="235"/>
      <c r="Q87" s="235"/>
    </row>
    <row r="88" spans="1:17" s="69" customFormat="1" ht="12.75" x14ac:dyDescent="0.2">
      <c r="A88" s="258"/>
      <c r="B88" s="284" t="s">
        <v>215</v>
      </c>
      <c r="C88" s="258"/>
      <c r="D88" s="287"/>
      <c r="E88" s="369"/>
      <c r="F88" s="361">
        <f>F86+F81</f>
        <v>5676666.4713121997</v>
      </c>
      <c r="G88" s="287"/>
      <c r="H88" s="341"/>
      <c r="I88" s="361">
        <f>I86+I81</f>
        <v>6087588.4157326994</v>
      </c>
      <c r="J88" s="302"/>
      <c r="K88" s="361">
        <f>K86+K81</f>
        <v>410921.94442049949</v>
      </c>
      <c r="L88" s="417">
        <f>K88/F88</f>
        <v>7.238789639961217E-2</v>
      </c>
      <c r="M88" s="271"/>
      <c r="N88" s="271"/>
      <c r="O88" s="258"/>
      <c r="P88" s="258"/>
      <c r="Q88" s="258"/>
    </row>
    <row r="89" spans="1:17" ht="12.75" x14ac:dyDescent="0.2">
      <c r="A89" s="258"/>
      <c r="B89" s="318"/>
      <c r="C89" s="431"/>
      <c r="D89" s="381"/>
      <c r="E89" s="457"/>
      <c r="F89" s="324"/>
      <c r="G89" s="432"/>
      <c r="H89" s="434"/>
      <c r="I89" s="450"/>
      <c r="J89" s="435"/>
      <c r="K89" s="325"/>
      <c r="L89" s="458"/>
      <c r="M89" s="271"/>
      <c r="N89" s="271"/>
      <c r="O89" s="235"/>
      <c r="P89" s="235"/>
      <c r="Q89" s="235"/>
    </row>
    <row r="90" spans="1:17" s="69" customFormat="1" ht="12.75" x14ac:dyDescent="0.2">
      <c r="A90" s="258"/>
      <c r="B90" s="258"/>
      <c r="C90" s="258"/>
      <c r="D90" s="301"/>
      <c r="E90" s="459"/>
      <c r="F90" s="295"/>
      <c r="G90" s="287"/>
      <c r="H90" s="341"/>
      <c r="I90" s="436"/>
      <c r="J90" s="302"/>
      <c r="K90" s="286"/>
      <c r="L90" s="460"/>
      <c r="M90" s="271"/>
      <c r="N90" s="271"/>
      <c r="O90" s="258"/>
      <c r="P90" s="258"/>
      <c r="Q90" s="258"/>
    </row>
    <row r="91" spans="1:17" ht="12.75" x14ac:dyDescent="0.2">
      <c r="A91" s="258"/>
      <c r="B91" s="276" t="s">
        <v>251</v>
      </c>
      <c r="C91" s="412"/>
      <c r="D91" s="280"/>
      <c r="E91" s="413"/>
      <c r="F91" s="279"/>
      <c r="G91" s="280"/>
      <c r="H91" s="415"/>
      <c r="I91" s="361"/>
      <c r="J91" s="416"/>
      <c r="K91" s="279"/>
      <c r="L91" s="282"/>
      <c r="M91" s="271"/>
      <c r="N91" s="271"/>
      <c r="O91" s="235"/>
      <c r="P91" s="235"/>
      <c r="Q91" s="235"/>
    </row>
    <row r="92" spans="1:17" ht="12.75" x14ac:dyDescent="0.2">
      <c r="A92" s="258"/>
      <c r="B92" s="284"/>
      <c r="C92" s="258"/>
      <c r="D92" s="287"/>
      <c r="E92" s="312"/>
      <c r="F92" s="286"/>
      <c r="G92" s="337"/>
      <c r="H92" s="341"/>
      <c r="I92" s="327"/>
      <c r="J92" s="302"/>
      <c r="K92" s="286"/>
      <c r="L92" s="418"/>
      <c r="M92" s="271"/>
      <c r="N92" s="271"/>
      <c r="O92" s="235"/>
      <c r="P92" s="235"/>
      <c r="Q92" s="235"/>
    </row>
    <row r="93" spans="1:17" ht="12.75" x14ac:dyDescent="0.2">
      <c r="A93" s="258"/>
      <c r="B93" s="368" t="s">
        <v>30</v>
      </c>
      <c r="C93" s="419" t="s">
        <v>31</v>
      </c>
      <c r="D93" s="293">
        <v>49</v>
      </c>
      <c r="E93" s="294">
        <v>458.22</v>
      </c>
      <c r="F93" s="286">
        <f>ROUND(D93*E93,2)</f>
        <v>22452.78</v>
      </c>
      <c r="G93" s="287"/>
      <c r="H93" s="375">
        <f>ROUND(E93*(1+$O$79),2)</f>
        <v>443.44</v>
      </c>
      <c r="I93" s="327">
        <f>ROUND(D93*H93,2)</f>
        <v>21728.560000000001</v>
      </c>
      <c r="J93" s="302"/>
      <c r="K93" s="286">
        <f>I93-F93</f>
        <v>-724.21999999999753</v>
      </c>
      <c r="L93" s="418"/>
      <c r="M93" s="271"/>
      <c r="N93" s="271"/>
      <c r="O93" s="235"/>
      <c r="P93" s="235"/>
      <c r="Q93" s="154">
        <f>H93/E93-1</f>
        <v>-3.2255248570555728E-2</v>
      </c>
    </row>
    <row r="94" spans="1:17" ht="12.75" x14ac:dyDescent="0.2">
      <c r="A94" s="258"/>
      <c r="B94" s="380" t="s">
        <v>39</v>
      </c>
      <c r="C94" s="297" t="s">
        <v>37</v>
      </c>
      <c r="D94" s="293">
        <v>8250</v>
      </c>
      <c r="E94" s="294">
        <v>1.1499999999999999</v>
      </c>
      <c r="F94" s="286">
        <f>ROUND(D94*E94,2)</f>
        <v>9487.5</v>
      </c>
      <c r="G94" s="287"/>
      <c r="H94" s="375">
        <f>H74</f>
        <v>1.22</v>
      </c>
      <c r="I94" s="327">
        <f>ROUND(D94*H94,2)</f>
        <v>10065</v>
      </c>
      <c r="J94" s="302"/>
      <c r="K94" s="286">
        <f>I94-F94</f>
        <v>577.5</v>
      </c>
      <c r="L94" s="418"/>
      <c r="M94" s="271"/>
      <c r="N94" s="271"/>
      <c r="O94" s="235"/>
      <c r="P94" s="235"/>
      <c r="Q94" s="154">
        <f>H94/E94-1</f>
        <v>6.0869565217391397E-2</v>
      </c>
    </row>
    <row r="95" spans="1:17" ht="12.75" x14ac:dyDescent="0.2">
      <c r="A95" s="258"/>
      <c r="B95" s="380" t="s">
        <v>47</v>
      </c>
      <c r="C95" s="258"/>
      <c r="D95" s="293"/>
      <c r="E95" s="298"/>
      <c r="F95" s="439">
        <v>0</v>
      </c>
      <c r="G95" s="287"/>
      <c r="H95" s="349"/>
      <c r="I95" s="440">
        <f>F95</f>
        <v>0</v>
      </c>
      <c r="J95" s="454"/>
      <c r="K95" s="286">
        <f>I95-F95</f>
        <v>0</v>
      </c>
      <c r="L95" s="418"/>
      <c r="M95" s="271"/>
      <c r="N95" s="271"/>
      <c r="O95" s="235"/>
      <c r="P95" s="235"/>
      <c r="Q95" s="235"/>
    </row>
    <row r="96" spans="1:17" ht="12.75" x14ac:dyDescent="0.2">
      <c r="A96" s="258"/>
      <c r="B96" s="284"/>
      <c r="C96" s="258"/>
      <c r="D96" s="293"/>
      <c r="E96" s="298"/>
      <c r="F96" s="286"/>
      <c r="G96" s="287"/>
      <c r="H96" s="349"/>
      <c r="I96" s="327"/>
      <c r="J96" s="302"/>
      <c r="K96" s="286"/>
      <c r="L96" s="418"/>
      <c r="M96" s="271"/>
      <c r="N96" s="271"/>
      <c r="O96" s="235"/>
      <c r="P96" s="235"/>
      <c r="Q96" s="235"/>
    </row>
    <row r="97" spans="1:17" ht="12.75" x14ac:dyDescent="0.2">
      <c r="A97" s="258"/>
      <c r="B97" s="380" t="s">
        <v>40</v>
      </c>
      <c r="C97" s="258"/>
      <c r="D97" s="293"/>
      <c r="E97" s="298"/>
      <c r="F97" s="286"/>
      <c r="G97" s="287"/>
      <c r="H97" s="349"/>
      <c r="I97" s="327"/>
      <c r="J97" s="302"/>
      <c r="K97" s="286"/>
      <c r="L97" s="418"/>
      <c r="M97" s="271"/>
      <c r="N97" s="271"/>
      <c r="O97" s="235"/>
      <c r="P97" s="235"/>
      <c r="Q97" s="235"/>
    </row>
    <row r="98" spans="1:17" ht="12.75" x14ac:dyDescent="0.2">
      <c r="A98" s="258"/>
      <c r="B98" s="336" t="s">
        <v>52</v>
      </c>
      <c r="C98" s="356" t="s">
        <v>33</v>
      </c>
      <c r="D98" s="293">
        <v>31000</v>
      </c>
      <c r="E98" s="298">
        <v>0.19916</v>
      </c>
      <c r="F98" s="286">
        <f>ROUND(D98*E98,2)</f>
        <v>6173.96</v>
      </c>
      <c r="G98" s="287"/>
      <c r="H98" s="299">
        <f>H79</f>
        <v>0.19273999999999999</v>
      </c>
      <c r="I98" s="327">
        <f>ROUND(D98*H98,2)</f>
        <v>5974.94</v>
      </c>
      <c r="J98" s="302"/>
      <c r="K98" s="286">
        <f>I98-F98</f>
        <v>-199.02000000000044</v>
      </c>
      <c r="L98" s="418"/>
      <c r="M98" s="271"/>
      <c r="N98" s="271"/>
      <c r="O98" s="235"/>
      <c r="P98" s="235"/>
      <c r="Q98" s="154">
        <f>H98/E98-1</f>
        <v>-3.2235388632255502E-2</v>
      </c>
    </row>
    <row r="99" spans="1:17" ht="12.75" x14ac:dyDescent="0.2">
      <c r="A99" s="258"/>
      <c r="B99" s="336" t="s">
        <v>53</v>
      </c>
      <c r="C99" s="356" t="s">
        <v>33</v>
      </c>
      <c r="D99" s="293">
        <v>341634.3</v>
      </c>
      <c r="E99" s="298">
        <v>0.14119999999999999</v>
      </c>
      <c r="F99" s="286">
        <f>ROUND(D99*E99,2)</f>
        <v>48238.76</v>
      </c>
      <c r="G99" s="287"/>
      <c r="H99" s="299">
        <f>H80</f>
        <v>0.13664000000000001</v>
      </c>
      <c r="I99" s="327">
        <f>ROUND(D99*H99,2)</f>
        <v>46680.91</v>
      </c>
      <c r="J99" s="302"/>
      <c r="K99" s="286">
        <f>I99-F99</f>
        <v>-1557.8499999999985</v>
      </c>
      <c r="L99" s="418"/>
      <c r="M99" s="271"/>
      <c r="N99" s="271"/>
      <c r="O99" s="235"/>
      <c r="P99" s="235"/>
      <c r="Q99" s="154">
        <f>H99/E99-1</f>
        <v>-3.2294617563739192E-2</v>
      </c>
    </row>
    <row r="100" spans="1:17" ht="12.75" x14ac:dyDescent="0.2">
      <c r="A100" s="258"/>
      <c r="B100" s="174" t="s">
        <v>216</v>
      </c>
      <c r="C100" s="297" t="s">
        <v>33</v>
      </c>
      <c r="D100" s="280">
        <f>SUM(D98:D99)</f>
        <v>372634.3</v>
      </c>
      <c r="E100" s="456"/>
      <c r="F100" s="361">
        <f>SUM(F93:F99)</f>
        <v>86353</v>
      </c>
      <c r="G100" s="287"/>
      <c r="H100" s="341"/>
      <c r="I100" s="361">
        <f>SUM(I93:I99)</f>
        <v>84449.41</v>
      </c>
      <c r="J100" s="302"/>
      <c r="K100" s="361">
        <f>SUM(K93:K99)</f>
        <v>-1903.5899999999965</v>
      </c>
      <c r="L100" s="417"/>
      <c r="M100" s="271"/>
      <c r="N100" s="271"/>
      <c r="O100" s="235"/>
      <c r="P100" s="235"/>
      <c r="Q100" s="235"/>
    </row>
    <row r="101" spans="1:17" ht="12.75" x14ac:dyDescent="0.2">
      <c r="A101" s="258"/>
      <c r="B101" s="316"/>
      <c r="C101" s="305"/>
      <c r="D101" s="287"/>
      <c r="E101" s="456"/>
      <c r="F101" s="327"/>
      <c r="G101" s="287"/>
      <c r="H101" s="341"/>
      <c r="I101" s="327"/>
      <c r="J101" s="302"/>
      <c r="K101" s="286"/>
      <c r="L101" s="289"/>
      <c r="M101" s="271"/>
      <c r="N101" s="271"/>
      <c r="O101" s="235"/>
      <c r="P101" s="235"/>
      <c r="Q101" s="235"/>
    </row>
    <row r="102" spans="1:17" ht="12.75" x14ac:dyDescent="0.2">
      <c r="A102" s="258"/>
      <c r="B102" s="380" t="s">
        <v>230</v>
      </c>
      <c r="C102" s="297" t="s">
        <v>33</v>
      </c>
      <c r="D102" s="428">
        <f>D100</f>
        <v>372634.3</v>
      </c>
      <c r="E102" s="298">
        <v>6.9999999999999999E-4</v>
      </c>
      <c r="F102" s="327">
        <f>E102*D102</f>
        <v>260.84400999999997</v>
      </c>
      <c r="G102" s="429"/>
      <c r="H102" s="334">
        <v>6.9999999999999999E-4</v>
      </c>
      <c r="I102" s="286">
        <f>H102*D102</f>
        <v>260.84400999999997</v>
      </c>
      <c r="J102" s="302"/>
      <c r="K102" s="286">
        <f>I102-F102</f>
        <v>0</v>
      </c>
      <c r="L102" s="418"/>
      <c r="M102" s="271"/>
      <c r="N102" s="271"/>
      <c r="O102" s="235"/>
      <c r="P102" s="235"/>
      <c r="Q102" s="235"/>
    </row>
    <row r="103" spans="1:17" ht="12.75" x14ac:dyDescent="0.2">
      <c r="A103" s="258"/>
      <c r="B103" s="368" t="s">
        <v>215</v>
      </c>
      <c r="C103" s="258"/>
      <c r="D103" s="287"/>
      <c r="E103" s="333"/>
      <c r="F103" s="361">
        <f>F102+F100</f>
        <v>86613.844010000001</v>
      </c>
      <c r="G103" s="361"/>
      <c r="H103" s="341"/>
      <c r="I103" s="361">
        <f>I102+I100</f>
        <v>84710.254010000004</v>
      </c>
      <c r="J103" s="369"/>
      <c r="K103" s="361">
        <f>K102+K100</f>
        <v>-1903.5899999999965</v>
      </c>
      <c r="L103" s="282"/>
      <c r="M103" s="271"/>
      <c r="N103" s="271"/>
      <c r="O103" s="235"/>
      <c r="P103" s="235"/>
      <c r="Q103" s="235"/>
    </row>
    <row r="104" spans="1:17" ht="12.75" x14ac:dyDescent="0.2">
      <c r="A104" s="258"/>
      <c r="B104" s="318"/>
      <c r="C104" s="431"/>
      <c r="D104" s="432"/>
      <c r="E104" s="433"/>
      <c r="F104" s="325"/>
      <c r="G104" s="432"/>
      <c r="H104" s="434"/>
      <c r="I104" s="443"/>
      <c r="J104" s="435"/>
      <c r="K104" s="325"/>
      <c r="L104" s="326"/>
      <c r="M104" s="271"/>
      <c r="N104" s="271"/>
      <c r="O104" s="235"/>
      <c r="P104" s="235"/>
      <c r="Q104" s="235"/>
    </row>
    <row r="105" spans="1:17" s="69" customFormat="1" ht="12.75" x14ac:dyDescent="0.2">
      <c r="A105" s="258"/>
      <c r="B105" s="258"/>
      <c r="C105" s="258"/>
      <c r="D105" s="301"/>
      <c r="E105" s="459"/>
      <c r="F105" s="295"/>
      <c r="G105" s="287"/>
      <c r="H105" s="341"/>
      <c r="I105" s="436"/>
      <c r="J105" s="302"/>
      <c r="K105" s="286"/>
      <c r="L105" s="460"/>
      <c r="M105" s="271"/>
      <c r="N105" s="271"/>
      <c r="O105" s="258"/>
      <c r="P105" s="258"/>
      <c r="Q105" s="258"/>
    </row>
    <row r="106" spans="1:17" ht="12.75" x14ac:dyDescent="0.2">
      <c r="A106" s="258"/>
      <c r="B106" s="276" t="s">
        <v>252</v>
      </c>
      <c r="C106" s="412"/>
      <c r="D106" s="280"/>
      <c r="E106" s="413"/>
      <c r="F106" s="279"/>
      <c r="G106" s="280"/>
      <c r="H106" s="415"/>
      <c r="I106" s="361"/>
      <c r="J106" s="416"/>
      <c r="K106" s="279"/>
      <c r="L106" s="282"/>
      <c r="M106" s="271"/>
      <c r="N106" s="271"/>
      <c r="O106" s="235"/>
      <c r="P106" s="235"/>
      <c r="Q106" s="235"/>
    </row>
    <row r="107" spans="1:17" ht="12.75" x14ac:dyDescent="0.2">
      <c r="A107" s="258"/>
      <c r="B107" s="284"/>
      <c r="C107" s="258"/>
      <c r="D107" s="287"/>
      <c r="E107" s="312"/>
      <c r="F107" s="286"/>
      <c r="G107" s="337"/>
      <c r="H107" s="341"/>
      <c r="I107" s="327"/>
      <c r="J107" s="302"/>
      <c r="K107" s="286"/>
      <c r="L107" s="418"/>
      <c r="M107" s="271"/>
      <c r="N107" s="271"/>
      <c r="O107" s="235"/>
      <c r="P107" s="235"/>
      <c r="Q107" s="235"/>
    </row>
    <row r="108" spans="1:17" ht="12.75" x14ac:dyDescent="0.2">
      <c r="A108" s="258"/>
      <c r="B108" s="368" t="s">
        <v>30</v>
      </c>
      <c r="C108" s="419" t="s">
        <v>31</v>
      </c>
      <c r="D108" s="301">
        <f>D73+D93</f>
        <v>2907.9139747435988</v>
      </c>
      <c r="E108" s="333"/>
      <c r="F108" s="286">
        <f>F73+F93</f>
        <v>434164.98</v>
      </c>
      <c r="G108" s="287"/>
      <c r="H108" s="333"/>
      <c r="I108" s="286">
        <f>I73+I93</f>
        <v>420146.81</v>
      </c>
      <c r="J108" s="302"/>
      <c r="K108" s="286">
        <f>I108-F108</f>
        <v>-14018.169999999984</v>
      </c>
      <c r="L108" s="418"/>
      <c r="M108" s="271"/>
      <c r="N108" s="271"/>
      <c r="O108" s="235"/>
      <c r="P108" s="235"/>
      <c r="Q108" s="235"/>
    </row>
    <row r="109" spans="1:17" ht="12.75" x14ac:dyDescent="0.2">
      <c r="A109" s="258"/>
      <c r="B109" s="380" t="s">
        <v>39</v>
      </c>
      <c r="C109" s="297" t="s">
        <v>37</v>
      </c>
      <c r="D109" s="301">
        <f>D74+D94</f>
        <v>92673.830999999991</v>
      </c>
      <c r="E109" s="333"/>
      <c r="F109" s="286">
        <f>F74+F94</f>
        <v>106574.91</v>
      </c>
      <c r="G109" s="287"/>
      <c r="H109" s="333"/>
      <c r="I109" s="286">
        <f>I74+I94</f>
        <v>113062.07</v>
      </c>
      <c r="J109" s="302"/>
      <c r="K109" s="286">
        <f>I109-F109</f>
        <v>6487.1600000000035</v>
      </c>
      <c r="L109" s="418"/>
      <c r="M109" s="271"/>
      <c r="N109" s="271"/>
      <c r="O109" s="235"/>
      <c r="P109" s="235"/>
      <c r="Q109" s="235"/>
    </row>
    <row r="110" spans="1:17" ht="12.75" x14ac:dyDescent="0.2">
      <c r="A110" s="258"/>
      <c r="B110" s="284" t="s">
        <v>36</v>
      </c>
      <c r="C110" s="297" t="s">
        <v>33</v>
      </c>
      <c r="D110" s="301">
        <f>D75</f>
        <v>9926029.5299999993</v>
      </c>
      <c r="E110" s="334"/>
      <c r="F110" s="286">
        <f>F75</f>
        <v>67596.259999999995</v>
      </c>
      <c r="G110" s="287"/>
      <c r="H110" s="334"/>
      <c r="I110" s="286">
        <f>I75</f>
        <v>90029.09</v>
      </c>
      <c r="J110" s="302"/>
      <c r="K110" s="286">
        <f>I110-F110</f>
        <v>22432.83</v>
      </c>
      <c r="L110" s="418"/>
      <c r="M110" s="271"/>
      <c r="N110" s="271"/>
      <c r="O110" s="235"/>
      <c r="P110" s="235"/>
      <c r="Q110" s="235"/>
    </row>
    <row r="111" spans="1:17" ht="12.75" x14ac:dyDescent="0.2">
      <c r="A111" s="258"/>
      <c r="B111" s="380" t="s">
        <v>47</v>
      </c>
      <c r="C111" s="258"/>
      <c r="D111" s="287"/>
      <c r="E111" s="334"/>
      <c r="F111" s="440">
        <f>F76+F95</f>
        <v>32304.22</v>
      </c>
      <c r="G111" s="287"/>
      <c r="H111" s="349"/>
      <c r="I111" s="440">
        <f>I76+I95</f>
        <v>32304.22</v>
      </c>
      <c r="J111" s="454"/>
      <c r="K111" s="286">
        <f>I111-F111</f>
        <v>0</v>
      </c>
      <c r="L111" s="418"/>
      <c r="M111" s="271"/>
      <c r="N111" s="271"/>
      <c r="O111" s="235"/>
      <c r="P111" s="235"/>
      <c r="Q111" s="235"/>
    </row>
    <row r="112" spans="1:17" ht="12.75" x14ac:dyDescent="0.2">
      <c r="A112" s="258"/>
      <c r="B112" s="284"/>
      <c r="C112" s="258"/>
      <c r="D112" s="287"/>
      <c r="E112" s="334"/>
      <c r="F112" s="286"/>
      <c r="G112" s="287"/>
      <c r="H112" s="349"/>
      <c r="I112" s="286"/>
      <c r="J112" s="302"/>
      <c r="K112" s="286"/>
      <c r="L112" s="418"/>
      <c r="M112" s="271"/>
      <c r="N112" s="271"/>
      <c r="O112" s="235"/>
      <c r="P112" s="235"/>
      <c r="Q112" s="235"/>
    </row>
    <row r="113" spans="1:17" ht="12.75" x14ac:dyDescent="0.2">
      <c r="A113" s="258"/>
      <c r="B113" s="380" t="s">
        <v>40</v>
      </c>
      <c r="C113" s="258"/>
      <c r="D113" s="287"/>
      <c r="E113" s="334"/>
      <c r="F113" s="286"/>
      <c r="G113" s="287"/>
      <c r="H113" s="349"/>
      <c r="I113" s="286"/>
      <c r="J113" s="302"/>
      <c r="K113" s="286"/>
      <c r="L113" s="418"/>
      <c r="M113" s="271"/>
      <c r="N113" s="271"/>
      <c r="O113" s="235"/>
      <c r="P113" s="235"/>
      <c r="Q113" s="235"/>
    </row>
    <row r="114" spans="1:17" ht="12.75" x14ac:dyDescent="0.2">
      <c r="A114" s="258"/>
      <c r="B114" s="336" t="s">
        <v>52</v>
      </c>
      <c r="C114" s="356" t="s">
        <v>33</v>
      </c>
      <c r="D114" s="301">
        <f>D79+D98</f>
        <v>2206439.4739999999</v>
      </c>
      <c r="E114" s="334"/>
      <c r="F114" s="286">
        <f>F79+F98</f>
        <v>439434.49000000005</v>
      </c>
      <c r="G114" s="287"/>
      <c r="H114" s="299"/>
      <c r="I114" s="286">
        <f>I79+I98</f>
        <v>425269.14</v>
      </c>
      <c r="J114" s="302"/>
      <c r="K114" s="286">
        <f>I114-F114</f>
        <v>-14165.350000000035</v>
      </c>
      <c r="L114" s="418"/>
      <c r="M114" s="271"/>
      <c r="N114" s="271"/>
      <c r="O114" s="235"/>
      <c r="P114" s="235"/>
      <c r="Q114" s="235"/>
    </row>
    <row r="115" spans="1:17" ht="12.75" x14ac:dyDescent="0.2">
      <c r="A115" s="258"/>
      <c r="B115" s="336" t="s">
        <v>53</v>
      </c>
      <c r="C115" s="356" t="s">
        <v>33</v>
      </c>
      <c r="D115" s="301">
        <f>D80+D99</f>
        <v>8092224.3559999997</v>
      </c>
      <c r="E115" s="334"/>
      <c r="F115" s="286">
        <f>F80+F99</f>
        <v>1142622.08</v>
      </c>
      <c r="G115" s="287"/>
      <c r="H115" s="299"/>
      <c r="I115" s="286">
        <f>I80+I99</f>
        <v>1105721.5399999998</v>
      </c>
      <c r="J115" s="302"/>
      <c r="K115" s="286">
        <f>I115-F115</f>
        <v>-36900.54000000027</v>
      </c>
      <c r="L115" s="418"/>
      <c r="M115" s="271"/>
      <c r="N115" s="271"/>
      <c r="O115" s="235"/>
      <c r="P115" s="235"/>
      <c r="Q115" s="235"/>
    </row>
    <row r="116" spans="1:17" ht="12.75" x14ac:dyDescent="0.2">
      <c r="A116" s="258"/>
      <c r="B116" s="174" t="s">
        <v>216</v>
      </c>
      <c r="C116" s="297" t="s">
        <v>33</v>
      </c>
      <c r="D116" s="280">
        <f>SUM(D114:D115)</f>
        <v>10298663.83</v>
      </c>
      <c r="E116" s="312"/>
      <c r="F116" s="361">
        <f>SUM(F108:F115)</f>
        <v>2222696.9400000004</v>
      </c>
      <c r="G116" s="287"/>
      <c r="H116" s="341"/>
      <c r="I116" s="361">
        <f>SUM(I108:I115)</f>
        <v>2186532.87</v>
      </c>
      <c r="J116" s="302"/>
      <c r="K116" s="361">
        <f>SUM(K108:K115)</f>
        <v>-36164.070000000283</v>
      </c>
      <c r="L116" s="417">
        <f>K116/F116</f>
        <v>-1.6270355777787807E-2</v>
      </c>
      <c r="M116" s="271"/>
      <c r="N116" s="271"/>
      <c r="O116" s="235"/>
      <c r="P116" s="235"/>
      <c r="Q116" s="235"/>
    </row>
    <row r="117" spans="1:17" ht="12.75" x14ac:dyDescent="0.2">
      <c r="A117" s="258"/>
      <c r="B117" s="316"/>
      <c r="C117" s="305"/>
      <c r="D117" s="287"/>
      <c r="E117" s="312"/>
      <c r="F117" s="327"/>
      <c r="G117" s="287"/>
      <c r="H117" s="341"/>
      <c r="I117" s="327"/>
      <c r="J117" s="302"/>
      <c r="K117" s="286"/>
      <c r="L117" s="289"/>
      <c r="M117" s="271"/>
      <c r="N117" s="271"/>
      <c r="O117" s="235"/>
      <c r="P117" s="235"/>
      <c r="Q117" s="235"/>
    </row>
    <row r="118" spans="1:17" ht="12.75" x14ac:dyDescent="0.2">
      <c r="A118" s="258"/>
      <c r="B118" s="142" t="s">
        <v>214</v>
      </c>
      <c r="C118" s="305"/>
      <c r="D118" s="287"/>
      <c r="E118" s="312"/>
      <c r="F118" s="327"/>
      <c r="G118" s="287"/>
      <c r="H118" s="341"/>
      <c r="I118" s="327"/>
      <c r="J118" s="302"/>
      <c r="K118" s="286"/>
      <c r="L118" s="289"/>
      <c r="M118" s="271"/>
      <c r="N118" s="271"/>
      <c r="O118" s="235"/>
      <c r="P118" s="235"/>
      <c r="Q118" s="235"/>
    </row>
    <row r="119" spans="1:17" ht="12.75" x14ac:dyDescent="0.2">
      <c r="A119" s="258"/>
      <c r="B119" s="380" t="s">
        <v>234</v>
      </c>
      <c r="C119" s="297" t="s">
        <v>33</v>
      </c>
      <c r="D119" s="428">
        <f>D116</f>
        <v>10298663.83</v>
      </c>
      <c r="E119" s="334"/>
      <c r="F119" s="327">
        <f>F84</f>
        <v>3451677.5087621999</v>
      </c>
      <c r="G119" s="429"/>
      <c r="H119" s="334"/>
      <c r="I119" s="327">
        <f>I84</f>
        <v>3896859.9331826996</v>
      </c>
      <c r="J119" s="302"/>
      <c r="K119" s="286">
        <f>I119-F119</f>
        <v>445182.42442049971</v>
      </c>
      <c r="L119" s="418"/>
      <c r="M119" s="271"/>
      <c r="N119" s="271"/>
      <c r="O119" s="235"/>
      <c r="P119" s="235"/>
      <c r="Q119" s="235"/>
    </row>
    <row r="120" spans="1:17" ht="12.75" x14ac:dyDescent="0.2">
      <c r="A120" s="258"/>
      <c r="B120" s="380" t="s">
        <v>39</v>
      </c>
      <c r="C120" s="297" t="s">
        <v>37</v>
      </c>
      <c r="D120" s="428">
        <f>D109</f>
        <v>92673.830999999991</v>
      </c>
      <c r="E120" s="333"/>
      <c r="F120" s="327">
        <f>F85</f>
        <v>88645.022549999994</v>
      </c>
      <c r="G120" s="429"/>
      <c r="H120" s="333"/>
      <c r="I120" s="327">
        <f>I85</f>
        <v>88645.022549999994</v>
      </c>
      <c r="J120" s="302"/>
      <c r="K120" s="286">
        <f>I120-F120</f>
        <v>0</v>
      </c>
      <c r="L120" s="289"/>
      <c r="M120" s="271"/>
      <c r="N120" s="271"/>
      <c r="O120" s="235"/>
      <c r="P120" s="235"/>
      <c r="Q120" s="235"/>
    </row>
    <row r="121" spans="1:17" ht="12.75" x14ac:dyDescent="0.2">
      <c r="A121" s="258"/>
      <c r="B121" s="380" t="s">
        <v>230</v>
      </c>
      <c r="C121" s="297" t="s">
        <v>33</v>
      </c>
      <c r="D121" s="428">
        <f>D119</f>
        <v>10298663.83</v>
      </c>
      <c r="E121" s="333"/>
      <c r="F121" s="327">
        <f>F102</f>
        <v>260.84400999999997</v>
      </c>
      <c r="G121" s="429"/>
      <c r="H121" s="333"/>
      <c r="I121" s="327">
        <f>I102</f>
        <v>260.84400999999997</v>
      </c>
      <c r="J121" s="302"/>
      <c r="K121" s="286">
        <f>I121-F121</f>
        <v>0</v>
      </c>
      <c r="L121" s="289"/>
      <c r="M121" s="271"/>
      <c r="N121" s="271"/>
      <c r="O121" s="235"/>
      <c r="P121" s="235"/>
      <c r="Q121" s="235"/>
    </row>
    <row r="122" spans="1:17" ht="12.75" x14ac:dyDescent="0.2">
      <c r="A122" s="258"/>
      <c r="B122" s="368" t="s">
        <v>235</v>
      </c>
      <c r="C122" s="305"/>
      <c r="D122" s="288"/>
      <c r="E122" s="369"/>
      <c r="F122" s="361">
        <f>SUM(F119:F121)</f>
        <v>3540583.3753221999</v>
      </c>
      <c r="G122" s="288"/>
      <c r="H122" s="341"/>
      <c r="I122" s="361">
        <f>SUM(I119:I121)</f>
        <v>3985765.7997426996</v>
      </c>
      <c r="J122" s="369"/>
      <c r="K122" s="361">
        <f>SUM(K119:K121)</f>
        <v>445182.42442049971</v>
      </c>
      <c r="L122" s="417">
        <f>ROUND(K122/F122,5)</f>
        <v>0.12573999999999999</v>
      </c>
      <c r="M122" s="271"/>
      <c r="N122" s="271"/>
      <c r="O122" s="235"/>
      <c r="P122" s="235"/>
      <c r="Q122" s="235"/>
    </row>
    <row r="123" spans="1:17" ht="12.75" x14ac:dyDescent="0.2">
      <c r="A123" s="258"/>
      <c r="B123" s="316"/>
      <c r="C123" s="305"/>
      <c r="D123" s="288"/>
      <c r="E123" s="369"/>
      <c r="F123" s="327"/>
      <c r="G123" s="288"/>
      <c r="H123" s="341"/>
      <c r="I123" s="327"/>
      <c r="J123" s="369"/>
      <c r="K123" s="327"/>
      <c r="L123" s="418"/>
      <c r="M123" s="271"/>
      <c r="N123" s="271"/>
      <c r="O123" s="235"/>
      <c r="P123" s="235"/>
      <c r="Q123" s="235"/>
    </row>
    <row r="124" spans="1:17" ht="12.75" x14ac:dyDescent="0.2">
      <c r="A124" s="258"/>
      <c r="B124" s="368" t="s">
        <v>215</v>
      </c>
      <c r="C124" s="305"/>
      <c r="D124" s="288"/>
      <c r="E124" s="369"/>
      <c r="F124" s="361">
        <f>F116+F122</f>
        <v>5763280.3153221998</v>
      </c>
      <c r="G124" s="288"/>
      <c r="H124" s="341"/>
      <c r="I124" s="361">
        <f>I116+I122</f>
        <v>6172298.6697426997</v>
      </c>
      <c r="J124" s="369"/>
      <c r="K124" s="361">
        <f>K116+K122</f>
        <v>409018.35442049941</v>
      </c>
      <c r="L124" s="417">
        <f>ROUND(K124/F124,5)</f>
        <v>7.0970000000000005E-2</v>
      </c>
      <c r="M124" s="271"/>
      <c r="N124" s="271"/>
      <c r="O124" s="235"/>
      <c r="P124" s="235"/>
      <c r="Q124" s="235"/>
    </row>
    <row r="125" spans="1:17" ht="12.75" x14ac:dyDescent="0.2">
      <c r="A125" s="258"/>
      <c r="B125" s="318"/>
      <c r="C125" s="431"/>
      <c r="D125" s="432"/>
      <c r="E125" s="433"/>
      <c r="F125" s="325"/>
      <c r="G125" s="432"/>
      <c r="H125" s="434"/>
      <c r="I125" s="443"/>
      <c r="J125" s="435"/>
      <c r="K125" s="325"/>
      <c r="L125" s="458"/>
      <c r="M125" s="271"/>
      <c r="N125" s="271"/>
      <c r="O125" s="235"/>
      <c r="P125" s="235"/>
      <c r="Q125" s="235"/>
    </row>
    <row r="126" spans="1:17" s="69" customFormat="1" ht="12.75" x14ac:dyDescent="0.2">
      <c r="A126" s="258"/>
      <c r="B126" s="288"/>
      <c r="C126" s="288"/>
      <c r="D126" s="301"/>
      <c r="E126" s="459"/>
      <c r="F126" s="295"/>
      <c r="G126" s="287"/>
      <c r="H126" s="341"/>
      <c r="I126" s="436"/>
      <c r="J126" s="437"/>
      <c r="K126" s="295"/>
      <c r="L126" s="461"/>
      <c r="M126" s="271"/>
      <c r="N126" s="271"/>
      <c r="O126" s="258"/>
      <c r="P126" s="258"/>
      <c r="Q126" s="258"/>
    </row>
    <row r="127" spans="1:17" s="69" customFormat="1" ht="12.75" x14ac:dyDescent="0.2">
      <c r="A127" s="258"/>
      <c r="B127" s="288"/>
      <c r="C127" s="288"/>
      <c r="D127" s="287"/>
      <c r="E127" s="349"/>
      <c r="F127" s="295"/>
      <c r="G127" s="287"/>
      <c r="H127" s="341"/>
      <c r="I127" s="436"/>
      <c r="J127" s="437"/>
      <c r="K127" s="295"/>
      <c r="L127" s="461"/>
      <c r="M127" s="271"/>
      <c r="N127" s="271"/>
      <c r="O127" s="258"/>
      <c r="P127" s="258"/>
      <c r="Q127" s="258"/>
    </row>
    <row r="128" spans="1:17" ht="12.75" x14ac:dyDescent="0.2">
      <c r="A128" s="235"/>
      <c r="B128" s="276" t="s">
        <v>253</v>
      </c>
      <c r="C128" s="412"/>
      <c r="D128" s="280"/>
      <c r="E128" s="413"/>
      <c r="F128" s="279"/>
      <c r="G128" s="280"/>
      <c r="H128" s="415"/>
      <c r="I128" s="361"/>
      <c r="J128" s="416"/>
      <c r="K128" s="279"/>
      <c r="L128" s="417"/>
      <c r="M128" s="271"/>
      <c r="N128" s="452"/>
      <c r="O128" s="462" t="s">
        <v>254</v>
      </c>
      <c r="P128" s="235"/>
      <c r="Q128" s="235"/>
    </row>
    <row r="129" spans="1:17" ht="12.75" x14ac:dyDescent="0.2">
      <c r="A129" s="235"/>
      <c r="B129" s="284"/>
      <c r="C129" s="258"/>
      <c r="D129" s="287"/>
      <c r="E129" s="312"/>
      <c r="F129" s="286"/>
      <c r="G129" s="287"/>
      <c r="H129" s="341"/>
      <c r="I129" s="327"/>
      <c r="J129" s="302"/>
      <c r="K129" s="286"/>
      <c r="L129" s="418"/>
      <c r="M129" s="271"/>
      <c r="N129" s="452"/>
      <c r="O129" s="463">
        <v>-77892.813406896064</v>
      </c>
      <c r="P129" s="235"/>
      <c r="Q129" s="235"/>
    </row>
    <row r="130" spans="1:17" ht="12.75" x14ac:dyDescent="0.2">
      <c r="A130" s="235"/>
      <c r="B130" s="368" t="s">
        <v>30</v>
      </c>
      <c r="C130" s="419" t="s">
        <v>31</v>
      </c>
      <c r="D130" s="293">
        <v>59.787364924481885</v>
      </c>
      <c r="E130" s="294">
        <v>579.19000000000005</v>
      </c>
      <c r="F130" s="286">
        <f>ROUND(D130*E130,2)</f>
        <v>34628.239999999998</v>
      </c>
      <c r="G130" s="287"/>
      <c r="H130" s="375">
        <f>ROUND(E130*(1+$O$140),2)</f>
        <v>557.39</v>
      </c>
      <c r="I130" s="327">
        <f>ROUND(D130*H130,2)</f>
        <v>33324.879999999997</v>
      </c>
      <c r="J130" s="302"/>
      <c r="K130" s="286">
        <f>I130-F130</f>
        <v>-1303.3600000000006</v>
      </c>
      <c r="L130" s="303"/>
      <c r="M130" s="271"/>
      <c r="N130" s="452"/>
      <c r="O130" s="464" t="s">
        <v>213</v>
      </c>
      <c r="P130" s="235"/>
      <c r="Q130" s="154">
        <f>H130/E130-1</f>
        <v>-3.7638771387627612E-2</v>
      </c>
    </row>
    <row r="131" spans="1:17" ht="12.75" x14ac:dyDescent="0.2">
      <c r="A131" s="235"/>
      <c r="B131" s="380" t="s">
        <v>39</v>
      </c>
      <c r="C131" s="297" t="s">
        <v>37</v>
      </c>
      <c r="D131" s="293">
        <v>0</v>
      </c>
      <c r="E131" s="294">
        <v>1.1499999999999999</v>
      </c>
      <c r="F131" s="286">
        <f>ROUND(D131*E131,2)</f>
        <v>0</v>
      </c>
      <c r="G131" s="287"/>
      <c r="H131" s="294">
        <v>1.38</v>
      </c>
      <c r="I131" s="327">
        <f>ROUND(D131*H131,2)</f>
        <v>0</v>
      </c>
      <c r="J131" s="302"/>
      <c r="K131" s="286">
        <f>I131-F131</f>
        <v>0</v>
      </c>
      <c r="L131" s="303"/>
      <c r="M131" s="271"/>
      <c r="N131" s="465"/>
      <c r="O131" s="466">
        <f>+K142+K165-O129</f>
        <v>158.90340689585719</v>
      </c>
      <c r="P131" s="235"/>
      <c r="Q131" s="154">
        <f>H131/E131-1</f>
        <v>0.19999999999999996</v>
      </c>
    </row>
    <row r="132" spans="1:17" ht="12.75" x14ac:dyDescent="0.2">
      <c r="A132" s="235"/>
      <c r="B132" s="284" t="s">
        <v>36</v>
      </c>
      <c r="C132" s="297"/>
      <c r="D132" s="301">
        <f>D142</f>
        <v>23311381.287999999</v>
      </c>
      <c r="E132" s="298">
        <v>5.3899999999999998E-3</v>
      </c>
      <c r="F132" s="286">
        <f>ROUND(D132*E132,2)</f>
        <v>125648.35</v>
      </c>
      <c r="G132" s="287"/>
      <c r="H132" s="298">
        <v>5.94E-3</v>
      </c>
      <c r="I132" s="286">
        <f>ROUND(D132*H132,2)</f>
        <v>138469.6</v>
      </c>
      <c r="J132" s="302"/>
      <c r="K132" s="286">
        <f>I132-F132</f>
        <v>12821.25</v>
      </c>
      <c r="L132" s="303"/>
      <c r="M132" s="271"/>
      <c r="N132" s="271"/>
      <c r="O132" s="345"/>
      <c r="P132" s="235"/>
      <c r="Q132" s="154">
        <f>H132/E132-1</f>
        <v>0.10204081632653073</v>
      </c>
    </row>
    <row r="133" spans="1:17" ht="12.75" x14ac:dyDescent="0.2">
      <c r="A133" s="235"/>
      <c r="B133" s="332" t="s">
        <v>47</v>
      </c>
      <c r="C133" s="288"/>
      <c r="D133" s="287"/>
      <c r="E133" s="294"/>
      <c r="F133" s="422">
        <v>83383.63</v>
      </c>
      <c r="G133" s="287"/>
      <c r="H133" s="299" t="s">
        <v>54</v>
      </c>
      <c r="I133" s="440">
        <f>F133</f>
        <v>83383.63</v>
      </c>
      <c r="J133" s="302"/>
      <c r="K133" s="286">
        <f>I133-F133</f>
        <v>0</v>
      </c>
      <c r="L133" s="303"/>
      <c r="M133" s="271"/>
      <c r="N133" s="271"/>
      <c r="O133" s="467"/>
      <c r="P133" s="235"/>
      <c r="Q133" s="235"/>
    </row>
    <row r="134" spans="1:17" ht="12.75" x14ac:dyDescent="0.2">
      <c r="A134" s="235"/>
      <c r="B134" s="284"/>
      <c r="C134" s="258"/>
      <c r="D134" s="287"/>
      <c r="E134" s="441"/>
      <c r="F134" s="286"/>
      <c r="G134" s="287"/>
      <c r="H134" s="299"/>
      <c r="I134" s="327"/>
      <c r="J134" s="302"/>
      <c r="K134" s="345"/>
      <c r="L134" s="303"/>
      <c r="M134" s="271"/>
      <c r="N134" s="420"/>
      <c r="O134" s="468"/>
      <c r="P134" s="235"/>
      <c r="Q134" s="235"/>
    </row>
    <row r="135" spans="1:17" ht="12.75" x14ac:dyDescent="0.2">
      <c r="A135" s="235"/>
      <c r="B135" s="380" t="s">
        <v>40</v>
      </c>
      <c r="C135" s="258"/>
      <c r="D135" s="287"/>
      <c r="E135" s="441"/>
      <c r="F135" s="286"/>
      <c r="G135" s="287"/>
      <c r="H135" s="349"/>
      <c r="I135" s="327"/>
      <c r="J135" s="302"/>
      <c r="K135" s="345"/>
      <c r="L135" s="303"/>
      <c r="M135" s="271"/>
      <c r="N135" s="271"/>
      <c r="O135" s="469"/>
      <c r="P135" s="389"/>
      <c r="Q135" s="389"/>
    </row>
    <row r="136" spans="1:17" ht="12.75" x14ac:dyDescent="0.2">
      <c r="A136" s="235"/>
      <c r="B136" s="284" t="s">
        <v>48</v>
      </c>
      <c r="C136" s="297" t="s">
        <v>33</v>
      </c>
      <c r="D136" s="293">
        <v>1467943.9100000001</v>
      </c>
      <c r="E136" s="298">
        <v>0.14454</v>
      </c>
      <c r="F136" s="286">
        <f t="shared" ref="F136:F141" si="0">ROUND(D136*E136,2)</f>
        <v>212176.61</v>
      </c>
      <c r="G136" s="287"/>
      <c r="H136" s="299">
        <f t="shared" ref="H136:H141" si="1">ROUND(E136*(1+$O$140),5)</f>
        <v>0.1391</v>
      </c>
      <c r="I136" s="327">
        <f t="shared" ref="I136:I141" si="2">ROUND(D136*H136,2)</f>
        <v>204191</v>
      </c>
      <c r="J136" s="302"/>
      <c r="K136" s="286">
        <f t="shared" ref="K136:K141" si="3">I136-F136</f>
        <v>-7985.609999999986</v>
      </c>
      <c r="L136" s="303"/>
      <c r="M136" s="271"/>
      <c r="N136" s="271"/>
      <c r="O136" s="470"/>
      <c r="P136" s="471"/>
      <c r="Q136" s="154">
        <f>H136/E136-1</f>
        <v>-3.7636640376366381E-2</v>
      </c>
    </row>
    <row r="137" spans="1:17" ht="12.75" x14ac:dyDescent="0.2">
      <c r="A137" s="235"/>
      <c r="B137" s="284" t="s">
        <v>49</v>
      </c>
      <c r="C137" s="297" t="s">
        <v>33</v>
      </c>
      <c r="D137" s="293">
        <v>1444685</v>
      </c>
      <c r="E137" s="298">
        <v>8.7349999999999997E-2</v>
      </c>
      <c r="F137" s="286">
        <f t="shared" si="0"/>
        <v>126193.23</v>
      </c>
      <c r="G137" s="287"/>
      <c r="H137" s="299">
        <f t="shared" si="1"/>
        <v>8.4059999999999996E-2</v>
      </c>
      <c r="I137" s="327">
        <f t="shared" si="2"/>
        <v>121440.22</v>
      </c>
      <c r="J137" s="302"/>
      <c r="K137" s="286">
        <f t="shared" si="3"/>
        <v>-4753.0099999999948</v>
      </c>
      <c r="L137" s="303"/>
      <c r="M137" s="271"/>
      <c r="N137" s="271"/>
      <c r="O137" s="372"/>
      <c r="P137" s="258"/>
      <c r="Q137" s="154">
        <f>H137/E137-1</f>
        <v>-3.7664567830566709E-2</v>
      </c>
    </row>
    <row r="138" spans="1:17" ht="12.75" x14ac:dyDescent="0.2">
      <c r="A138" s="235"/>
      <c r="B138" s="284" t="s">
        <v>51</v>
      </c>
      <c r="C138" s="297" t="s">
        <v>33</v>
      </c>
      <c r="D138" s="293">
        <v>2610928.531</v>
      </c>
      <c r="E138" s="298">
        <v>5.5579999999999997E-2</v>
      </c>
      <c r="F138" s="286">
        <f t="shared" si="0"/>
        <v>145115.41</v>
      </c>
      <c r="G138" s="287"/>
      <c r="H138" s="299">
        <f t="shared" si="1"/>
        <v>5.3490000000000003E-2</v>
      </c>
      <c r="I138" s="327">
        <f t="shared" si="2"/>
        <v>139658.57</v>
      </c>
      <c r="J138" s="302"/>
      <c r="K138" s="286">
        <f t="shared" si="3"/>
        <v>-5456.8399999999965</v>
      </c>
      <c r="L138" s="418"/>
      <c r="M138" s="271"/>
      <c r="N138" s="271"/>
      <c r="O138" s="419"/>
      <c r="P138" s="419"/>
      <c r="Q138" s="154">
        <f>H138/E138-1</f>
        <v>-3.7603454480028664E-2</v>
      </c>
    </row>
    <row r="139" spans="1:17" ht="12.75" x14ac:dyDescent="0.2">
      <c r="A139" s="235"/>
      <c r="B139" s="284" t="s">
        <v>55</v>
      </c>
      <c r="C139" s="297" t="s">
        <v>33</v>
      </c>
      <c r="D139" s="293">
        <v>3148639.4549999996</v>
      </c>
      <c r="E139" s="298">
        <v>3.5639999999999998E-2</v>
      </c>
      <c r="F139" s="286">
        <f t="shared" si="0"/>
        <v>112217.51</v>
      </c>
      <c r="G139" s="287"/>
      <c r="H139" s="299">
        <f t="shared" si="1"/>
        <v>3.4299999999999997E-2</v>
      </c>
      <c r="I139" s="327">
        <f t="shared" si="2"/>
        <v>107998.33</v>
      </c>
      <c r="J139" s="302"/>
      <c r="K139" s="286">
        <f t="shared" si="3"/>
        <v>-4219.179999999993</v>
      </c>
      <c r="L139" s="418"/>
      <c r="M139" s="271"/>
      <c r="N139" s="271"/>
      <c r="O139" s="297"/>
      <c r="P139" s="297"/>
      <c r="Q139" s="154">
        <f>H139/E139-1</f>
        <v>-3.7598204264870927E-2</v>
      </c>
    </row>
    <row r="140" spans="1:17" ht="12.75" x14ac:dyDescent="0.2">
      <c r="A140" s="235"/>
      <c r="B140" s="284" t="s">
        <v>56</v>
      </c>
      <c r="C140" s="297" t="s">
        <v>33</v>
      </c>
      <c r="D140" s="293">
        <v>3956750.5819999999</v>
      </c>
      <c r="E140" s="298">
        <v>2.564E-2</v>
      </c>
      <c r="F140" s="286">
        <f t="shared" si="0"/>
        <v>101451.08</v>
      </c>
      <c r="G140" s="287"/>
      <c r="H140" s="299">
        <f>ROUND(E140*(1+$O$140),5)</f>
        <v>2.4680000000000001E-2</v>
      </c>
      <c r="I140" s="327">
        <f t="shared" si="2"/>
        <v>97652.6</v>
      </c>
      <c r="J140" s="302"/>
      <c r="K140" s="286">
        <f t="shared" si="3"/>
        <v>-3798.4799999999959</v>
      </c>
      <c r="L140" s="418"/>
      <c r="M140" s="271"/>
      <c r="N140" s="271"/>
      <c r="O140" s="311">
        <v>-3.7635543330283718E-2</v>
      </c>
      <c r="P140" s="258"/>
      <c r="Q140" s="154">
        <f>H140/E140-1</f>
        <v>-3.7441497659906342E-2</v>
      </c>
    </row>
    <row r="141" spans="1:17" ht="12.75" x14ac:dyDescent="0.2">
      <c r="A141" s="235"/>
      <c r="B141" s="284" t="s">
        <v>57</v>
      </c>
      <c r="C141" s="297" t="s">
        <v>33</v>
      </c>
      <c r="D141" s="293">
        <v>10682433.809999999</v>
      </c>
      <c r="E141" s="298">
        <v>1.9769999999999999E-2</v>
      </c>
      <c r="F141" s="286">
        <f t="shared" si="0"/>
        <v>211191.72</v>
      </c>
      <c r="G141" s="287"/>
      <c r="H141" s="299">
        <f t="shared" si="1"/>
        <v>1.9029999999999998E-2</v>
      </c>
      <c r="I141" s="327">
        <f t="shared" si="2"/>
        <v>203286.72</v>
      </c>
      <c r="J141" s="302"/>
      <c r="K141" s="286">
        <f t="shared" si="3"/>
        <v>-7905</v>
      </c>
      <c r="L141" s="418"/>
      <c r="M141" s="271"/>
      <c r="N141" s="271"/>
      <c r="O141" s="297"/>
      <c r="P141" s="305"/>
      <c r="Q141" s="229"/>
    </row>
    <row r="142" spans="1:17" ht="12.75" x14ac:dyDescent="0.2">
      <c r="A142" s="235"/>
      <c r="B142" s="174" t="s">
        <v>216</v>
      </c>
      <c r="C142" s="297" t="s">
        <v>33</v>
      </c>
      <c r="D142" s="472">
        <f>SUM(D136:D141)</f>
        <v>23311381.287999999</v>
      </c>
      <c r="E142" s="456"/>
      <c r="F142" s="361">
        <f>SUM(F130:F141)</f>
        <v>1152005.78</v>
      </c>
      <c r="G142" s="287"/>
      <c r="H142" s="341"/>
      <c r="I142" s="361">
        <f>SUM(I130:I141)</f>
        <v>1129405.5499999998</v>
      </c>
      <c r="J142" s="302"/>
      <c r="K142" s="361">
        <f>I142-F142</f>
        <v>-22600.230000000214</v>
      </c>
      <c r="L142" s="417">
        <f>K142/F142</f>
        <v>-1.9618156776956636E-2</v>
      </c>
      <c r="M142" s="271"/>
      <c r="N142" s="271"/>
      <c r="O142" s="297"/>
      <c r="P142" s="473"/>
      <c r="Q142" s="229"/>
    </row>
    <row r="143" spans="1:17" ht="12.75" x14ac:dyDescent="0.2">
      <c r="A143" s="235"/>
      <c r="B143" s="316"/>
      <c r="C143" s="305"/>
      <c r="D143" s="287"/>
      <c r="E143" s="456"/>
      <c r="F143" s="286"/>
      <c r="G143" s="287"/>
      <c r="H143" s="341"/>
      <c r="I143" s="327"/>
      <c r="J143" s="302"/>
      <c r="K143" s="286"/>
      <c r="L143" s="289"/>
      <c r="M143" s="271"/>
      <c r="N143" s="430"/>
      <c r="O143" s="474"/>
      <c r="P143" s="297"/>
      <c r="Q143" s="287"/>
    </row>
    <row r="144" spans="1:17" ht="12.75" x14ac:dyDescent="0.2">
      <c r="A144" s="235"/>
      <c r="B144" s="142" t="s">
        <v>214</v>
      </c>
      <c r="C144" s="305"/>
      <c r="D144" s="287"/>
      <c r="E144" s="456"/>
      <c r="F144" s="286"/>
      <c r="G144" s="287"/>
      <c r="H144" s="341"/>
      <c r="I144" s="327"/>
      <c r="J144" s="302"/>
      <c r="K144" s="286"/>
      <c r="L144" s="289"/>
      <c r="M144" s="271"/>
      <c r="N144" s="271"/>
      <c r="O144" s="305"/>
      <c r="P144" s="305"/>
      <c r="Q144" s="288"/>
    </row>
    <row r="145" spans="1:17" ht="12.75" x14ac:dyDescent="0.2">
      <c r="A145" s="235"/>
      <c r="B145" s="380" t="s">
        <v>234</v>
      </c>
      <c r="C145" s="297" t="s">
        <v>33</v>
      </c>
      <c r="D145" s="428">
        <f>D142</f>
        <v>23311381.287999999</v>
      </c>
      <c r="E145" s="298">
        <v>0.34531000000000001</v>
      </c>
      <c r="F145" s="327">
        <f>+E145*D145</f>
        <v>8049653.0725592794</v>
      </c>
      <c r="G145" s="429"/>
      <c r="H145" s="298">
        <v>0.39035999999999998</v>
      </c>
      <c r="I145" s="327">
        <f>+H145*D145</f>
        <v>9099830.7995836791</v>
      </c>
      <c r="J145" s="302"/>
      <c r="K145" s="286">
        <f>I145-F145</f>
        <v>1050177.7270243997</v>
      </c>
      <c r="L145" s="418"/>
      <c r="M145" s="271"/>
      <c r="N145" s="271"/>
      <c r="O145" s="258"/>
      <c r="P145" s="258"/>
      <c r="Q145" s="288"/>
    </row>
    <row r="146" spans="1:17" ht="12.75" x14ac:dyDescent="0.2">
      <c r="A146" s="235"/>
      <c r="B146" s="380" t="s">
        <v>39</v>
      </c>
      <c r="C146" s="297" t="s">
        <v>37</v>
      </c>
      <c r="D146" s="428">
        <f>D131</f>
        <v>0</v>
      </c>
      <c r="E146" s="294">
        <v>1.05</v>
      </c>
      <c r="F146" s="327">
        <f>D146*E146</f>
        <v>0</v>
      </c>
      <c r="G146" s="429"/>
      <c r="H146" s="294">
        <v>1.05</v>
      </c>
      <c r="I146" s="327">
        <f>D146*H146</f>
        <v>0</v>
      </c>
      <c r="J146" s="302"/>
      <c r="K146" s="286">
        <f>I146-F146</f>
        <v>0</v>
      </c>
      <c r="L146" s="289"/>
      <c r="M146" s="271"/>
      <c r="N146" s="271"/>
      <c r="O146" s="305"/>
      <c r="P146" s="305"/>
      <c r="Q146" s="288"/>
    </row>
    <row r="147" spans="1:17" ht="12.75" x14ac:dyDescent="0.2">
      <c r="A147" s="235"/>
      <c r="B147" s="368" t="s">
        <v>235</v>
      </c>
      <c r="C147" s="305"/>
      <c r="D147" s="288"/>
      <c r="E147" s="369"/>
      <c r="F147" s="361">
        <f>SUM(F145:F146)</f>
        <v>8049653.0725592794</v>
      </c>
      <c r="G147" s="288"/>
      <c r="H147" s="341"/>
      <c r="I147" s="361">
        <f>SUM(I145:I146)</f>
        <v>9099830.7995836791</v>
      </c>
      <c r="J147" s="361"/>
      <c r="K147" s="361">
        <f>I147-F147</f>
        <v>1050177.7270243997</v>
      </c>
      <c r="L147" s="417">
        <f>ROUND(K147/F147,5)</f>
        <v>0.13045999999999999</v>
      </c>
      <c r="M147" s="271"/>
      <c r="N147" s="271"/>
      <c r="O147" s="258"/>
      <c r="P147" s="258"/>
      <c r="Q147" s="288"/>
    </row>
    <row r="148" spans="1:17" ht="12.75" x14ac:dyDescent="0.2">
      <c r="A148" s="235"/>
      <c r="B148" s="284"/>
      <c r="C148" s="258"/>
      <c r="D148" s="287"/>
      <c r="E148" s="369"/>
      <c r="F148" s="327"/>
      <c r="G148" s="287"/>
      <c r="H148" s="341"/>
      <c r="I148" s="327"/>
      <c r="J148" s="327"/>
      <c r="K148" s="286"/>
      <c r="L148" s="289"/>
      <c r="M148" s="271"/>
      <c r="N148" s="271"/>
      <c r="O148" s="419"/>
      <c r="P148" s="297"/>
      <c r="Q148" s="287"/>
    </row>
    <row r="149" spans="1:17" ht="12.75" x14ac:dyDescent="0.2">
      <c r="A149" s="235"/>
      <c r="B149" s="284" t="s">
        <v>215</v>
      </c>
      <c r="C149" s="258"/>
      <c r="D149" s="287"/>
      <c r="E149" s="369"/>
      <c r="F149" s="361">
        <f>F142+F147</f>
        <v>9201658.8525592797</v>
      </c>
      <c r="G149" s="287"/>
      <c r="H149" s="341"/>
      <c r="I149" s="361">
        <f>I142+I147</f>
        <v>10229236.349583678</v>
      </c>
      <c r="J149" s="302"/>
      <c r="K149" s="361">
        <f>K142+K147</f>
        <v>1027577.4970243995</v>
      </c>
      <c r="L149" s="417">
        <f>K149/F149</f>
        <v>0.11167307042018808</v>
      </c>
      <c r="M149" s="271"/>
      <c r="N149" s="271"/>
      <c r="O149" s="297"/>
      <c r="P149" s="297"/>
      <c r="Q149" s="287"/>
    </row>
    <row r="150" spans="1:17" ht="12.75" x14ac:dyDescent="0.2">
      <c r="A150" s="258"/>
      <c r="B150" s="318"/>
      <c r="C150" s="431"/>
      <c r="D150" s="432"/>
      <c r="E150" s="449"/>
      <c r="F150" s="324"/>
      <c r="G150" s="432"/>
      <c r="H150" s="434"/>
      <c r="I150" s="443"/>
      <c r="J150" s="435"/>
      <c r="K150" s="325"/>
      <c r="L150" s="458"/>
      <c r="M150" s="271"/>
      <c r="N150" s="271"/>
      <c r="O150" s="419"/>
      <c r="P150" s="297"/>
      <c r="Q150" s="287"/>
    </row>
    <row r="151" spans="1:17" ht="12.75" x14ac:dyDescent="0.2">
      <c r="A151" s="258"/>
      <c r="B151" s="258"/>
      <c r="C151" s="258"/>
      <c r="D151" s="287"/>
      <c r="E151" s="349"/>
      <c r="F151" s="295"/>
      <c r="G151" s="287"/>
      <c r="H151" s="341"/>
      <c r="I151" s="327"/>
      <c r="J151" s="302"/>
      <c r="K151" s="286"/>
      <c r="L151" s="460"/>
      <c r="M151" s="271"/>
      <c r="N151" s="271"/>
      <c r="O151" s="297"/>
      <c r="P151" s="297"/>
      <c r="Q151" s="287"/>
    </row>
    <row r="152" spans="1:17" ht="12.75" x14ac:dyDescent="0.2">
      <c r="A152" s="258"/>
      <c r="B152" s="276" t="s">
        <v>255</v>
      </c>
      <c r="C152" s="412"/>
      <c r="D152" s="280"/>
      <c r="E152" s="413"/>
      <c r="F152" s="279"/>
      <c r="G152" s="280"/>
      <c r="H152" s="415"/>
      <c r="I152" s="361"/>
      <c r="J152" s="416"/>
      <c r="K152" s="279"/>
      <c r="L152" s="417"/>
      <c r="M152" s="271"/>
      <c r="N152" s="271"/>
      <c r="O152" s="258"/>
      <c r="P152" s="258"/>
      <c r="Q152" s="287"/>
    </row>
    <row r="153" spans="1:17" ht="12.75" x14ac:dyDescent="0.2">
      <c r="A153" s="258"/>
      <c r="B153" s="284"/>
      <c r="C153" s="258"/>
      <c r="D153" s="287"/>
      <c r="E153" s="312"/>
      <c r="F153" s="286"/>
      <c r="G153" s="287"/>
      <c r="H153" s="341"/>
      <c r="I153" s="327"/>
      <c r="J153" s="302"/>
      <c r="K153" s="286"/>
      <c r="L153" s="418"/>
      <c r="M153" s="271"/>
      <c r="N153" s="271"/>
      <c r="O153" s="258"/>
      <c r="P153" s="258"/>
      <c r="Q153" s="287"/>
    </row>
    <row r="154" spans="1:17" ht="12.75" x14ac:dyDescent="0.2">
      <c r="A154" s="258"/>
      <c r="B154" s="368" t="s">
        <v>30</v>
      </c>
      <c r="C154" s="419" t="s">
        <v>31</v>
      </c>
      <c r="D154" s="293">
        <v>129.03333266999661</v>
      </c>
      <c r="E154" s="294">
        <v>926.71</v>
      </c>
      <c r="F154" s="286">
        <f>ROUND(D154*E154,2)</f>
        <v>119576.48</v>
      </c>
      <c r="G154" s="287"/>
      <c r="H154" s="375">
        <f>ROUND(E154*(1+$O$140),2)</f>
        <v>891.83</v>
      </c>
      <c r="I154" s="327">
        <f>ROUND(D154*H154,2)</f>
        <v>115075.8</v>
      </c>
      <c r="J154" s="302"/>
      <c r="K154" s="286">
        <f>I154-F154</f>
        <v>-4500.679999999993</v>
      </c>
      <c r="L154" s="303"/>
      <c r="M154" s="271"/>
      <c r="N154" s="271"/>
      <c r="O154" s="258"/>
      <c r="P154" s="258"/>
      <c r="Q154" s="154">
        <f>H154/E154-1</f>
        <v>-3.763852769474807E-2</v>
      </c>
    </row>
    <row r="155" spans="1:17" ht="12.75" x14ac:dyDescent="0.2">
      <c r="A155" s="258"/>
      <c r="B155" s="380" t="s">
        <v>39</v>
      </c>
      <c r="C155" s="297" t="s">
        <v>37</v>
      </c>
      <c r="D155" s="293">
        <v>295626.66599999997</v>
      </c>
      <c r="E155" s="294">
        <v>1.1499999999999999</v>
      </c>
      <c r="F155" s="286">
        <f>ROUND(D155*E155,2)</f>
        <v>339970.67</v>
      </c>
      <c r="G155" s="287"/>
      <c r="H155" s="375">
        <f>H131</f>
        <v>1.38</v>
      </c>
      <c r="I155" s="327">
        <f>ROUND(D155*H155,2)</f>
        <v>407964.8</v>
      </c>
      <c r="J155" s="302"/>
      <c r="K155" s="286">
        <f>I155-F155</f>
        <v>67994.13</v>
      </c>
      <c r="L155" s="303"/>
      <c r="M155" s="271"/>
      <c r="N155" s="271"/>
      <c r="O155" s="235"/>
      <c r="P155" s="235"/>
      <c r="Q155" s="154">
        <f>H155/E155-1</f>
        <v>0.19999999999999996</v>
      </c>
    </row>
    <row r="156" spans="1:17" ht="12.75" x14ac:dyDescent="0.2">
      <c r="A156" s="258"/>
      <c r="B156" s="380" t="s">
        <v>47</v>
      </c>
      <c r="C156" s="297"/>
      <c r="D156" s="293"/>
      <c r="E156" s="294"/>
      <c r="F156" s="422">
        <v>24437.89</v>
      </c>
      <c r="G156" s="287"/>
      <c r="H156" s="341"/>
      <c r="I156" s="440">
        <f>F156</f>
        <v>24437.89</v>
      </c>
      <c r="J156" s="302"/>
      <c r="K156" s="345"/>
      <c r="L156" s="303"/>
      <c r="M156" s="271"/>
      <c r="N156" s="271"/>
      <c r="O156" s="235"/>
      <c r="P156" s="235"/>
      <c r="Q156" s="235"/>
    </row>
    <row r="157" spans="1:17" ht="12.75" x14ac:dyDescent="0.2">
      <c r="A157" s="258"/>
      <c r="B157" s="336"/>
      <c r="C157" s="297"/>
      <c r="D157" s="293"/>
      <c r="E157" s="298"/>
      <c r="F157" s="286"/>
      <c r="G157" s="287"/>
      <c r="H157" s="334"/>
      <c r="I157" s="327"/>
      <c r="J157" s="302"/>
      <c r="K157" s="345"/>
      <c r="L157" s="303"/>
      <c r="M157" s="271"/>
      <c r="N157" s="271"/>
      <c r="O157" s="235"/>
      <c r="P157" s="235"/>
      <c r="Q157" s="235"/>
    </row>
    <row r="158" spans="1:17" ht="12.75" x14ac:dyDescent="0.2">
      <c r="A158" s="258"/>
      <c r="B158" s="380" t="s">
        <v>40</v>
      </c>
      <c r="C158" s="258"/>
      <c r="D158" s="293"/>
      <c r="E158" s="441"/>
      <c r="F158" s="286"/>
      <c r="G158" s="287"/>
      <c r="H158" s="349"/>
      <c r="I158" s="327"/>
      <c r="J158" s="302"/>
      <c r="K158" s="345"/>
      <c r="L158" s="303"/>
      <c r="M158" s="271"/>
      <c r="N158" s="271"/>
      <c r="O158" s="235"/>
      <c r="P158" s="235"/>
      <c r="Q158" s="235"/>
    </row>
    <row r="159" spans="1:17" ht="12.75" x14ac:dyDescent="0.2">
      <c r="A159" s="258"/>
      <c r="B159" s="284" t="s">
        <v>48</v>
      </c>
      <c r="C159" s="297" t="s">
        <v>33</v>
      </c>
      <c r="D159" s="293">
        <v>3241892.74</v>
      </c>
      <c r="E159" s="298">
        <v>0.14454</v>
      </c>
      <c r="F159" s="295">
        <f t="shared" ref="F159:F164" si="4">ROUND(D159*E159,2)</f>
        <v>468583.18</v>
      </c>
      <c r="G159" s="287"/>
      <c r="H159" s="299">
        <f t="shared" ref="H159:H164" si="5">H136</f>
        <v>0.1391</v>
      </c>
      <c r="I159" s="327">
        <f t="shared" ref="I159:I164" si="6">ROUND(D159*H159,2)</f>
        <v>450947.28</v>
      </c>
      <c r="J159" s="302"/>
      <c r="K159" s="286">
        <f t="shared" ref="K159:K164" si="7">I159-F159</f>
        <v>-17635.899999999965</v>
      </c>
      <c r="L159" s="475"/>
      <c r="M159" s="271"/>
      <c r="N159" s="271"/>
      <c r="O159" s="235"/>
      <c r="P159" s="235"/>
      <c r="Q159" s="154">
        <f t="shared" ref="Q159:Q164" si="8">H159/E159-1</f>
        <v>-3.7636640376366381E-2</v>
      </c>
    </row>
    <row r="160" spans="1:17" ht="12.75" x14ac:dyDescent="0.2">
      <c r="A160" s="258"/>
      <c r="B160" s="284" t="s">
        <v>49</v>
      </c>
      <c r="C160" s="297" t="s">
        <v>33</v>
      </c>
      <c r="D160" s="293">
        <v>3200834</v>
      </c>
      <c r="E160" s="298">
        <v>8.7349999999999997E-2</v>
      </c>
      <c r="F160" s="295">
        <f t="shared" si="4"/>
        <v>279592.84999999998</v>
      </c>
      <c r="G160" s="287"/>
      <c r="H160" s="299">
        <f t="shared" si="5"/>
        <v>8.4059999999999996E-2</v>
      </c>
      <c r="I160" s="327">
        <f t="shared" si="6"/>
        <v>269062.11</v>
      </c>
      <c r="J160" s="302"/>
      <c r="K160" s="286">
        <f t="shared" si="7"/>
        <v>-10530.739999999991</v>
      </c>
      <c r="L160" s="475"/>
      <c r="M160" s="271"/>
      <c r="N160" s="271"/>
      <c r="O160" s="235"/>
      <c r="P160" s="235"/>
      <c r="Q160" s="154">
        <f t="shared" si="8"/>
        <v>-3.7664567830566709E-2</v>
      </c>
    </row>
    <row r="161" spans="1:17" ht="12.75" x14ac:dyDescent="0.2">
      <c r="A161" s="258"/>
      <c r="B161" s="284" t="s">
        <v>51</v>
      </c>
      <c r="C161" s="297" t="s">
        <v>33</v>
      </c>
      <c r="D161" s="293">
        <v>6355015.8100000005</v>
      </c>
      <c r="E161" s="298">
        <v>5.5579999999999997E-2</v>
      </c>
      <c r="F161" s="295">
        <f t="shared" si="4"/>
        <v>353211.78</v>
      </c>
      <c r="G161" s="287"/>
      <c r="H161" s="299">
        <f t="shared" si="5"/>
        <v>5.3490000000000003E-2</v>
      </c>
      <c r="I161" s="327">
        <f t="shared" si="6"/>
        <v>339929.8</v>
      </c>
      <c r="J161" s="302"/>
      <c r="K161" s="286">
        <f t="shared" si="7"/>
        <v>-13281.98000000004</v>
      </c>
      <c r="L161" s="475"/>
      <c r="M161" s="271"/>
      <c r="N161" s="271"/>
      <c r="O161" s="235"/>
      <c r="P161" s="235"/>
      <c r="Q161" s="154">
        <f t="shared" si="8"/>
        <v>-3.7603454480028664E-2</v>
      </c>
    </row>
    <row r="162" spans="1:17" ht="12.75" x14ac:dyDescent="0.2">
      <c r="A162" s="258"/>
      <c r="B162" s="284" t="s">
        <v>55</v>
      </c>
      <c r="C162" s="297" t="s">
        <v>33</v>
      </c>
      <c r="D162" s="293">
        <v>12008960.810000001</v>
      </c>
      <c r="E162" s="298">
        <v>3.5639999999999998E-2</v>
      </c>
      <c r="F162" s="295">
        <f t="shared" si="4"/>
        <v>427999.36</v>
      </c>
      <c r="G162" s="287"/>
      <c r="H162" s="299">
        <f t="shared" si="5"/>
        <v>3.4299999999999997E-2</v>
      </c>
      <c r="I162" s="327">
        <f t="shared" si="6"/>
        <v>411907.36</v>
      </c>
      <c r="J162" s="302"/>
      <c r="K162" s="286">
        <f t="shared" si="7"/>
        <v>-16092</v>
      </c>
      <c r="L162" s="475"/>
      <c r="M162" s="271"/>
      <c r="N162" s="271"/>
      <c r="O162" s="235"/>
      <c r="P162" s="235"/>
      <c r="Q162" s="154">
        <f t="shared" si="8"/>
        <v>-3.7598204264870927E-2</v>
      </c>
    </row>
    <row r="163" spans="1:17" ht="12.75" x14ac:dyDescent="0.2">
      <c r="A163" s="258"/>
      <c r="B163" s="284" t="s">
        <v>56</v>
      </c>
      <c r="C163" s="297" t="s">
        <v>33</v>
      </c>
      <c r="D163" s="293">
        <v>27176210.120000001</v>
      </c>
      <c r="E163" s="298">
        <v>2.564E-2</v>
      </c>
      <c r="F163" s="295">
        <f t="shared" si="4"/>
        <v>696798.03</v>
      </c>
      <c r="G163" s="287"/>
      <c r="H163" s="299">
        <f t="shared" si="5"/>
        <v>2.4680000000000001E-2</v>
      </c>
      <c r="I163" s="327">
        <f t="shared" si="6"/>
        <v>670708.87</v>
      </c>
      <c r="J163" s="302"/>
      <c r="K163" s="286">
        <f t="shared" si="7"/>
        <v>-26089.160000000033</v>
      </c>
      <c r="L163" s="475"/>
      <c r="M163" s="271"/>
      <c r="N163" s="271"/>
      <c r="O163" s="235"/>
      <c r="P163" s="235"/>
      <c r="Q163" s="154">
        <f t="shared" si="8"/>
        <v>-3.7441497659906342E-2</v>
      </c>
    </row>
    <row r="164" spans="1:17" ht="12.75" x14ac:dyDescent="0.2">
      <c r="A164" s="258"/>
      <c r="B164" s="284" t="s">
        <v>57</v>
      </c>
      <c r="C164" s="297" t="s">
        <v>33</v>
      </c>
      <c r="D164" s="293">
        <v>47293725.469999999</v>
      </c>
      <c r="E164" s="298">
        <v>1.9769999999999999E-2</v>
      </c>
      <c r="F164" s="295">
        <f t="shared" si="4"/>
        <v>934996.95</v>
      </c>
      <c r="G164" s="287"/>
      <c r="H164" s="299">
        <f t="shared" si="5"/>
        <v>1.9029999999999998E-2</v>
      </c>
      <c r="I164" s="327">
        <f t="shared" si="6"/>
        <v>899999.6</v>
      </c>
      <c r="J164" s="302"/>
      <c r="K164" s="286">
        <f t="shared" si="7"/>
        <v>-34997.349999999977</v>
      </c>
      <c r="L164" s="475"/>
      <c r="M164" s="271"/>
      <c r="N164" s="271"/>
      <c r="O164" s="235"/>
      <c r="P164" s="235"/>
      <c r="Q164" s="154">
        <f t="shared" si="8"/>
        <v>-3.7430450177035945E-2</v>
      </c>
    </row>
    <row r="165" spans="1:17" ht="12.75" x14ac:dyDescent="0.2">
      <c r="A165" s="258"/>
      <c r="B165" s="174" t="s">
        <v>216</v>
      </c>
      <c r="C165" s="297"/>
      <c r="D165" s="472">
        <f>SUM(D159:D164)</f>
        <v>99276638.950000003</v>
      </c>
      <c r="E165" s="298"/>
      <c r="F165" s="447">
        <f>SUM(F154:F164)</f>
        <v>3645167.1900000004</v>
      </c>
      <c r="G165" s="287"/>
      <c r="H165" s="349"/>
      <c r="I165" s="447">
        <f>SUM(I154:I164)</f>
        <v>3590033.5100000002</v>
      </c>
      <c r="J165" s="302"/>
      <c r="K165" s="447">
        <f>SUM(K154:K164)</f>
        <v>-55133.679999999993</v>
      </c>
      <c r="L165" s="417">
        <f>K165/F165</f>
        <v>-1.5125144369578281E-2</v>
      </c>
      <c r="M165" s="271"/>
      <c r="N165" s="271"/>
      <c r="O165" s="235"/>
      <c r="P165" s="235"/>
      <c r="Q165" s="235"/>
    </row>
    <row r="166" spans="1:17" ht="12.75" x14ac:dyDescent="0.2">
      <c r="A166" s="258"/>
      <c r="B166" s="380"/>
      <c r="C166" s="305"/>
      <c r="D166" s="287"/>
      <c r="E166" s="298"/>
      <c r="F166" s="286"/>
      <c r="G166" s="287"/>
      <c r="H166" s="341"/>
      <c r="I166" s="327"/>
      <c r="J166" s="302"/>
      <c r="K166" s="286"/>
      <c r="L166" s="289"/>
      <c r="M166" s="271"/>
      <c r="N166" s="271"/>
      <c r="O166" s="235"/>
      <c r="P166" s="235"/>
      <c r="Q166" s="235"/>
    </row>
    <row r="167" spans="1:17" ht="12.75" x14ac:dyDescent="0.2">
      <c r="A167" s="258"/>
      <c r="B167" s="368" t="s">
        <v>230</v>
      </c>
      <c r="C167" s="297" t="s">
        <v>33</v>
      </c>
      <c r="D167" s="428">
        <f>D165</f>
        <v>99276638.950000003</v>
      </c>
      <c r="E167" s="298">
        <v>6.9999999999999999E-4</v>
      </c>
      <c r="F167" s="327">
        <f>+E167*D167</f>
        <v>69493.647265000007</v>
      </c>
      <c r="G167" s="429"/>
      <c r="H167" s="334">
        <v>6.9999999999999999E-4</v>
      </c>
      <c r="I167" s="327">
        <f>+H167*D167</f>
        <v>69493.647265000007</v>
      </c>
      <c r="J167" s="302"/>
      <c r="K167" s="286">
        <f>I167-F167</f>
        <v>0</v>
      </c>
      <c r="L167" s="418"/>
      <c r="M167" s="271"/>
      <c r="N167" s="271"/>
      <c r="O167" s="235"/>
      <c r="P167" s="235"/>
      <c r="Q167" s="235"/>
    </row>
    <row r="168" spans="1:17" ht="12.75" x14ac:dyDescent="0.2">
      <c r="A168" s="258"/>
      <c r="B168" s="284" t="s">
        <v>215</v>
      </c>
      <c r="C168" s="258"/>
      <c r="D168" s="287"/>
      <c r="E168" s="369"/>
      <c r="F168" s="361">
        <f>F167+F165</f>
        <v>3714660.8372650002</v>
      </c>
      <c r="G168" s="287"/>
      <c r="H168" s="341"/>
      <c r="I168" s="361">
        <f>I167+I165</f>
        <v>3659527.157265</v>
      </c>
      <c r="J168" s="302"/>
      <c r="K168" s="361">
        <f>K167+K165</f>
        <v>-55133.679999999993</v>
      </c>
      <c r="L168" s="417">
        <f>K168/F168</f>
        <v>-1.4842184095760776E-2</v>
      </c>
      <c r="M168" s="271"/>
      <c r="N168" s="271"/>
      <c r="O168" s="386"/>
      <c r="P168" s="235"/>
      <c r="Q168" s="235"/>
    </row>
    <row r="169" spans="1:17" s="69" customFormat="1" ht="12.75" x14ac:dyDescent="0.2">
      <c r="A169" s="258"/>
      <c r="B169" s="318"/>
      <c r="C169" s="431"/>
      <c r="D169" s="432"/>
      <c r="E169" s="449"/>
      <c r="F169" s="324"/>
      <c r="G169" s="432"/>
      <c r="H169" s="434"/>
      <c r="I169" s="443"/>
      <c r="J169" s="435"/>
      <c r="K169" s="325"/>
      <c r="L169" s="458"/>
      <c r="M169" s="271"/>
      <c r="N169" s="271"/>
      <c r="O169" s="258"/>
      <c r="P169" s="258"/>
      <c r="Q169" s="258"/>
    </row>
    <row r="170" spans="1:17" s="69" customFormat="1" ht="12.75" x14ac:dyDescent="0.2">
      <c r="A170" s="258"/>
      <c r="B170" s="258"/>
      <c r="C170" s="258"/>
      <c r="D170" s="287"/>
      <c r="E170" s="349"/>
      <c r="F170" s="295"/>
      <c r="G170" s="287"/>
      <c r="H170" s="341"/>
      <c r="I170" s="327"/>
      <c r="J170" s="302"/>
      <c r="K170" s="286"/>
      <c r="L170" s="460"/>
      <c r="M170" s="271"/>
      <c r="N170" s="271"/>
      <c r="O170" s="258"/>
      <c r="P170" s="258"/>
      <c r="Q170" s="258"/>
    </row>
    <row r="171" spans="1:17" ht="12.75" x14ac:dyDescent="0.2">
      <c r="A171" s="258"/>
      <c r="B171" s="329" t="s">
        <v>256</v>
      </c>
      <c r="C171" s="476"/>
      <c r="D171" s="280"/>
      <c r="E171" s="477"/>
      <c r="F171" s="307"/>
      <c r="G171" s="280"/>
      <c r="H171" s="415"/>
      <c r="I171" s="447"/>
      <c r="J171" s="478"/>
      <c r="K171" s="307"/>
      <c r="L171" s="425"/>
      <c r="M171" s="271"/>
      <c r="N171" s="271"/>
      <c r="O171" s="235"/>
      <c r="P171" s="235"/>
      <c r="Q171" s="235"/>
    </row>
    <row r="172" spans="1:17" ht="12.75" x14ac:dyDescent="0.2">
      <c r="A172" s="258"/>
      <c r="B172" s="336"/>
      <c r="C172" s="288"/>
      <c r="D172" s="287"/>
      <c r="E172" s="349"/>
      <c r="F172" s="295"/>
      <c r="G172" s="287"/>
      <c r="H172" s="341"/>
      <c r="I172" s="436"/>
      <c r="J172" s="437"/>
      <c r="K172" s="295"/>
      <c r="L172" s="444"/>
      <c r="M172" s="271"/>
      <c r="N172" s="271"/>
      <c r="O172" s="235"/>
      <c r="P172" s="235"/>
      <c r="Q172" s="235"/>
    </row>
    <row r="173" spans="1:17" ht="12.75" x14ac:dyDescent="0.2">
      <c r="A173" s="258"/>
      <c r="B173" s="330" t="s">
        <v>30</v>
      </c>
      <c r="C173" s="374" t="s">
        <v>31</v>
      </c>
      <c r="D173" s="301">
        <f>D154+D130</f>
        <v>188.8206975944785</v>
      </c>
      <c r="E173" s="333"/>
      <c r="F173" s="295">
        <f>F154+F130</f>
        <v>154204.72</v>
      </c>
      <c r="G173" s="287"/>
      <c r="H173" s="333"/>
      <c r="I173" s="295">
        <f>I154+I130</f>
        <v>148400.68</v>
      </c>
      <c r="J173" s="437"/>
      <c r="K173" s="436">
        <f>I173-F173</f>
        <v>-5804.0400000000081</v>
      </c>
      <c r="L173" s="479"/>
      <c r="M173" s="271"/>
      <c r="N173" s="271"/>
      <c r="O173" s="235"/>
      <c r="P173" s="235"/>
      <c r="Q173" s="235"/>
    </row>
    <row r="174" spans="1:17" ht="12.75" x14ac:dyDescent="0.2">
      <c r="A174" s="258"/>
      <c r="B174" s="332" t="s">
        <v>39</v>
      </c>
      <c r="C174" s="356" t="s">
        <v>37</v>
      </c>
      <c r="D174" s="301">
        <f>D155+D131</f>
        <v>295626.66599999997</v>
      </c>
      <c r="E174" s="333"/>
      <c r="F174" s="295">
        <f>F155+F131</f>
        <v>339970.67</v>
      </c>
      <c r="G174" s="287"/>
      <c r="H174" s="333"/>
      <c r="I174" s="295">
        <f>I155+I131</f>
        <v>407964.8</v>
      </c>
      <c r="J174" s="437"/>
      <c r="K174" s="436">
        <f>I174-F174</f>
        <v>67994.13</v>
      </c>
      <c r="L174" s="479"/>
      <c r="M174" s="271"/>
      <c r="N174" s="271"/>
      <c r="O174" s="235"/>
      <c r="P174" s="235"/>
      <c r="Q174" s="235"/>
    </row>
    <row r="175" spans="1:17" ht="12.75" x14ac:dyDescent="0.2">
      <c r="A175" s="258"/>
      <c r="B175" s="336" t="s">
        <v>36</v>
      </c>
      <c r="C175" s="356"/>
      <c r="D175" s="378"/>
      <c r="E175" s="333"/>
      <c r="F175" s="295">
        <f>F132</f>
        <v>125648.35</v>
      </c>
      <c r="G175" s="287"/>
      <c r="H175" s="333"/>
      <c r="I175" s="295">
        <f>I132</f>
        <v>138469.6</v>
      </c>
      <c r="J175" s="437"/>
      <c r="K175" s="436">
        <f>I175-F175</f>
        <v>12821.25</v>
      </c>
      <c r="L175" s="479"/>
      <c r="M175" s="271"/>
      <c r="N175" s="271"/>
      <c r="O175" s="235"/>
      <c r="P175" s="235"/>
      <c r="Q175" s="235"/>
    </row>
    <row r="176" spans="1:17" ht="12.75" x14ac:dyDescent="0.2">
      <c r="A176" s="258"/>
      <c r="B176" s="332" t="s">
        <v>47</v>
      </c>
      <c r="C176" s="356"/>
      <c r="D176" s="378"/>
      <c r="E176" s="333"/>
      <c r="F176" s="446">
        <f>F156+F133</f>
        <v>107821.52</v>
      </c>
      <c r="G176" s="287"/>
      <c r="H176" s="341"/>
      <c r="I176" s="446">
        <f>I156+I133</f>
        <v>107821.52</v>
      </c>
      <c r="J176" s="437"/>
      <c r="K176" s="436">
        <f>I176-F176</f>
        <v>0</v>
      </c>
      <c r="L176" s="479"/>
      <c r="M176" s="271"/>
      <c r="N176" s="271"/>
      <c r="O176" s="235"/>
      <c r="P176" s="235"/>
      <c r="Q176" s="235"/>
    </row>
    <row r="177" spans="1:17" ht="12.75" x14ac:dyDescent="0.2">
      <c r="A177" s="258"/>
      <c r="B177" s="332"/>
      <c r="C177" s="288"/>
      <c r="D177" s="287"/>
      <c r="E177" s="341"/>
      <c r="F177" s="480"/>
      <c r="G177" s="287"/>
      <c r="H177" s="299"/>
      <c r="I177" s="480"/>
      <c r="J177" s="437"/>
      <c r="K177" s="436"/>
      <c r="L177" s="479"/>
      <c r="M177" s="271"/>
      <c r="N177" s="271"/>
      <c r="O177" s="235"/>
      <c r="P177" s="235"/>
      <c r="Q177" s="235"/>
    </row>
    <row r="178" spans="1:17" ht="12" customHeight="1" x14ac:dyDescent="0.2">
      <c r="A178" s="258"/>
      <c r="B178" s="332" t="s">
        <v>40</v>
      </c>
      <c r="C178" s="288"/>
      <c r="D178" s="287"/>
      <c r="E178" s="341"/>
      <c r="F178" s="295"/>
      <c r="G178" s="287"/>
      <c r="H178" s="349"/>
      <c r="I178" s="295"/>
      <c r="J178" s="437"/>
      <c r="K178" s="436"/>
      <c r="L178" s="479"/>
      <c r="M178" s="271"/>
      <c r="N178" s="271"/>
      <c r="O178" s="235"/>
      <c r="P178" s="235"/>
      <c r="Q178" s="235"/>
    </row>
    <row r="179" spans="1:17" ht="12.75" x14ac:dyDescent="0.2">
      <c r="A179" s="258"/>
      <c r="B179" s="336" t="s">
        <v>48</v>
      </c>
      <c r="C179" s="356" t="s">
        <v>33</v>
      </c>
      <c r="D179" s="301">
        <f t="shared" ref="D179:D184" si="9">D159+D136</f>
        <v>4709836.6500000004</v>
      </c>
      <c r="E179" s="334"/>
      <c r="F179" s="295">
        <f t="shared" ref="F179:F184" si="10">F159+F136</f>
        <v>680759.79</v>
      </c>
      <c r="G179" s="287"/>
      <c r="H179" s="334"/>
      <c r="I179" s="295">
        <f t="shared" ref="I179:I184" si="11">I159+I136</f>
        <v>655138.28</v>
      </c>
      <c r="J179" s="437"/>
      <c r="K179" s="436">
        <f t="shared" ref="K179:K184" si="12">I179-F179</f>
        <v>-25621.510000000009</v>
      </c>
      <c r="L179" s="479"/>
      <c r="M179" s="271"/>
      <c r="N179" s="271"/>
      <c r="O179" s="235"/>
      <c r="P179" s="235"/>
      <c r="Q179" s="235"/>
    </row>
    <row r="180" spans="1:17" ht="12.75" x14ac:dyDescent="0.2">
      <c r="A180" s="258"/>
      <c r="B180" s="336" t="s">
        <v>49</v>
      </c>
      <c r="C180" s="356" t="s">
        <v>33</v>
      </c>
      <c r="D180" s="301">
        <f t="shared" si="9"/>
        <v>4645519</v>
      </c>
      <c r="E180" s="334"/>
      <c r="F180" s="295">
        <f t="shared" si="10"/>
        <v>405786.07999999996</v>
      </c>
      <c r="G180" s="287"/>
      <c r="H180" s="334"/>
      <c r="I180" s="295">
        <f t="shared" si="11"/>
        <v>390502.32999999996</v>
      </c>
      <c r="J180" s="437"/>
      <c r="K180" s="436">
        <f t="shared" si="12"/>
        <v>-15283.75</v>
      </c>
      <c r="L180" s="479"/>
      <c r="M180" s="271"/>
      <c r="N180" s="271"/>
      <c r="O180" s="235"/>
      <c r="P180" s="235"/>
      <c r="Q180" s="235"/>
    </row>
    <row r="181" spans="1:17" x14ac:dyDescent="0.25">
      <c r="A181" s="258"/>
      <c r="B181" s="336" t="s">
        <v>51</v>
      </c>
      <c r="C181" s="356" t="s">
        <v>33</v>
      </c>
      <c r="D181" s="301">
        <f t="shared" si="9"/>
        <v>8965944.341</v>
      </c>
      <c r="E181" s="334"/>
      <c r="F181" s="295">
        <f t="shared" si="10"/>
        <v>498327.19000000006</v>
      </c>
      <c r="G181" s="287"/>
      <c r="H181" s="334"/>
      <c r="I181" s="295">
        <f t="shared" si="11"/>
        <v>479588.37</v>
      </c>
      <c r="J181" s="437"/>
      <c r="K181" s="436">
        <f t="shared" si="12"/>
        <v>-18738.820000000065</v>
      </c>
      <c r="L181" s="444"/>
      <c r="M181" s="271"/>
      <c r="N181" s="271"/>
      <c r="O181" s="235"/>
      <c r="P181" s="235"/>
      <c r="Q181" s="235"/>
    </row>
    <row r="182" spans="1:17" x14ac:dyDescent="0.25">
      <c r="A182" s="258"/>
      <c r="B182" s="336" t="s">
        <v>55</v>
      </c>
      <c r="C182" s="356" t="s">
        <v>33</v>
      </c>
      <c r="D182" s="301">
        <f t="shared" si="9"/>
        <v>15157600.265000001</v>
      </c>
      <c r="E182" s="334"/>
      <c r="F182" s="295">
        <f t="shared" si="10"/>
        <v>540216.87</v>
      </c>
      <c r="G182" s="287"/>
      <c r="H182" s="334"/>
      <c r="I182" s="295">
        <f t="shared" si="11"/>
        <v>519905.69</v>
      </c>
      <c r="J182" s="437"/>
      <c r="K182" s="436">
        <f t="shared" si="12"/>
        <v>-20311.179999999993</v>
      </c>
      <c r="L182" s="444"/>
      <c r="M182" s="271"/>
      <c r="N182" s="271"/>
      <c r="O182" s="235"/>
      <c r="P182" s="235"/>
      <c r="Q182" s="235"/>
    </row>
    <row r="183" spans="1:17" x14ac:dyDescent="0.25">
      <c r="A183" s="258"/>
      <c r="B183" s="336" t="s">
        <v>56</v>
      </c>
      <c r="C183" s="356" t="s">
        <v>33</v>
      </c>
      <c r="D183" s="301">
        <f t="shared" si="9"/>
        <v>31132960.702</v>
      </c>
      <c r="E183" s="334"/>
      <c r="F183" s="295">
        <f t="shared" si="10"/>
        <v>798249.11</v>
      </c>
      <c r="G183" s="287"/>
      <c r="H183" s="334"/>
      <c r="I183" s="295">
        <f t="shared" si="11"/>
        <v>768361.47</v>
      </c>
      <c r="J183" s="437"/>
      <c r="K183" s="436">
        <f t="shared" si="12"/>
        <v>-29887.640000000014</v>
      </c>
      <c r="L183" s="444"/>
      <c r="M183" s="271"/>
      <c r="N183" s="271"/>
      <c r="O183" s="235"/>
      <c r="P183" s="235"/>
      <c r="Q183" s="235"/>
    </row>
    <row r="184" spans="1:17" x14ac:dyDescent="0.25">
      <c r="A184" s="258"/>
      <c r="B184" s="336" t="s">
        <v>57</v>
      </c>
      <c r="C184" s="356" t="s">
        <v>33</v>
      </c>
      <c r="D184" s="301">
        <f t="shared" si="9"/>
        <v>57976159.280000001</v>
      </c>
      <c r="E184" s="334"/>
      <c r="F184" s="295">
        <f t="shared" si="10"/>
        <v>1146188.67</v>
      </c>
      <c r="G184" s="287"/>
      <c r="H184" s="334"/>
      <c r="I184" s="295">
        <f t="shared" si="11"/>
        <v>1103286.32</v>
      </c>
      <c r="J184" s="437"/>
      <c r="K184" s="436">
        <f t="shared" si="12"/>
        <v>-42902.34999999986</v>
      </c>
      <c r="L184" s="444"/>
      <c r="M184" s="271"/>
      <c r="N184" s="271"/>
      <c r="O184" s="235"/>
      <c r="P184" s="235"/>
      <c r="Q184" s="235"/>
    </row>
    <row r="185" spans="1:17" x14ac:dyDescent="0.25">
      <c r="A185" s="258"/>
      <c r="B185" s="174" t="s">
        <v>216</v>
      </c>
      <c r="C185" s="356" t="s">
        <v>33</v>
      </c>
      <c r="D185" s="472">
        <f>SUM(D179:D184)</f>
        <v>122588020.23800001</v>
      </c>
      <c r="E185" s="349"/>
      <c r="F185" s="307">
        <f>SUM(F173:F184)</f>
        <v>4797172.97</v>
      </c>
      <c r="G185" s="287"/>
      <c r="H185" s="341"/>
      <c r="I185" s="307">
        <f>SUM(I173:I184)</f>
        <v>4719439.0600000005</v>
      </c>
      <c r="J185" s="437"/>
      <c r="K185" s="307">
        <f>SUM(K173:K184)</f>
        <v>-77733.909999999945</v>
      </c>
      <c r="L185" s="425">
        <f>K185/F185</f>
        <v>-1.6204108229184812E-2</v>
      </c>
      <c r="M185" s="271"/>
      <c r="N185" s="271"/>
      <c r="O185" s="235"/>
      <c r="P185" s="473"/>
      <c r="Q185" s="235"/>
    </row>
    <row r="186" spans="1:17" x14ac:dyDescent="0.25">
      <c r="A186" s="258"/>
      <c r="B186" s="291"/>
      <c r="C186" s="292"/>
      <c r="D186" s="287"/>
      <c r="E186" s="349"/>
      <c r="F186" s="295"/>
      <c r="G186" s="287"/>
      <c r="H186" s="341"/>
      <c r="I186" s="436"/>
      <c r="J186" s="437"/>
      <c r="K186" s="295"/>
      <c r="L186" s="353"/>
      <c r="M186" s="271"/>
      <c r="N186" s="271"/>
      <c r="O186" s="235"/>
      <c r="P186" s="235"/>
      <c r="Q186" s="235"/>
    </row>
    <row r="187" spans="1:17" x14ac:dyDescent="0.25">
      <c r="A187" s="258"/>
      <c r="B187" s="191" t="s">
        <v>214</v>
      </c>
      <c r="C187" s="292"/>
      <c r="D187" s="287"/>
      <c r="E187" s="349"/>
      <c r="F187" s="295"/>
      <c r="G187" s="287"/>
      <c r="H187" s="341"/>
      <c r="I187" s="436"/>
      <c r="J187" s="437"/>
      <c r="K187" s="295"/>
      <c r="L187" s="353"/>
      <c r="M187" s="271"/>
      <c r="N187" s="271"/>
      <c r="O187" s="235"/>
      <c r="P187" s="235"/>
      <c r="Q187" s="235"/>
    </row>
    <row r="188" spans="1:17" x14ac:dyDescent="0.25">
      <c r="A188" s="258"/>
      <c r="B188" s="332" t="s">
        <v>234</v>
      </c>
      <c r="C188" s="292"/>
      <c r="D188" s="287"/>
      <c r="E188" s="349"/>
      <c r="F188" s="295">
        <f>F145</f>
        <v>8049653.0725592794</v>
      </c>
      <c r="G188" s="287"/>
      <c r="H188" s="341"/>
      <c r="I188" s="295">
        <f>I145</f>
        <v>9099830.7995836791</v>
      </c>
      <c r="J188" s="437"/>
      <c r="K188" s="436">
        <f>I188-F188</f>
        <v>1050177.7270243997</v>
      </c>
      <c r="L188" s="353"/>
      <c r="M188" s="271"/>
      <c r="N188" s="271"/>
      <c r="O188" s="235"/>
      <c r="P188" s="235"/>
      <c r="Q188" s="235"/>
    </row>
    <row r="189" spans="1:17" x14ac:dyDescent="0.25">
      <c r="A189" s="258"/>
      <c r="B189" s="332" t="s">
        <v>39</v>
      </c>
      <c r="C189" s="292"/>
      <c r="D189" s="287"/>
      <c r="E189" s="349"/>
      <c r="F189" s="295">
        <f>F146</f>
        <v>0</v>
      </c>
      <c r="G189" s="287"/>
      <c r="H189" s="341"/>
      <c r="I189" s="295">
        <f>I146</f>
        <v>0</v>
      </c>
      <c r="J189" s="437"/>
      <c r="K189" s="436">
        <f>I189-F189</f>
        <v>0</v>
      </c>
      <c r="L189" s="353"/>
      <c r="M189" s="271"/>
      <c r="N189" s="271"/>
      <c r="O189" s="235"/>
      <c r="P189" s="235"/>
      <c r="Q189" s="235"/>
    </row>
    <row r="190" spans="1:17" x14ac:dyDescent="0.25">
      <c r="A190" s="258"/>
      <c r="B190" s="332" t="s">
        <v>230</v>
      </c>
      <c r="C190" s="356" t="s">
        <v>33</v>
      </c>
      <c r="D190" s="301">
        <f>D167</f>
        <v>99276638.950000003</v>
      </c>
      <c r="E190" s="334"/>
      <c r="F190" s="436">
        <f>F167</f>
        <v>69493.647265000007</v>
      </c>
      <c r="G190" s="429"/>
      <c r="H190" s="334"/>
      <c r="I190" s="436">
        <f>I167</f>
        <v>69493.647265000007</v>
      </c>
      <c r="J190" s="437"/>
      <c r="K190" s="436">
        <f>I190-F190</f>
        <v>0</v>
      </c>
      <c r="L190" s="444"/>
      <c r="M190" s="271"/>
      <c r="N190" s="271"/>
      <c r="O190" s="235"/>
      <c r="P190" s="235"/>
      <c r="Q190" s="235"/>
    </row>
    <row r="191" spans="1:17" x14ac:dyDescent="0.25">
      <c r="A191" s="258"/>
      <c r="B191" s="368" t="s">
        <v>235</v>
      </c>
      <c r="C191" s="356"/>
      <c r="D191" s="429"/>
      <c r="E191" s="334"/>
      <c r="F191" s="447">
        <f>SUM(F188:F190)</f>
        <v>8119146.7198242797</v>
      </c>
      <c r="G191" s="429"/>
      <c r="H191" s="334"/>
      <c r="I191" s="447">
        <f>SUM(I188:I190)</f>
        <v>9169324.4468486793</v>
      </c>
      <c r="J191" s="447"/>
      <c r="K191" s="447">
        <f>SUM(K188:K190)</f>
        <v>1050177.7270243997</v>
      </c>
      <c r="L191" s="425">
        <f>K191/F191</f>
        <v>0.12934582453845941</v>
      </c>
      <c r="M191" s="271"/>
      <c r="N191" s="271"/>
      <c r="O191" s="235"/>
      <c r="P191" s="235"/>
      <c r="Q191" s="235"/>
    </row>
    <row r="192" spans="1:17" x14ac:dyDescent="0.25">
      <c r="A192" s="258"/>
      <c r="B192" s="291"/>
      <c r="C192" s="356"/>
      <c r="D192" s="429"/>
      <c r="E192" s="334"/>
      <c r="F192" s="436"/>
      <c r="G192" s="429"/>
      <c r="H192" s="334"/>
      <c r="I192" s="436"/>
      <c r="J192" s="437"/>
      <c r="K192" s="295"/>
      <c r="L192" s="444"/>
      <c r="M192" s="271"/>
      <c r="N192" s="271"/>
      <c r="O192" s="235"/>
      <c r="P192" s="235"/>
      <c r="Q192" s="235"/>
    </row>
    <row r="193" spans="1:17" x14ac:dyDescent="0.25">
      <c r="A193" s="258"/>
      <c r="B193" s="330" t="s">
        <v>215</v>
      </c>
      <c r="C193" s="292"/>
      <c r="D193" s="295"/>
      <c r="E193" s="341"/>
      <c r="F193" s="307">
        <f>F185+F191</f>
        <v>12916319.689824279</v>
      </c>
      <c r="G193" s="288"/>
      <c r="H193" s="341"/>
      <c r="I193" s="307">
        <f>I185+I191</f>
        <v>13888763.50684868</v>
      </c>
      <c r="J193" s="341"/>
      <c r="K193" s="307">
        <f>K185+K191</f>
        <v>972443.81702439976</v>
      </c>
      <c r="L193" s="481">
        <f>ROUND(K193/F193,5)</f>
        <v>7.5289999999999996E-2</v>
      </c>
      <c r="M193" s="271"/>
      <c r="N193" s="271"/>
      <c r="O193" s="235"/>
      <c r="P193" s="235"/>
      <c r="Q193" s="235"/>
    </row>
    <row r="194" spans="1:17" x14ac:dyDescent="0.25">
      <c r="A194" s="258"/>
      <c r="B194" s="318"/>
      <c r="C194" s="431"/>
      <c r="D194" s="432"/>
      <c r="E194" s="482"/>
      <c r="F194" s="443"/>
      <c r="G194" s="432"/>
      <c r="H194" s="434"/>
      <c r="I194" s="450"/>
      <c r="J194" s="435"/>
      <c r="K194" s="325"/>
      <c r="L194" s="326"/>
      <c r="M194" s="271"/>
      <c r="N194" s="271"/>
      <c r="O194" s="235"/>
      <c r="P194" s="235"/>
      <c r="Q194" s="235"/>
    </row>
    <row r="195" spans="1:17" x14ac:dyDescent="0.25">
      <c r="A195" s="258"/>
      <c r="B195" s="258"/>
      <c r="C195" s="258"/>
      <c r="D195" s="287"/>
      <c r="E195" s="349"/>
      <c r="F195" s="295"/>
      <c r="G195" s="287"/>
      <c r="H195" s="341"/>
      <c r="I195" s="327"/>
      <c r="J195" s="302"/>
      <c r="K195" s="286"/>
      <c r="L195" s="460"/>
      <c r="M195" s="271"/>
      <c r="N195" s="271"/>
      <c r="O195" s="235"/>
      <c r="P195" s="235"/>
      <c r="Q195" s="235"/>
    </row>
    <row r="196" spans="1:17" x14ac:dyDescent="0.25">
      <c r="A196" s="235"/>
      <c r="B196" s="387" t="s">
        <v>257</v>
      </c>
      <c r="C196" s="258"/>
      <c r="D196" s="287"/>
      <c r="E196" s="312"/>
      <c r="F196" s="369"/>
      <c r="G196" s="287"/>
      <c r="H196" s="349"/>
      <c r="I196" s="369"/>
      <c r="J196" s="369"/>
      <c r="K196" s="369"/>
      <c r="L196" s="257"/>
      <c r="M196" s="271"/>
      <c r="N196" s="271"/>
      <c r="O196" s="308"/>
      <c r="P196" s="235"/>
      <c r="Q196" s="235"/>
    </row>
    <row r="197" spans="1:17" x14ac:dyDescent="0.25">
      <c r="A197" s="235"/>
      <c r="B197" s="235"/>
      <c r="C197" s="258"/>
      <c r="D197" s="227" t="s">
        <v>33</v>
      </c>
      <c r="E197" s="312"/>
      <c r="F197" s="391" t="s">
        <v>161</v>
      </c>
      <c r="G197" s="237"/>
      <c r="H197" s="238"/>
      <c r="I197" s="391" t="s">
        <v>162</v>
      </c>
      <c r="J197" s="386"/>
      <c r="K197" s="391" t="s">
        <v>35</v>
      </c>
      <c r="L197" s="257"/>
      <c r="M197" s="271"/>
      <c r="N197" s="271"/>
      <c r="O197" s="308"/>
      <c r="P197" s="235"/>
      <c r="Q197" s="235"/>
    </row>
    <row r="198" spans="1:17" x14ac:dyDescent="0.25">
      <c r="A198" s="235"/>
      <c r="B198" s="105" t="s">
        <v>239</v>
      </c>
      <c r="C198" s="258"/>
      <c r="D198" s="301"/>
      <c r="E198" s="312"/>
      <c r="F198" s="483"/>
      <c r="G198" s="484"/>
      <c r="H198" s="484"/>
      <c r="I198" s="483"/>
      <c r="J198" s="483"/>
      <c r="K198" s="483"/>
      <c r="L198" s="257"/>
      <c r="M198" s="271"/>
      <c r="N198" s="271"/>
      <c r="O198" s="308"/>
      <c r="P198" s="235"/>
      <c r="Q198" s="235"/>
    </row>
    <row r="199" spans="1:17" x14ac:dyDescent="0.25">
      <c r="A199" s="235"/>
      <c r="B199" s="395" t="s">
        <v>258</v>
      </c>
      <c r="C199" s="258"/>
      <c r="D199" s="285"/>
      <c r="E199" s="312"/>
      <c r="F199" s="483">
        <f>F26+F45</f>
        <v>6308966.9343335107</v>
      </c>
      <c r="G199" s="484"/>
      <c r="H199" s="484"/>
      <c r="I199" s="483">
        <f>I26+I45</f>
        <v>6897204.7137999898</v>
      </c>
      <c r="J199" s="483"/>
      <c r="K199" s="483">
        <f>I199-F199</f>
        <v>588237.77946647909</v>
      </c>
      <c r="L199" s="257"/>
      <c r="M199" s="271"/>
      <c r="N199" s="271"/>
      <c r="O199" s="308"/>
      <c r="P199" s="235"/>
      <c r="Q199" s="235"/>
    </row>
    <row r="200" spans="1:17" x14ac:dyDescent="0.25">
      <c r="A200" s="235"/>
      <c r="B200" s="395" t="s">
        <v>259</v>
      </c>
      <c r="C200" s="258"/>
      <c r="D200" s="285"/>
      <c r="E200" s="312"/>
      <c r="F200" s="483">
        <f>F86+F102</f>
        <v>3540583.3753221999</v>
      </c>
      <c r="G200" s="484"/>
      <c r="H200" s="484"/>
      <c r="I200" s="483">
        <f>I86+I102</f>
        <v>3985765.7997426996</v>
      </c>
      <c r="J200" s="483"/>
      <c r="K200" s="483">
        <f>I200-F200</f>
        <v>445182.42442049971</v>
      </c>
      <c r="L200" s="257"/>
      <c r="M200" s="271"/>
      <c r="N200" s="271"/>
      <c r="O200" s="308"/>
      <c r="P200" s="235"/>
      <c r="Q200" s="235"/>
    </row>
    <row r="201" spans="1:17" x14ac:dyDescent="0.25">
      <c r="A201" s="235"/>
      <c r="B201" s="395" t="s">
        <v>260</v>
      </c>
      <c r="C201" s="258"/>
      <c r="D201" s="285"/>
      <c r="E201" s="312"/>
      <c r="F201" s="483">
        <f>F147+F167</f>
        <v>8119146.7198242797</v>
      </c>
      <c r="G201" s="484"/>
      <c r="H201" s="484"/>
      <c r="I201" s="483">
        <f>I147+I167</f>
        <v>9169324.4468486793</v>
      </c>
      <c r="J201" s="483"/>
      <c r="K201" s="483">
        <f>I201-F201</f>
        <v>1050177.7270243997</v>
      </c>
      <c r="L201" s="257"/>
      <c r="M201" s="271"/>
      <c r="N201" s="271"/>
      <c r="O201" s="308"/>
      <c r="P201" s="235"/>
      <c r="Q201" s="235"/>
    </row>
    <row r="202" spans="1:17" x14ac:dyDescent="0.25">
      <c r="A202" s="235"/>
      <c r="B202" s="395" t="s">
        <v>46</v>
      </c>
      <c r="C202" s="258"/>
      <c r="D202" s="285"/>
      <c r="E202" s="312"/>
      <c r="F202" s="485">
        <f>SUM(F199:F201)</f>
        <v>17968697.029479992</v>
      </c>
      <c r="G202" s="484"/>
      <c r="H202" s="484"/>
      <c r="I202" s="485">
        <f>SUM(I199:I201)</f>
        <v>20052294.960391369</v>
      </c>
      <c r="J202" s="483"/>
      <c r="K202" s="485">
        <f>SUM(K199:K201)</f>
        <v>2083597.9309113785</v>
      </c>
      <c r="L202" s="257"/>
      <c r="M202" s="271"/>
      <c r="N202" s="271"/>
      <c r="O202" s="308"/>
      <c r="P202" s="235"/>
      <c r="Q202" s="235"/>
    </row>
    <row r="203" spans="1:17" x14ac:dyDescent="0.25">
      <c r="A203" s="235"/>
      <c r="B203" s="235"/>
      <c r="C203" s="258"/>
      <c r="D203" s="285"/>
      <c r="E203" s="312"/>
      <c r="F203" s="483"/>
      <c r="G203" s="484"/>
      <c r="H203" s="484"/>
      <c r="I203" s="483"/>
      <c r="J203" s="483"/>
      <c r="K203" s="483"/>
      <c r="L203" s="257"/>
      <c r="M203" s="271"/>
      <c r="N203" s="271"/>
      <c r="O203" s="308"/>
      <c r="P203" s="235"/>
      <c r="Q203" s="235"/>
    </row>
    <row r="204" spans="1:17" x14ac:dyDescent="0.25">
      <c r="A204" s="235"/>
      <c r="B204" s="105" t="s">
        <v>242</v>
      </c>
      <c r="C204" s="258"/>
      <c r="D204" s="285"/>
      <c r="E204" s="312"/>
      <c r="F204" s="483"/>
      <c r="G204" s="484"/>
      <c r="H204" s="484"/>
      <c r="I204" s="483"/>
      <c r="J204" s="483"/>
      <c r="K204" s="483"/>
      <c r="L204" s="257"/>
      <c r="M204" s="271"/>
      <c r="N204" s="271"/>
      <c r="O204" s="308"/>
      <c r="P204" s="235"/>
      <c r="Q204" s="235"/>
    </row>
    <row r="205" spans="1:17" x14ac:dyDescent="0.25">
      <c r="A205" s="235"/>
      <c r="B205" s="395" t="s">
        <v>258</v>
      </c>
      <c r="C205" s="258"/>
      <c r="D205" s="285"/>
      <c r="E205" s="312"/>
      <c r="F205" s="483">
        <f>F21+F43</f>
        <v>9170038.8448939808</v>
      </c>
      <c r="G205" s="484"/>
      <c r="H205" s="484"/>
      <c r="I205" s="483">
        <f>I21+I43</f>
        <v>9021134.5600000005</v>
      </c>
      <c r="J205" s="483"/>
      <c r="K205" s="483">
        <f>I205-F205</f>
        <v>-148904.28489398025</v>
      </c>
      <c r="L205" s="257"/>
      <c r="M205" s="271"/>
      <c r="N205" s="271"/>
      <c r="O205" s="308"/>
      <c r="P205" s="235"/>
      <c r="Q205" s="235"/>
    </row>
    <row r="206" spans="1:17" x14ac:dyDescent="0.25">
      <c r="A206" s="235"/>
      <c r="B206" s="395" t="s">
        <v>259</v>
      </c>
      <c r="C206" s="258"/>
      <c r="D206" s="285"/>
      <c r="E206" s="312"/>
      <c r="F206" s="483">
        <f>F81+F100</f>
        <v>2222696.94</v>
      </c>
      <c r="G206" s="484"/>
      <c r="H206" s="484"/>
      <c r="I206" s="483">
        <f>I81+I100</f>
        <v>2186532.87</v>
      </c>
      <c r="J206" s="483"/>
      <c r="K206" s="483">
        <f>I206-F206</f>
        <v>-36164.069999999832</v>
      </c>
      <c r="L206" s="257"/>
      <c r="M206" s="271"/>
      <c r="N206" s="271"/>
      <c r="O206" s="308"/>
      <c r="P206" s="235"/>
      <c r="Q206" s="235"/>
    </row>
    <row r="207" spans="1:17" x14ac:dyDescent="0.25">
      <c r="A207" s="235"/>
      <c r="B207" s="395" t="s">
        <v>260</v>
      </c>
      <c r="C207" s="258"/>
      <c r="D207" s="285"/>
      <c r="E207" s="312"/>
      <c r="F207" s="483">
        <f>F142+F165</f>
        <v>4797172.9700000007</v>
      </c>
      <c r="G207" s="484"/>
      <c r="H207" s="484"/>
      <c r="I207" s="483">
        <f>I142+I165</f>
        <v>4719439.0600000005</v>
      </c>
      <c r="J207" s="483"/>
      <c r="K207" s="483">
        <f>I207-F207</f>
        <v>-77733.910000000149</v>
      </c>
      <c r="L207" s="257"/>
      <c r="M207" s="271"/>
      <c r="N207" s="271"/>
      <c r="O207" s="308"/>
      <c r="P207" s="235"/>
      <c r="Q207" s="235"/>
    </row>
    <row r="208" spans="1:17" x14ac:dyDescent="0.25">
      <c r="A208" s="235"/>
      <c r="B208" s="395" t="s">
        <v>46</v>
      </c>
      <c r="C208" s="258"/>
      <c r="D208" s="285"/>
      <c r="E208" s="312"/>
      <c r="F208" s="485">
        <f>SUM(F205:F207)</f>
        <v>16189908.754893981</v>
      </c>
      <c r="G208" s="484"/>
      <c r="H208" s="484"/>
      <c r="I208" s="485">
        <f>SUM(I205:I207)</f>
        <v>15927106.49</v>
      </c>
      <c r="J208" s="483"/>
      <c r="K208" s="485">
        <f>SUM(K205:K207)</f>
        <v>-262802.26489398023</v>
      </c>
      <c r="L208" s="257"/>
      <c r="M208" s="271"/>
      <c r="N208" s="271"/>
      <c r="O208" s="308"/>
      <c r="P208" s="235"/>
      <c r="Q208" s="235"/>
    </row>
    <row r="209" spans="1:17" x14ac:dyDescent="0.25">
      <c r="A209" s="235"/>
      <c r="B209" s="235"/>
      <c r="C209" s="258"/>
      <c r="D209" s="285"/>
      <c r="E209" s="312"/>
      <c r="F209" s="483"/>
      <c r="G209" s="484"/>
      <c r="H209" s="484"/>
      <c r="I209" s="483"/>
      <c r="J209" s="483"/>
      <c r="K209" s="483"/>
      <c r="L209" s="257"/>
      <c r="M209" s="271"/>
      <c r="N209" s="271"/>
      <c r="O209" s="308"/>
      <c r="P209" s="235"/>
      <c r="Q209" s="235"/>
    </row>
    <row r="210" spans="1:17" x14ac:dyDescent="0.25">
      <c r="A210" s="235"/>
      <c r="B210" s="387" t="s">
        <v>244</v>
      </c>
      <c r="C210" s="258"/>
      <c r="D210" s="285"/>
      <c r="E210" s="312"/>
      <c r="F210" s="483"/>
      <c r="G210" s="484"/>
      <c r="H210" s="484"/>
      <c r="I210" s="483"/>
      <c r="J210" s="483"/>
      <c r="K210" s="483"/>
      <c r="L210" s="257"/>
      <c r="M210" s="271"/>
      <c r="N210" s="271"/>
      <c r="O210" s="308"/>
      <c r="P210" s="235"/>
      <c r="Q210" s="235"/>
    </row>
    <row r="211" spans="1:17" x14ac:dyDescent="0.25">
      <c r="A211" s="235"/>
      <c r="B211" s="395" t="s">
        <v>258</v>
      </c>
      <c r="C211" s="258"/>
      <c r="D211" s="285">
        <f>D60</f>
        <v>96619860.699000001</v>
      </c>
      <c r="E211" s="312"/>
      <c r="F211" s="483">
        <f>F199+F205</f>
        <v>15479005.779227491</v>
      </c>
      <c r="G211" s="484"/>
      <c r="H211" s="484"/>
      <c r="I211" s="483">
        <f>I199+I205</f>
        <v>15918339.273799989</v>
      </c>
      <c r="J211" s="483"/>
      <c r="K211" s="483">
        <f>I211-F211</f>
        <v>439333.4945724979</v>
      </c>
      <c r="L211" s="257"/>
      <c r="M211" s="271"/>
      <c r="N211" s="271"/>
      <c r="O211" s="308"/>
      <c r="P211" s="235"/>
      <c r="Q211" s="235"/>
    </row>
    <row r="212" spans="1:17" x14ac:dyDescent="0.25">
      <c r="A212" s="235"/>
      <c r="B212" s="395" t="s">
        <v>259</v>
      </c>
      <c r="C212" s="258"/>
      <c r="D212" s="285">
        <f>D116</f>
        <v>10298663.83</v>
      </c>
      <c r="E212" s="312"/>
      <c r="F212" s="483">
        <f>F200+F206</f>
        <v>5763280.3153221998</v>
      </c>
      <c r="G212" s="484"/>
      <c r="H212" s="484"/>
      <c r="I212" s="483">
        <f>I200+I206</f>
        <v>6172298.6697426997</v>
      </c>
      <c r="J212" s="483"/>
      <c r="K212" s="483">
        <f>I212-F212</f>
        <v>409018.35442049988</v>
      </c>
      <c r="L212" s="257"/>
      <c r="M212" s="271"/>
      <c r="N212" s="271"/>
      <c r="O212" s="308"/>
      <c r="P212" s="235"/>
      <c r="Q212" s="235"/>
    </row>
    <row r="213" spans="1:17" x14ac:dyDescent="0.25">
      <c r="A213" s="235"/>
      <c r="B213" s="395" t="s">
        <v>260</v>
      </c>
      <c r="C213" s="258"/>
      <c r="D213" s="285">
        <f>D185</f>
        <v>122588020.23800001</v>
      </c>
      <c r="E213" s="312"/>
      <c r="F213" s="483">
        <f>F201+F207</f>
        <v>12916319.689824279</v>
      </c>
      <c r="G213" s="484"/>
      <c r="H213" s="484"/>
      <c r="I213" s="483">
        <f>I201+I207</f>
        <v>13888763.50684868</v>
      </c>
      <c r="J213" s="483"/>
      <c r="K213" s="483">
        <f>I213-F213</f>
        <v>972443.81702440046</v>
      </c>
      <c r="L213" s="257"/>
      <c r="M213" s="271"/>
      <c r="N213" s="271"/>
      <c r="O213" s="308"/>
      <c r="P213" s="235"/>
      <c r="Q213" s="235"/>
    </row>
    <row r="214" spans="1:17" x14ac:dyDescent="0.25">
      <c r="A214" s="235"/>
      <c r="B214" s="395" t="s">
        <v>46</v>
      </c>
      <c r="C214" s="258"/>
      <c r="D214" s="399">
        <f>SUM(D211:D213)</f>
        <v>229506544.76700002</v>
      </c>
      <c r="E214" s="312"/>
      <c r="F214" s="485">
        <f>SUM(F211:F213)</f>
        <v>34158605.784373969</v>
      </c>
      <c r="G214" s="484"/>
      <c r="H214" s="484"/>
      <c r="I214" s="485">
        <f>SUM(I211:I213)</f>
        <v>35979401.450391367</v>
      </c>
      <c r="J214" s="483"/>
      <c r="K214" s="485">
        <f>SUM(K211:K213)</f>
        <v>1820795.6660173982</v>
      </c>
      <c r="L214" s="257"/>
      <c r="M214" s="271"/>
      <c r="N214" s="271"/>
      <c r="O214" s="308"/>
      <c r="P214" s="235"/>
      <c r="Q214" s="235"/>
    </row>
    <row r="215" spans="1:17" x14ac:dyDescent="0.25">
      <c r="A215" s="235"/>
      <c r="B215" s="258"/>
      <c r="C215" s="258"/>
      <c r="D215" s="287"/>
      <c r="E215" s="312"/>
      <c r="F215" s="483"/>
      <c r="G215" s="484"/>
      <c r="H215" s="484"/>
      <c r="I215" s="483"/>
      <c r="J215" s="483"/>
      <c r="K215" s="483"/>
      <c r="L215" s="257"/>
      <c r="M215" s="271"/>
      <c r="N215" s="271"/>
      <c r="O215" s="386"/>
      <c r="P215" s="235"/>
      <c r="Q215" s="235"/>
    </row>
    <row r="216" spans="1:17" x14ac:dyDescent="0.25">
      <c r="A216" s="235"/>
      <c r="B216" s="387" t="s">
        <v>261</v>
      </c>
      <c r="C216" s="235"/>
      <c r="D216" s="237"/>
      <c r="E216" s="392"/>
      <c r="F216" s="486"/>
      <c r="G216" s="487"/>
      <c r="H216" s="488"/>
      <c r="I216" s="486"/>
      <c r="J216" s="486"/>
      <c r="K216" s="486"/>
      <c r="L216" s="489"/>
      <c r="M216" s="240"/>
      <c r="N216" s="404"/>
      <c r="O216" s="386"/>
      <c r="P216" s="235"/>
      <c r="Q216" s="235"/>
    </row>
    <row r="217" spans="1:17" x14ac:dyDescent="0.25">
      <c r="A217" s="235"/>
      <c r="B217" s="490" t="s">
        <v>46</v>
      </c>
      <c r="C217" s="235"/>
      <c r="D217" s="491">
        <v>1105327515.5699999</v>
      </c>
      <c r="E217" s="287"/>
      <c r="F217" s="492">
        <v>800067297.0762763</v>
      </c>
      <c r="G217" s="484"/>
      <c r="H217" s="488"/>
      <c r="I217" s="492">
        <v>794361606.44605815</v>
      </c>
      <c r="J217" s="486"/>
      <c r="K217" s="493">
        <f>I217-F217</f>
        <v>-5705690.6302181482</v>
      </c>
      <c r="L217" s="494">
        <f>K217/F217</f>
        <v>-7.1315133752732091E-3</v>
      </c>
      <c r="M217" s="240"/>
      <c r="N217" s="404"/>
      <c r="O217" s="386"/>
      <c r="P217" s="235"/>
      <c r="Q217" s="235"/>
    </row>
    <row r="218" spans="1:17" x14ac:dyDescent="0.25">
      <c r="A218" s="235"/>
      <c r="B218" s="490" t="s">
        <v>262</v>
      </c>
      <c r="C218" s="235"/>
      <c r="D218" s="495">
        <v>37223237.460000001</v>
      </c>
      <c r="E218" s="287"/>
      <c r="F218" s="496">
        <v>1426817.449611546</v>
      </c>
      <c r="G218" s="484"/>
      <c r="H218" s="488"/>
      <c r="I218" s="496">
        <v>1465941.3557558353</v>
      </c>
      <c r="J218" s="486"/>
      <c r="K218" s="493">
        <f>I218-F218</f>
        <v>39123.9061442893</v>
      </c>
      <c r="L218" s="494">
        <f>K218/F218</f>
        <v>2.742040066508919E-2</v>
      </c>
      <c r="M218" s="240"/>
      <c r="N218" s="404"/>
      <c r="O218" s="386"/>
      <c r="P218" s="235"/>
      <c r="Q218" s="235"/>
    </row>
    <row r="219" spans="1:17" x14ac:dyDescent="0.25">
      <c r="A219" s="235"/>
      <c r="B219" s="490" t="s">
        <v>263</v>
      </c>
      <c r="C219" s="235"/>
      <c r="D219" s="237"/>
      <c r="E219" s="287"/>
      <c r="F219" s="496">
        <v>6041548.46</v>
      </c>
      <c r="G219" s="484"/>
      <c r="H219" s="488"/>
      <c r="I219" s="496">
        <v>5943249.8600000003</v>
      </c>
      <c r="J219" s="486"/>
      <c r="K219" s="493">
        <f>I219-F219</f>
        <v>-98298.599999999627</v>
      </c>
      <c r="L219" s="494">
        <f>K219/F219</f>
        <v>-1.627043143836665E-2</v>
      </c>
      <c r="M219" s="240"/>
      <c r="N219" s="404"/>
      <c r="O219" s="386"/>
      <c r="P219" s="235"/>
      <c r="Q219" s="235"/>
    </row>
    <row r="220" spans="1:17" x14ac:dyDescent="0.25">
      <c r="A220" s="235"/>
      <c r="B220" s="490" t="s">
        <v>205</v>
      </c>
      <c r="C220" s="235"/>
      <c r="D220" s="280">
        <f>SUM(D217:D219)</f>
        <v>1142550753.03</v>
      </c>
      <c r="E220" s="287"/>
      <c r="F220" s="497">
        <f>SUM(F217:F219)</f>
        <v>807535662.98588789</v>
      </c>
      <c r="G220" s="484"/>
      <c r="H220" s="488"/>
      <c r="I220" s="497">
        <f>SUM(I217:I219)</f>
        <v>801770797.66181397</v>
      </c>
      <c r="J220" s="486"/>
      <c r="K220" s="497">
        <f>SUM(K217:K219)</f>
        <v>-5764865.3240738586</v>
      </c>
      <c r="L220" s="494">
        <f>K220/F220</f>
        <v>-7.1388368196125141E-3</v>
      </c>
      <c r="M220" s="240"/>
      <c r="N220" s="404"/>
      <c r="O220" s="386"/>
      <c r="P220" s="235"/>
      <c r="Q220" s="235"/>
    </row>
    <row r="221" spans="1:17" x14ac:dyDescent="0.25">
      <c r="A221" s="235"/>
      <c r="B221" s="498"/>
      <c r="C221" s="238"/>
      <c r="D221" s="495"/>
      <c r="E221" s="287"/>
      <c r="F221" s="499"/>
      <c r="G221" s="484"/>
      <c r="H221" s="488"/>
      <c r="I221" s="499"/>
      <c r="J221" s="486"/>
      <c r="K221" s="499"/>
      <c r="L221" s="494"/>
      <c r="M221" s="240"/>
      <c r="N221" s="404"/>
      <c r="O221" s="235"/>
      <c r="P221" s="235"/>
      <c r="Q221" s="235"/>
    </row>
    <row r="222" spans="1:17" x14ac:dyDescent="0.25">
      <c r="A222" s="235"/>
      <c r="B222" s="490"/>
      <c r="C222" s="235"/>
      <c r="D222" s="237"/>
      <c r="E222" s="287"/>
      <c r="F222" s="483"/>
      <c r="G222" s="484"/>
      <c r="H222" s="488"/>
      <c r="I222" s="483"/>
      <c r="J222" s="486"/>
      <c r="K222" s="483"/>
      <c r="L222" s="489"/>
      <c r="M222" s="240"/>
      <c r="N222" s="404"/>
      <c r="O222" s="235"/>
      <c r="P222" s="235"/>
      <c r="Q222" s="235"/>
    </row>
    <row r="223" spans="1:17" x14ac:dyDescent="0.25">
      <c r="A223" s="235"/>
      <c r="B223" s="395"/>
      <c r="C223" s="235"/>
      <c r="D223" s="500"/>
      <c r="E223" s="501"/>
      <c r="F223" s="483"/>
      <c r="G223" s="484"/>
      <c r="H223" s="488"/>
      <c r="I223" s="483"/>
      <c r="J223" s="486"/>
      <c r="K223" s="483"/>
      <c r="L223" s="489"/>
      <c r="M223" s="240"/>
      <c r="N223" s="404"/>
      <c r="O223" s="235"/>
      <c r="P223" s="235"/>
      <c r="Q223" s="235"/>
    </row>
    <row r="224" spans="1:17" x14ac:dyDescent="0.25">
      <c r="A224" s="235"/>
      <c r="B224" s="235"/>
      <c r="C224" s="235"/>
      <c r="D224" s="500"/>
      <c r="E224" s="501"/>
      <c r="F224" s="486"/>
      <c r="G224" s="484"/>
      <c r="H224" s="488"/>
      <c r="I224" s="486"/>
      <c r="J224" s="486"/>
      <c r="K224" s="486"/>
      <c r="L224" s="489"/>
      <c r="M224" s="240"/>
      <c r="N224" s="404"/>
      <c r="O224" s="235"/>
      <c r="P224" s="235"/>
      <c r="Q224" s="235"/>
    </row>
    <row r="225" spans="1:17" x14ac:dyDescent="0.25">
      <c r="A225" s="235"/>
      <c r="B225" s="91" t="s">
        <v>226</v>
      </c>
      <c r="C225" s="235"/>
      <c r="D225" s="500"/>
      <c r="E225" s="501"/>
      <c r="F225" s="236"/>
      <c r="G225" s="287"/>
      <c r="H225" s="502"/>
      <c r="I225" s="236"/>
      <c r="J225" s="236"/>
      <c r="K225" s="236"/>
      <c r="L225" s="489"/>
      <c r="M225" s="240"/>
      <c r="N225" s="404"/>
      <c r="O225" s="235"/>
      <c r="P225" s="235"/>
      <c r="Q225" s="235"/>
    </row>
    <row r="226" spans="1:17" x14ac:dyDescent="0.25">
      <c r="A226" s="235"/>
      <c r="B226" s="235"/>
      <c r="C226" s="235"/>
      <c r="D226" s="237"/>
      <c r="E226" s="501"/>
      <c r="F226" s="236"/>
      <c r="G226" s="287"/>
      <c r="H226" s="502"/>
      <c r="I226" s="236"/>
      <c r="J226" s="236"/>
      <c r="K226" s="236"/>
      <c r="L226" s="489"/>
      <c r="M226" s="240"/>
      <c r="N226" s="404"/>
      <c r="O226" s="235"/>
      <c r="P226" s="235"/>
      <c r="Q226" s="235"/>
    </row>
    <row r="227" spans="1:17" x14ac:dyDescent="0.25">
      <c r="A227" s="235"/>
      <c r="B227" s="235"/>
      <c r="C227" s="235"/>
      <c r="D227" s="501"/>
      <c r="E227" s="501"/>
      <c r="F227" s="236"/>
      <c r="G227" s="287"/>
      <c r="H227" s="502"/>
      <c r="I227" s="236"/>
      <c r="J227" s="236"/>
      <c r="K227" s="236"/>
      <c r="L227" s="489"/>
      <c r="M227" s="240"/>
      <c r="N227" s="404"/>
      <c r="O227" s="235"/>
      <c r="P227" s="235"/>
      <c r="Q227" s="235"/>
    </row>
    <row r="228" spans="1:17" x14ac:dyDescent="0.25">
      <c r="A228" s="235"/>
      <c r="B228" s="235"/>
      <c r="C228" s="235"/>
      <c r="D228" s="237"/>
      <c r="E228" s="501"/>
      <c r="F228" s="236"/>
      <c r="G228" s="287"/>
      <c r="H228" s="502"/>
      <c r="I228" s="236"/>
      <c r="J228" s="236"/>
      <c r="K228" s="236"/>
      <c r="L228" s="489"/>
      <c r="M228" s="240"/>
      <c r="N228" s="404"/>
      <c r="O228" s="235"/>
      <c r="P228" s="235"/>
      <c r="Q228" s="235"/>
    </row>
    <row r="229" spans="1:17" x14ac:dyDescent="0.25">
      <c r="A229" s="235"/>
      <c r="B229" s="235"/>
      <c r="C229" s="235"/>
      <c r="D229" s="237"/>
      <c r="E229" s="501"/>
      <c r="F229" s="236"/>
      <c r="G229" s="287"/>
      <c r="H229" s="502"/>
      <c r="I229" s="236"/>
      <c r="J229" s="236"/>
      <c r="K229" s="236"/>
      <c r="L229" s="489"/>
      <c r="M229" s="240"/>
      <c r="N229" s="404"/>
      <c r="O229" s="235"/>
      <c r="P229" s="235"/>
      <c r="Q229" s="235"/>
    </row>
    <row r="230" spans="1:17" x14ac:dyDescent="0.25">
      <c r="A230" s="235"/>
      <c r="B230" s="235"/>
      <c r="C230" s="235"/>
      <c r="D230" s="237"/>
      <c r="E230" s="501"/>
      <c r="F230" s="236"/>
      <c r="G230" s="287"/>
      <c r="H230" s="502"/>
      <c r="I230" s="236"/>
      <c r="J230" s="236"/>
      <c r="K230" s="236"/>
      <c r="L230" s="489"/>
      <c r="M230" s="240"/>
      <c r="N230" s="404"/>
      <c r="O230" s="235"/>
      <c r="P230" s="235"/>
      <c r="Q230" s="235"/>
    </row>
    <row r="231" spans="1:17" x14ac:dyDescent="0.25">
      <c r="A231" s="235"/>
      <c r="B231" s="235"/>
      <c r="C231" s="235"/>
      <c r="D231" s="237"/>
      <c r="E231" s="501"/>
      <c r="F231" s="236"/>
      <c r="G231" s="287"/>
      <c r="H231" s="502"/>
      <c r="I231" s="236"/>
      <c r="J231" s="236"/>
      <c r="K231" s="236"/>
      <c r="L231" s="489"/>
      <c r="M231" s="240"/>
      <c r="N231" s="404"/>
      <c r="O231" s="235"/>
      <c r="P231" s="235"/>
      <c r="Q231" s="235"/>
    </row>
  </sheetData>
  <mergeCells count="1">
    <mergeCell ref="K7:L7"/>
  </mergeCells>
  <printOptions horizontalCentered="1"/>
  <pageMargins left="0.5" right="0.5" top="1" bottom="0.75" header="0.75" footer="0.5"/>
  <pageSetup scale="74" fitToHeight="2" orientation="landscape" blackAndWhite="1" r:id="rId1"/>
  <headerFooter alignWithMargins="0">
    <oddFooter>&amp;L&amp;F 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5"/>
  <sheetViews>
    <sheetView zoomScaleNormal="100" workbookViewId="0">
      <pane ySplit="5" topLeftCell="A15" activePane="bottomLeft" state="frozen"/>
      <selection activeCell="D18" sqref="D18"/>
      <selection pane="bottomLeft" activeCell="D18" sqref="D18"/>
    </sheetView>
  </sheetViews>
  <sheetFormatPr defaultColWidth="9.109375" defaultRowHeight="13.2" x14ac:dyDescent="0.25"/>
  <cols>
    <col min="1" max="1" width="40" style="67" customWidth="1"/>
    <col min="2" max="2" width="9" style="67" bestFit="1" customWidth="1"/>
    <col min="3" max="4" width="9.109375" style="67"/>
    <col min="5" max="5" width="9.33203125" style="67" bestFit="1" customWidth="1"/>
    <col min="6" max="7" width="9.109375" style="67"/>
    <col min="8" max="13" width="9" style="67" customWidth="1"/>
    <col min="14" max="14" width="13" style="67" customWidth="1"/>
    <col min="15" max="15" width="10.88671875" style="67" bestFit="1" customWidth="1"/>
    <col min="16" max="16" width="9.33203125" style="67" bestFit="1" customWidth="1"/>
    <col min="17" max="16384" width="9.109375" style="67"/>
  </cols>
  <sheetData>
    <row r="1" spans="1:20" ht="15" x14ac:dyDescent="0.25">
      <c r="A1" s="80" t="s">
        <v>191</v>
      </c>
      <c r="B1"/>
      <c r="C1"/>
      <c r="D1"/>
      <c r="E1"/>
      <c r="F1"/>
      <c r="G1"/>
      <c r="H1"/>
      <c r="I1"/>
      <c r="J1"/>
      <c r="K1"/>
      <c r="L1"/>
      <c r="M1"/>
      <c r="N1"/>
      <c r="O1" s="510"/>
    </row>
    <row r="2" spans="1:20" s="69" customFormat="1" ht="15" x14ac:dyDescent="0.25">
      <c r="A2" s="80" t="s">
        <v>353</v>
      </c>
      <c r="B2"/>
      <c r="C2"/>
      <c r="D2"/>
      <c r="E2"/>
      <c r="F2"/>
      <c r="G2"/>
      <c r="H2"/>
      <c r="I2"/>
      <c r="J2"/>
      <c r="K2"/>
      <c r="L2"/>
      <c r="M2"/>
      <c r="N2"/>
      <c r="O2" s="510"/>
    </row>
    <row r="3" spans="1:20" s="69" customFormat="1" ht="15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 s="510"/>
    </row>
    <row r="4" spans="1:20" s="69" customFormat="1" ht="15" x14ac:dyDescent="0.25">
      <c r="A4" s="80"/>
      <c r="B4"/>
      <c r="C4"/>
      <c r="D4"/>
      <c r="E4"/>
      <c r="F4"/>
      <c r="G4"/>
      <c r="H4"/>
      <c r="I4"/>
      <c r="J4"/>
      <c r="K4"/>
      <c r="L4"/>
      <c r="M4"/>
      <c r="N4" s="80"/>
      <c r="O4" s="510"/>
    </row>
    <row r="5" spans="1:20" s="69" customFormat="1" ht="15" x14ac:dyDescent="0.25">
      <c r="A5" s="503" t="s">
        <v>69</v>
      </c>
      <c r="B5" s="504">
        <v>42278</v>
      </c>
      <c r="C5" s="504">
        <v>42309</v>
      </c>
      <c r="D5" s="504">
        <v>42339</v>
      </c>
      <c r="E5" s="504">
        <v>42370</v>
      </c>
      <c r="F5" s="504">
        <v>42401</v>
      </c>
      <c r="G5" s="504">
        <v>42430</v>
      </c>
      <c r="H5" s="504">
        <v>42461</v>
      </c>
      <c r="I5" s="504">
        <v>42491</v>
      </c>
      <c r="J5" s="504">
        <v>42522</v>
      </c>
      <c r="K5" s="504">
        <v>42552</v>
      </c>
      <c r="L5" s="504">
        <v>42583</v>
      </c>
      <c r="M5" s="504">
        <v>42614</v>
      </c>
      <c r="N5" s="503" t="s">
        <v>46</v>
      </c>
      <c r="O5" s="503" t="s">
        <v>165</v>
      </c>
    </row>
    <row r="6" spans="1:20" s="69" customFormat="1" ht="15" x14ac:dyDescent="0.25">
      <c r="A6" s="505">
        <v>23</v>
      </c>
      <c r="B6" s="72">
        <v>738341</v>
      </c>
      <c r="C6" s="72">
        <v>740327</v>
      </c>
      <c r="D6" s="72">
        <v>742488</v>
      </c>
      <c r="E6" s="72">
        <v>744086</v>
      </c>
      <c r="F6" s="72">
        <v>744958</v>
      </c>
      <c r="G6" s="72">
        <v>745900</v>
      </c>
      <c r="H6" s="72">
        <v>746095</v>
      </c>
      <c r="I6" s="72">
        <v>748452</v>
      </c>
      <c r="J6" s="72">
        <v>749520</v>
      </c>
      <c r="K6" s="72">
        <v>749791</v>
      </c>
      <c r="L6" s="72">
        <v>750514</v>
      </c>
      <c r="M6" s="72">
        <v>751541</v>
      </c>
      <c r="N6" s="506">
        <f>SUM(B6:M6)</f>
        <v>8952013</v>
      </c>
      <c r="O6" s="506">
        <f>ROUND(N6/12,0)</f>
        <v>746001</v>
      </c>
      <c r="Q6" s="62"/>
      <c r="R6" s="49"/>
      <c r="S6" s="49"/>
      <c r="T6" s="49"/>
    </row>
    <row r="7" spans="1:20" s="69" customFormat="1" ht="15" x14ac:dyDescent="0.25">
      <c r="A7" s="505">
        <v>53</v>
      </c>
      <c r="B7" s="72">
        <v>1</v>
      </c>
      <c r="C7" s="72">
        <v>1</v>
      </c>
      <c r="D7" s="72">
        <v>1</v>
      </c>
      <c r="E7" s="72">
        <v>1</v>
      </c>
      <c r="F7" s="72">
        <v>1</v>
      </c>
      <c r="G7" s="72">
        <v>1</v>
      </c>
      <c r="H7" s="72">
        <v>1</v>
      </c>
      <c r="I7" s="72">
        <v>1</v>
      </c>
      <c r="J7" s="72">
        <v>1</v>
      </c>
      <c r="K7" s="72">
        <v>1</v>
      </c>
      <c r="L7" s="72">
        <v>1</v>
      </c>
      <c r="M7" s="72">
        <v>1</v>
      </c>
      <c r="N7" s="506">
        <f t="shared" ref="N7:N28" si="0">SUM(B7:M7)</f>
        <v>12</v>
      </c>
      <c r="O7" s="506">
        <f t="shared" ref="O7:O28" si="1">ROUND(N7/12,0)</f>
        <v>1</v>
      </c>
      <c r="Q7" s="62"/>
      <c r="R7" s="49"/>
      <c r="S7" s="49"/>
      <c r="T7" s="49"/>
    </row>
    <row r="8" spans="1:20" s="69" customFormat="1" ht="15" x14ac:dyDescent="0.25">
      <c r="A8" s="505" t="s">
        <v>166</v>
      </c>
      <c r="B8" s="72">
        <v>5</v>
      </c>
      <c r="C8" s="72">
        <v>5</v>
      </c>
      <c r="D8" s="72">
        <v>5</v>
      </c>
      <c r="E8" s="72">
        <v>7</v>
      </c>
      <c r="F8" s="72">
        <v>7</v>
      </c>
      <c r="G8" s="72">
        <v>6</v>
      </c>
      <c r="H8" s="72">
        <v>6</v>
      </c>
      <c r="I8" s="72">
        <v>5</v>
      </c>
      <c r="J8" s="72">
        <v>5</v>
      </c>
      <c r="K8" s="72">
        <v>5</v>
      </c>
      <c r="L8" s="72">
        <v>5</v>
      </c>
      <c r="M8" s="72">
        <v>5</v>
      </c>
      <c r="N8" s="506">
        <f t="shared" si="0"/>
        <v>66</v>
      </c>
      <c r="O8" s="506">
        <f t="shared" si="1"/>
        <v>6</v>
      </c>
      <c r="Q8" s="62"/>
      <c r="R8" s="49"/>
      <c r="S8" s="49"/>
      <c r="T8" s="49"/>
    </row>
    <row r="9" spans="1:20" s="69" customFormat="1" ht="15" x14ac:dyDescent="0.25">
      <c r="A9" s="62" t="s">
        <v>167</v>
      </c>
      <c r="B9" s="72">
        <v>53254</v>
      </c>
      <c r="C9" s="72">
        <v>53394</v>
      </c>
      <c r="D9" s="72">
        <v>53518</v>
      </c>
      <c r="E9" s="72">
        <v>53618</v>
      </c>
      <c r="F9" s="72">
        <v>53644</v>
      </c>
      <c r="G9" s="72">
        <v>53692</v>
      </c>
      <c r="H9" s="72">
        <v>53600</v>
      </c>
      <c r="I9" s="72">
        <v>53701</v>
      </c>
      <c r="J9" s="72">
        <v>53720</v>
      </c>
      <c r="K9" s="72">
        <v>53704</v>
      </c>
      <c r="L9" s="72">
        <v>53667</v>
      </c>
      <c r="M9" s="72">
        <v>53704</v>
      </c>
      <c r="N9" s="506">
        <f t="shared" si="0"/>
        <v>643216</v>
      </c>
      <c r="O9" s="506">
        <f t="shared" si="1"/>
        <v>53601</v>
      </c>
      <c r="Q9" s="62"/>
      <c r="R9" s="49"/>
      <c r="S9" s="49"/>
      <c r="T9" s="49"/>
    </row>
    <row r="10" spans="1:20" s="69" customFormat="1" ht="15" x14ac:dyDescent="0.25">
      <c r="A10" s="505" t="s">
        <v>192</v>
      </c>
      <c r="B10" s="72">
        <v>2</v>
      </c>
      <c r="C10" s="72">
        <v>3</v>
      </c>
      <c r="D10" s="72">
        <v>2</v>
      </c>
      <c r="E10" s="72">
        <v>2</v>
      </c>
      <c r="F10" s="72">
        <v>2</v>
      </c>
      <c r="G10" s="72">
        <v>2</v>
      </c>
      <c r="H10" s="72">
        <v>2</v>
      </c>
      <c r="I10" s="72">
        <v>2</v>
      </c>
      <c r="J10" s="72">
        <v>2</v>
      </c>
      <c r="K10" s="72">
        <v>2</v>
      </c>
      <c r="L10" s="72">
        <v>2</v>
      </c>
      <c r="M10" s="72">
        <v>2</v>
      </c>
      <c r="N10" s="506">
        <f t="shared" si="0"/>
        <v>25</v>
      </c>
      <c r="O10" s="506">
        <f t="shared" si="1"/>
        <v>2</v>
      </c>
      <c r="Q10" s="62"/>
      <c r="R10" s="49"/>
      <c r="S10" s="49"/>
      <c r="T10" s="49"/>
    </row>
    <row r="11" spans="1:20" s="69" customFormat="1" ht="15" x14ac:dyDescent="0.25">
      <c r="A11" s="505" t="s">
        <v>168</v>
      </c>
      <c r="B11" s="72">
        <v>1254</v>
      </c>
      <c r="C11" s="72">
        <v>1259</v>
      </c>
      <c r="D11" s="72">
        <v>1285</v>
      </c>
      <c r="E11" s="72">
        <v>1282</v>
      </c>
      <c r="F11" s="72">
        <v>1289</v>
      </c>
      <c r="G11" s="72">
        <v>1285</v>
      </c>
      <c r="H11" s="72">
        <v>1282</v>
      </c>
      <c r="I11" s="72">
        <v>1284</v>
      </c>
      <c r="J11" s="72">
        <v>1283</v>
      </c>
      <c r="K11" s="72">
        <v>1278</v>
      </c>
      <c r="L11" s="72">
        <v>1287</v>
      </c>
      <c r="M11" s="72">
        <v>1284</v>
      </c>
      <c r="N11" s="506">
        <f t="shared" si="0"/>
        <v>15352</v>
      </c>
      <c r="O11" s="506">
        <f t="shared" si="1"/>
        <v>1279</v>
      </c>
      <c r="Q11" s="62"/>
      <c r="R11" s="49"/>
      <c r="S11" s="49"/>
      <c r="T11" s="49"/>
    </row>
    <row r="12" spans="1:20" s="69" customFormat="1" ht="15" x14ac:dyDescent="0.25">
      <c r="A12" s="505" t="s">
        <v>169</v>
      </c>
      <c r="B12" s="72">
        <v>68</v>
      </c>
      <c r="C12" s="72">
        <v>68</v>
      </c>
      <c r="D12" s="72">
        <v>69</v>
      </c>
      <c r="E12" s="72">
        <v>69</v>
      </c>
      <c r="F12" s="72">
        <v>69</v>
      </c>
      <c r="G12" s="72">
        <v>69</v>
      </c>
      <c r="H12" s="72">
        <v>68</v>
      </c>
      <c r="I12" s="72">
        <v>69</v>
      </c>
      <c r="J12" s="72">
        <v>70</v>
      </c>
      <c r="K12" s="72">
        <v>70</v>
      </c>
      <c r="L12" s="72">
        <v>70</v>
      </c>
      <c r="M12" s="72">
        <v>70</v>
      </c>
      <c r="N12" s="506">
        <f t="shared" si="0"/>
        <v>829</v>
      </c>
      <c r="O12" s="506">
        <f t="shared" si="1"/>
        <v>69</v>
      </c>
      <c r="Q12" s="62"/>
      <c r="R12" s="49"/>
      <c r="S12" s="49"/>
      <c r="T12" s="49"/>
    </row>
    <row r="13" spans="1:20" s="69" customFormat="1" ht="15" x14ac:dyDescent="0.25">
      <c r="A13" s="505" t="s">
        <v>170</v>
      </c>
      <c r="B13" s="72">
        <v>27</v>
      </c>
      <c r="C13" s="72">
        <v>27</v>
      </c>
      <c r="D13" s="72">
        <v>26</v>
      </c>
      <c r="E13" s="72">
        <v>27</v>
      </c>
      <c r="F13" s="72">
        <v>26</v>
      </c>
      <c r="G13" s="72">
        <v>26</v>
      </c>
      <c r="H13" s="72">
        <v>26</v>
      </c>
      <c r="I13" s="72">
        <v>25</v>
      </c>
      <c r="J13" s="72">
        <v>25</v>
      </c>
      <c r="K13" s="72">
        <v>25</v>
      </c>
      <c r="L13" s="72">
        <v>25</v>
      </c>
      <c r="M13" s="72">
        <v>25</v>
      </c>
      <c r="N13" s="506">
        <f t="shared" si="0"/>
        <v>310</v>
      </c>
      <c r="O13" s="506">
        <f t="shared" si="1"/>
        <v>26</v>
      </c>
      <c r="Q13" s="62"/>
      <c r="R13" s="49"/>
      <c r="S13" s="49"/>
      <c r="T13" s="49"/>
    </row>
    <row r="14" spans="1:20" s="69" customFormat="1" ht="15" x14ac:dyDescent="0.25">
      <c r="A14" s="505" t="s">
        <v>171</v>
      </c>
      <c r="B14" s="72">
        <v>38</v>
      </c>
      <c r="C14" s="72">
        <v>37</v>
      </c>
      <c r="D14" s="72">
        <v>37</v>
      </c>
      <c r="E14" s="72">
        <v>36</v>
      </c>
      <c r="F14" s="72">
        <v>36</v>
      </c>
      <c r="G14" s="72">
        <v>35</v>
      </c>
      <c r="H14" s="72">
        <v>35</v>
      </c>
      <c r="I14" s="72">
        <v>35</v>
      </c>
      <c r="J14" s="72">
        <v>35</v>
      </c>
      <c r="K14" s="72">
        <v>35</v>
      </c>
      <c r="L14" s="72">
        <v>35</v>
      </c>
      <c r="M14" s="72">
        <v>35</v>
      </c>
      <c r="N14" s="506">
        <f t="shared" si="0"/>
        <v>429</v>
      </c>
      <c r="O14" s="506">
        <f t="shared" si="1"/>
        <v>36</v>
      </c>
      <c r="Q14" s="62"/>
      <c r="R14" s="49"/>
      <c r="S14" s="49"/>
      <c r="T14" s="49"/>
    </row>
    <row r="15" spans="1:20" s="69" customFormat="1" ht="15" x14ac:dyDescent="0.25">
      <c r="A15" s="505" t="s">
        <v>172</v>
      </c>
      <c r="B15" s="72">
        <v>248</v>
      </c>
      <c r="C15" s="72">
        <v>246</v>
      </c>
      <c r="D15" s="72">
        <v>241</v>
      </c>
      <c r="E15" s="72">
        <v>240</v>
      </c>
      <c r="F15" s="72">
        <v>239</v>
      </c>
      <c r="G15" s="72">
        <v>239</v>
      </c>
      <c r="H15" s="72">
        <v>239</v>
      </c>
      <c r="I15" s="72">
        <v>238</v>
      </c>
      <c r="J15" s="72">
        <v>238</v>
      </c>
      <c r="K15" s="72">
        <v>237</v>
      </c>
      <c r="L15" s="72">
        <v>234</v>
      </c>
      <c r="M15" s="72">
        <v>232</v>
      </c>
      <c r="N15" s="506">
        <f t="shared" si="0"/>
        <v>2871</v>
      </c>
      <c r="O15" s="506">
        <f t="shared" si="1"/>
        <v>239</v>
      </c>
      <c r="Q15" s="62"/>
      <c r="R15" s="49"/>
      <c r="S15" s="49"/>
      <c r="T15" s="49"/>
    </row>
    <row r="16" spans="1:20" s="69" customFormat="1" ht="15" x14ac:dyDescent="0.25">
      <c r="A16" s="505" t="s">
        <v>173</v>
      </c>
      <c r="B16" s="72">
        <v>5</v>
      </c>
      <c r="C16" s="72">
        <v>5</v>
      </c>
      <c r="D16" s="72">
        <v>5</v>
      </c>
      <c r="E16" s="72">
        <v>5</v>
      </c>
      <c r="F16" s="72">
        <v>5</v>
      </c>
      <c r="G16" s="72">
        <v>5</v>
      </c>
      <c r="H16" s="72">
        <v>5</v>
      </c>
      <c r="I16" s="72">
        <v>5</v>
      </c>
      <c r="J16" s="72">
        <v>5</v>
      </c>
      <c r="K16" s="72">
        <v>5</v>
      </c>
      <c r="L16" s="72">
        <v>5</v>
      </c>
      <c r="M16" s="72">
        <v>5</v>
      </c>
      <c r="N16" s="506">
        <f t="shared" si="0"/>
        <v>60</v>
      </c>
      <c r="O16" s="506">
        <f t="shared" si="1"/>
        <v>5</v>
      </c>
      <c r="Q16" s="62"/>
      <c r="R16" s="49"/>
      <c r="S16" s="49"/>
      <c r="T16" s="49"/>
    </row>
    <row r="17" spans="1:20" s="69" customFormat="1" ht="15" x14ac:dyDescent="0.25">
      <c r="A17" s="505" t="s">
        <v>174</v>
      </c>
      <c r="B17" s="72">
        <v>3</v>
      </c>
      <c r="C17" s="72">
        <v>3</v>
      </c>
      <c r="D17" s="72">
        <v>3</v>
      </c>
      <c r="E17" s="72">
        <v>3</v>
      </c>
      <c r="F17" s="72">
        <v>3</v>
      </c>
      <c r="G17" s="72">
        <v>3</v>
      </c>
      <c r="H17" s="72">
        <v>3</v>
      </c>
      <c r="I17" s="72">
        <v>3</v>
      </c>
      <c r="J17" s="72">
        <v>3</v>
      </c>
      <c r="K17" s="72">
        <v>3</v>
      </c>
      <c r="L17" s="72">
        <v>3</v>
      </c>
      <c r="M17" s="72">
        <v>3</v>
      </c>
      <c r="N17" s="506">
        <f t="shared" si="0"/>
        <v>36</v>
      </c>
      <c r="O17" s="506">
        <f t="shared" si="1"/>
        <v>3</v>
      </c>
      <c r="Q17" s="62"/>
      <c r="R17" s="49"/>
      <c r="S17" s="49"/>
      <c r="T17" s="49"/>
    </row>
    <row r="18" spans="1:20" s="69" customFormat="1" ht="15" x14ac:dyDescent="0.25">
      <c r="A18" s="505" t="s">
        <v>175</v>
      </c>
      <c r="B18" s="72">
        <v>133</v>
      </c>
      <c r="C18" s="72">
        <v>133</v>
      </c>
      <c r="D18" s="72">
        <v>133</v>
      </c>
      <c r="E18" s="72">
        <v>133</v>
      </c>
      <c r="F18" s="72">
        <v>133</v>
      </c>
      <c r="G18" s="72">
        <v>133</v>
      </c>
      <c r="H18" s="72">
        <v>133</v>
      </c>
      <c r="I18" s="72">
        <v>133</v>
      </c>
      <c r="J18" s="72">
        <v>133</v>
      </c>
      <c r="K18" s="72">
        <v>133</v>
      </c>
      <c r="L18" s="72">
        <v>133</v>
      </c>
      <c r="M18" s="72">
        <v>133</v>
      </c>
      <c r="N18" s="506">
        <f t="shared" si="0"/>
        <v>1596</v>
      </c>
      <c r="O18" s="506">
        <f t="shared" si="1"/>
        <v>133</v>
      </c>
      <c r="Q18" s="62"/>
      <c r="R18" s="49"/>
      <c r="S18" s="49"/>
      <c r="T18" s="49"/>
    </row>
    <row r="19" spans="1:20" s="69" customFormat="1" ht="15" x14ac:dyDescent="0.25">
      <c r="A19" s="505" t="s">
        <v>176</v>
      </c>
      <c r="B19" s="72">
        <v>2290</v>
      </c>
      <c r="C19" s="72">
        <v>2295</v>
      </c>
      <c r="D19" s="72">
        <v>2304</v>
      </c>
      <c r="E19" s="72">
        <v>2303</v>
      </c>
      <c r="F19" s="72">
        <v>2304</v>
      </c>
      <c r="G19" s="72">
        <v>2303</v>
      </c>
      <c r="H19" s="72">
        <v>2290</v>
      </c>
      <c r="I19" s="72">
        <v>2296</v>
      </c>
      <c r="J19" s="72">
        <v>2296</v>
      </c>
      <c r="K19" s="72">
        <v>2293</v>
      </c>
      <c r="L19" s="72">
        <v>2286</v>
      </c>
      <c r="M19" s="72">
        <v>2286</v>
      </c>
      <c r="N19" s="506">
        <f t="shared" si="0"/>
        <v>27546</v>
      </c>
      <c r="O19" s="506">
        <f t="shared" si="1"/>
        <v>2296</v>
      </c>
      <c r="Q19" s="62"/>
      <c r="R19" s="49"/>
      <c r="S19" s="49"/>
      <c r="T19" s="49"/>
    </row>
    <row r="20" spans="1:20" s="69" customFormat="1" ht="15" x14ac:dyDescent="0.25">
      <c r="A20" s="505" t="s">
        <v>177</v>
      </c>
      <c r="B20" s="72">
        <v>85</v>
      </c>
      <c r="C20" s="72">
        <v>84</v>
      </c>
      <c r="D20" s="72">
        <v>82</v>
      </c>
      <c r="E20" s="72">
        <v>82</v>
      </c>
      <c r="F20" s="72">
        <v>82</v>
      </c>
      <c r="G20" s="72">
        <v>82</v>
      </c>
      <c r="H20" s="72">
        <v>82</v>
      </c>
      <c r="I20" s="72">
        <v>83</v>
      </c>
      <c r="J20" s="72">
        <v>84</v>
      </c>
      <c r="K20" s="72">
        <v>84</v>
      </c>
      <c r="L20" s="72">
        <v>83</v>
      </c>
      <c r="M20" s="72">
        <v>83</v>
      </c>
      <c r="N20" s="506">
        <f t="shared" si="0"/>
        <v>996</v>
      </c>
      <c r="O20" s="506">
        <f t="shared" si="1"/>
        <v>83</v>
      </c>
      <c r="Q20" s="62"/>
      <c r="R20" s="49"/>
      <c r="S20" s="49"/>
      <c r="T20" s="49"/>
    </row>
    <row r="21" spans="1:20" s="69" customFormat="1" ht="15" x14ac:dyDescent="0.25">
      <c r="A21" s="505" t="s">
        <v>178</v>
      </c>
      <c r="B21" s="72">
        <v>28</v>
      </c>
      <c r="C21" s="72">
        <v>29</v>
      </c>
      <c r="D21" s="72">
        <v>29</v>
      </c>
      <c r="E21" s="72">
        <v>29</v>
      </c>
      <c r="F21" s="72">
        <v>29</v>
      </c>
      <c r="G21" s="72">
        <v>29</v>
      </c>
      <c r="H21" s="72">
        <v>29</v>
      </c>
      <c r="I21" s="72">
        <v>29</v>
      </c>
      <c r="J21" s="72">
        <v>29</v>
      </c>
      <c r="K21" s="72">
        <v>29</v>
      </c>
      <c r="L21" s="72">
        <v>29</v>
      </c>
      <c r="M21" s="72">
        <v>29</v>
      </c>
      <c r="N21" s="506">
        <f t="shared" si="0"/>
        <v>347</v>
      </c>
      <c r="O21" s="506">
        <f t="shared" si="1"/>
        <v>29</v>
      </c>
      <c r="Q21" s="62"/>
      <c r="R21" s="49"/>
      <c r="S21" s="49"/>
      <c r="T21" s="49"/>
    </row>
    <row r="22" spans="1:20" s="69" customFormat="1" ht="15" x14ac:dyDescent="0.25">
      <c r="A22" s="505" t="s">
        <v>179</v>
      </c>
      <c r="B22" s="72">
        <v>3</v>
      </c>
      <c r="C22" s="72">
        <v>4</v>
      </c>
      <c r="D22" s="72">
        <v>4</v>
      </c>
      <c r="E22" s="72">
        <v>4</v>
      </c>
      <c r="F22" s="72">
        <v>4</v>
      </c>
      <c r="G22" s="72">
        <v>4</v>
      </c>
      <c r="H22" s="72">
        <v>4</v>
      </c>
      <c r="I22" s="72">
        <v>4</v>
      </c>
      <c r="J22" s="72">
        <v>4</v>
      </c>
      <c r="K22" s="72">
        <v>4</v>
      </c>
      <c r="L22" s="72">
        <v>4</v>
      </c>
      <c r="M22" s="72">
        <v>4</v>
      </c>
      <c r="N22" s="506">
        <f t="shared" si="0"/>
        <v>47</v>
      </c>
      <c r="O22" s="506">
        <f t="shared" si="1"/>
        <v>4</v>
      </c>
      <c r="Q22" s="62"/>
      <c r="R22" s="49"/>
      <c r="S22" s="49"/>
      <c r="T22" s="49"/>
    </row>
    <row r="23" spans="1:20" s="69" customFormat="1" ht="15" x14ac:dyDescent="0.25">
      <c r="A23" s="505" t="s">
        <v>180</v>
      </c>
      <c r="B23" s="72">
        <v>66</v>
      </c>
      <c r="C23" s="72">
        <v>66</v>
      </c>
      <c r="D23" s="72">
        <v>66</v>
      </c>
      <c r="E23" s="72">
        <v>66</v>
      </c>
      <c r="F23" s="72">
        <v>66</v>
      </c>
      <c r="G23" s="72">
        <v>67</v>
      </c>
      <c r="H23" s="72">
        <v>67</v>
      </c>
      <c r="I23" s="72">
        <v>67</v>
      </c>
      <c r="J23" s="72">
        <v>67</v>
      </c>
      <c r="K23" s="72">
        <v>68</v>
      </c>
      <c r="L23" s="72">
        <v>68</v>
      </c>
      <c r="M23" s="72">
        <v>68</v>
      </c>
      <c r="N23" s="506">
        <f t="shared" si="0"/>
        <v>802</v>
      </c>
      <c r="O23" s="506">
        <f t="shared" si="1"/>
        <v>67</v>
      </c>
      <c r="Q23" s="62"/>
      <c r="R23" s="49"/>
      <c r="S23" s="49"/>
      <c r="T23" s="49"/>
    </row>
    <row r="24" spans="1:20" s="69" customFormat="1" ht="15" x14ac:dyDescent="0.25">
      <c r="A24" s="505" t="s">
        <v>181</v>
      </c>
      <c r="B24" s="72">
        <v>7</v>
      </c>
      <c r="C24" s="72">
        <v>7</v>
      </c>
      <c r="D24" s="72">
        <v>7</v>
      </c>
      <c r="E24" s="72">
        <v>7</v>
      </c>
      <c r="F24" s="72">
        <v>7</v>
      </c>
      <c r="G24" s="72">
        <v>7</v>
      </c>
      <c r="H24" s="72">
        <v>7</v>
      </c>
      <c r="I24" s="72">
        <v>7</v>
      </c>
      <c r="J24" s="72">
        <v>7</v>
      </c>
      <c r="K24" s="72">
        <v>7</v>
      </c>
      <c r="L24" s="72">
        <v>7</v>
      </c>
      <c r="M24" s="72">
        <v>7</v>
      </c>
      <c r="N24" s="506">
        <f t="shared" si="0"/>
        <v>84</v>
      </c>
      <c r="O24" s="506">
        <f t="shared" si="1"/>
        <v>7</v>
      </c>
      <c r="Q24" s="62"/>
      <c r="R24" s="49"/>
      <c r="S24" s="49"/>
      <c r="T24" s="49"/>
    </row>
    <row r="25" spans="1:20" s="69" customFormat="1" ht="15" x14ac:dyDescent="0.25">
      <c r="A25" s="507" t="s">
        <v>182</v>
      </c>
      <c r="B25" s="72">
        <v>2</v>
      </c>
      <c r="C25" s="72">
        <v>3</v>
      </c>
      <c r="D25" s="72">
        <v>3</v>
      </c>
      <c r="E25" s="72">
        <v>3</v>
      </c>
      <c r="F25" s="72">
        <v>3</v>
      </c>
      <c r="G25" s="72">
        <v>3</v>
      </c>
      <c r="H25" s="72">
        <v>3</v>
      </c>
      <c r="I25" s="72">
        <v>3</v>
      </c>
      <c r="J25" s="72">
        <v>3</v>
      </c>
      <c r="K25" s="72">
        <v>4</v>
      </c>
      <c r="L25" s="72">
        <v>4</v>
      </c>
      <c r="M25" s="72">
        <v>4</v>
      </c>
      <c r="N25" s="506">
        <f t="shared" si="0"/>
        <v>38</v>
      </c>
      <c r="O25" s="506">
        <f t="shared" si="1"/>
        <v>3</v>
      </c>
      <c r="Q25" s="62"/>
      <c r="R25" s="49"/>
      <c r="S25" s="49"/>
      <c r="T25" s="49"/>
    </row>
    <row r="26" spans="1:20" s="69" customFormat="1" ht="15" x14ac:dyDescent="0.25">
      <c r="A26" s="505" t="s">
        <v>183</v>
      </c>
      <c r="B26" s="72">
        <v>0</v>
      </c>
      <c r="C26" s="72">
        <v>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506">
        <f t="shared" si="0"/>
        <v>0</v>
      </c>
      <c r="O26" s="506">
        <f t="shared" si="1"/>
        <v>0</v>
      </c>
      <c r="Q26" s="62"/>
      <c r="R26" s="49"/>
      <c r="S26" s="49"/>
      <c r="T26" s="49"/>
    </row>
    <row r="27" spans="1:20" s="69" customFormat="1" ht="15" x14ac:dyDescent="0.25">
      <c r="A27" s="505" t="s">
        <v>184</v>
      </c>
      <c r="B27" s="72">
        <v>9</v>
      </c>
      <c r="C27" s="72">
        <v>8</v>
      </c>
      <c r="D27" s="72">
        <v>8</v>
      </c>
      <c r="E27" s="72">
        <v>8</v>
      </c>
      <c r="F27" s="72">
        <v>8</v>
      </c>
      <c r="G27" s="72">
        <v>8</v>
      </c>
      <c r="H27" s="72">
        <v>8</v>
      </c>
      <c r="I27" s="72">
        <v>8</v>
      </c>
      <c r="J27" s="72">
        <v>8</v>
      </c>
      <c r="K27" s="72">
        <v>7</v>
      </c>
      <c r="L27" s="72">
        <v>7</v>
      </c>
      <c r="M27" s="72">
        <v>7</v>
      </c>
      <c r="N27" s="506">
        <f t="shared" si="0"/>
        <v>94</v>
      </c>
      <c r="O27" s="506">
        <f t="shared" si="1"/>
        <v>8</v>
      </c>
      <c r="Q27" s="62"/>
      <c r="R27" s="49"/>
      <c r="S27" s="49"/>
      <c r="T27" s="49"/>
    </row>
    <row r="28" spans="1:20" s="69" customFormat="1" ht="15" x14ac:dyDescent="0.25">
      <c r="A28" s="505" t="s">
        <v>185</v>
      </c>
      <c r="B28" s="72">
        <v>10</v>
      </c>
      <c r="C28" s="72">
        <v>10</v>
      </c>
      <c r="D28" s="72">
        <v>10</v>
      </c>
      <c r="E28" s="72">
        <v>10</v>
      </c>
      <c r="F28" s="72">
        <v>10</v>
      </c>
      <c r="G28" s="72">
        <v>10</v>
      </c>
      <c r="H28" s="72">
        <v>10</v>
      </c>
      <c r="I28" s="72">
        <v>10</v>
      </c>
      <c r="J28" s="72">
        <v>10</v>
      </c>
      <c r="K28" s="72">
        <v>10</v>
      </c>
      <c r="L28" s="72">
        <v>10</v>
      </c>
      <c r="M28" s="72">
        <v>10</v>
      </c>
      <c r="N28" s="506">
        <f t="shared" si="0"/>
        <v>120</v>
      </c>
      <c r="O28" s="506">
        <f t="shared" si="1"/>
        <v>10</v>
      </c>
      <c r="Q28" s="62"/>
      <c r="R28" s="49"/>
      <c r="S28" s="49"/>
      <c r="T28" s="49"/>
    </row>
    <row r="29" spans="1:20" s="69" customFormat="1" ht="15" x14ac:dyDescent="0.25">
      <c r="A29" s="505" t="s">
        <v>46</v>
      </c>
      <c r="B29" s="508">
        <f t="shared" ref="B29:O29" si="2">SUM(B6:B28)</f>
        <v>795879</v>
      </c>
      <c r="C29" s="508">
        <f t="shared" si="2"/>
        <v>798014</v>
      </c>
      <c r="D29" s="508">
        <f t="shared" si="2"/>
        <v>800326</v>
      </c>
      <c r="E29" s="508">
        <f t="shared" si="2"/>
        <v>802021</v>
      </c>
      <c r="F29" s="508">
        <f t="shared" si="2"/>
        <v>802925</v>
      </c>
      <c r="G29" s="508">
        <f t="shared" si="2"/>
        <v>803909</v>
      </c>
      <c r="H29" s="508">
        <f t="shared" si="2"/>
        <v>803995</v>
      </c>
      <c r="I29" s="508">
        <f t="shared" si="2"/>
        <v>806460</v>
      </c>
      <c r="J29" s="508">
        <f t="shared" si="2"/>
        <v>807548</v>
      </c>
      <c r="K29" s="508">
        <f t="shared" si="2"/>
        <v>807795</v>
      </c>
      <c r="L29" s="508">
        <f t="shared" si="2"/>
        <v>808479</v>
      </c>
      <c r="M29" s="508">
        <f t="shared" si="2"/>
        <v>809538</v>
      </c>
      <c r="N29" s="508">
        <f t="shared" si="2"/>
        <v>9646889</v>
      </c>
      <c r="O29" s="508">
        <f t="shared" si="2"/>
        <v>803908</v>
      </c>
    </row>
    <row r="30" spans="1:20" s="76" customFormat="1" ht="15" x14ac:dyDescent="0.25">
      <c r="A30" s="509" t="s">
        <v>299</v>
      </c>
      <c r="B30" s="72">
        <v>795879</v>
      </c>
      <c r="C30" s="72">
        <v>798014</v>
      </c>
      <c r="D30" s="72">
        <v>800326</v>
      </c>
      <c r="E30" s="72">
        <v>802021</v>
      </c>
      <c r="F30" s="72">
        <v>802925</v>
      </c>
      <c r="G30" s="72">
        <v>803909</v>
      </c>
      <c r="H30" s="72">
        <v>803995</v>
      </c>
      <c r="I30" s="72">
        <v>806460</v>
      </c>
      <c r="J30" s="72">
        <v>807548</v>
      </c>
      <c r="K30" s="72">
        <v>807795</v>
      </c>
      <c r="L30" s="72">
        <v>808479</v>
      </c>
      <c r="M30" s="72">
        <v>809538</v>
      </c>
      <c r="N30" s="506">
        <f>SUM(B30:M30)</f>
        <v>9646889</v>
      </c>
      <c r="O30" s="506"/>
      <c r="P30" s="69"/>
      <c r="Q30" s="69"/>
      <c r="R30" s="69"/>
      <c r="S30" s="69"/>
      <c r="T30" s="69"/>
    </row>
    <row r="31" spans="1:20" s="69" customFormat="1" ht="15" x14ac:dyDescent="0.25">
      <c r="A31" s="509" t="s">
        <v>58</v>
      </c>
      <c r="B31" s="506">
        <f t="shared" ref="B31:G31" si="3">B29-B30</f>
        <v>0</v>
      </c>
      <c r="C31" s="506">
        <f t="shared" si="3"/>
        <v>0</v>
      </c>
      <c r="D31" s="506">
        <f t="shared" si="3"/>
        <v>0</v>
      </c>
      <c r="E31" s="506">
        <f t="shared" si="3"/>
        <v>0</v>
      </c>
      <c r="F31" s="506">
        <f t="shared" si="3"/>
        <v>0</v>
      </c>
      <c r="G31" s="506">
        <f t="shared" si="3"/>
        <v>0</v>
      </c>
      <c r="H31" s="506">
        <f>H29-H30</f>
        <v>0</v>
      </c>
      <c r="I31" s="506">
        <f>I29-I30</f>
        <v>0</v>
      </c>
      <c r="J31" s="506">
        <f>J29-J30</f>
        <v>0</v>
      </c>
      <c r="K31" s="506">
        <f t="shared" ref="K31:M31" si="4">K29-K30</f>
        <v>0</v>
      </c>
      <c r="L31" s="506">
        <f t="shared" si="4"/>
        <v>0</v>
      </c>
      <c r="M31" s="506">
        <f t="shared" si="4"/>
        <v>0</v>
      </c>
      <c r="N31" s="506">
        <f>N29-N30</f>
        <v>0</v>
      </c>
      <c r="O31" s="506"/>
      <c r="P31" s="76"/>
      <c r="Q31" s="76"/>
      <c r="R31" s="76"/>
      <c r="S31" s="76"/>
      <c r="T31" s="76"/>
    </row>
    <row r="32" spans="1:20" s="69" customFormat="1" ht="12.75" x14ac:dyDescent="0.2">
      <c r="A32" s="76" t="s">
        <v>300</v>
      </c>
      <c r="B32" s="73">
        <f t="shared" ref="B32:O32" si="5">B29-B18</f>
        <v>795746</v>
      </c>
      <c r="C32" s="73">
        <f t="shared" si="5"/>
        <v>797881</v>
      </c>
      <c r="D32" s="73">
        <f t="shared" si="5"/>
        <v>800193</v>
      </c>
      <c r="E32" s="73">
        <f t="shared" si="5"/>
        <v>801888</v>
      </c>
      <c r="F32" s="73">
        <f t="shared" si="5"/>
        <v>802792</v>
      </c>
      <c r="G32" s="73">
        <f t="shared" si="5"/>
        <v>803776</v>
      </c>
      <c r="H32" s="73">
        <f t="shared" si="5"/>
        <v>803862</v>
      </c>
      <c r="I32" s="73">
        <f t="shared" si="5"/>
        <v>806327</v>
      </c>
      <c r="J32" s="73">
        <f t="shared" si="5"/>
        <v>807415</v>
      </c>
      <c r="K32" s="73">
        <f t="shared" si="5"/>
        <v>807662</v>
      </c>
      <c r="L32" s="73">
        <f t="shared" si="5"/>
        <v>808346</v>
      </c>
      <c r="M32" s="73">
        <f t="shared" si="5"/>
        <v>809405</v>
      </c>
      <c r="N32" s="73">
        <f t="shared" si="5"/>
        <v>9645293</v>
      </c>
      <c r="O32" s="73">
        <f t="shared" si="5"/>
        <v>803775</v>
      </c>
    </row>
    <row r="33" spans="1:20" s="69" customFormat="1" ht="15" x14ac:dyDescent="0.25">
      <c r="A33" s="510"/>
      <c r="B33" s="511"/>
      <c r="C33" s="511"/>
      <c r="D33" s="511"/>
      <c r="E33" s="511"/>
      <c r="F33" s="511"/>
      <c r="G33" s="511"/>
      <c r="H33" s="511"/>
      <c r="I33" s="511"/>
      <c r="J33" s="511"/>
      <c r="K33" s="511"/>
      <c r="L33" s="511"/>
      <c r="M33" s="511"/>
      <c r="N33" s="511"/>
      <c r="O33" s="510"/>
    </row>
    <row r="34" spans="1:20" s="69" customFormat="1" ht="15" x14ac:dyDescent="0.25">
      <c r="A34" s="510"/>
      <c r="B34" s="511"/>
      <c r="C34" s="511"/>
      <c r="D34" s="511"/>
      <c r="E34" s="511"/>
      <c r="F34" s="511"/>
      <c r="G34" s="511"/>
      <c r="H34" s="511"/>
      <c r="I34" s="511"/>
      <c r="J34" s="511"/>
      <c r="K34" s="511"/>
      <c r="L34" s="511"/>
      <c r="M34" s="511"/>
      <c r="N34" s="511"/>
      <c r="O34" s="510"/>
    </row>
    <row r="35" spans="1:20" s="69" customFormat="1" ht="15" x14ac:dyDescent="0.25">
      <c r="A35" s="510"/>
      <c r="B35" s="512"/>
      <c r="C35" s="512"/>
      <c r="D35" s="512"/>
      <c r="E35" s="512"/>
      <c r="F35" s="512"/>
      <c r="G35" s="512"/>
      <c r="H35" s="512"/>
      <c r="I35" s="512"/>
      <c r="J35" s="512"/>
      <c r="K35" s="512"/>
      <c r="L35" s="512"/>
      <c r="M35" s="512"/>
      <c r="N35" s="512"/>
      <c r="O35" s="512"/>
    </row>
    <row r="36" spans="1:20" s="69" customFormat="1" ht="12.75" x14ac:dyDescent="0.2">
      <c r="A36" s="62" t="s">
        <v>134</v>
      </c>
      <c r="B36" s="71">
        <f t="shared" ref="B36:O36" si="6">SUM(B6:B8)</f>
        <v>738347</v>
      </c>
      <c r="C36" s="71">
        <f t="shared" si="6"/>
        <v>740333</v>
      </c>
      <c r="D36" s="71">
        <f t="shared" si="6"/>
        <v>742494</v>
      </c>
      <c r="E36" s="71">
        <f t="shared" si="6"/>
        <v>744094</v>
      </c>
      <c r="F36" s="71">
        <f t="shared" si="6"/>
        <v>744966</v>
      </c>
      <c r="G36" s="71">
        <f t="shared" si="6"/>
        <v>745907</v>
      </c>
      <c r="H36" s="71">
        <f t="shared" si="6"/>
        <v>746102</v>
      </c>
      <c r="I36" s="71">
        <f t="shared" si="6"/>
        <v>748458</v>
      </c>
      <c r="J36" s="71">
        <f t="shared" si="6"/>
        <v>749526</v>
      </c>
      <c r="K36" s="71">
        <f t="shared" si="6"/>
        <v>749797</v>
      </c>
      <c r="L36" s="71">
        <f t="shared" si="6"/>
        <v>750520</v>
      </c>
      <c r="M36" s="71">
        <f t="shared" si="6"/>
        <v>751547</v>
      </c>
      <c r="N36" s="71">
        <f t="shared" si="6"/>
        <v>8952091</v>
      </c>
      <c r="O36" s="71">
        <f t="shared" si="6"/>
        <v>746008</v>
      </c>
    </row>
    <row r="37" spans="1:20" ht="15" x14ac:dyDescent="0.25">
      <c r="A37" s="509" t="s">
        <v>193</v>
      </c>
      <c r="B37" s="71">
        <f t="shared" ref="B37:N37" si="7">B9+B19</f>
        <v>55544</v>
      </c>
      <c r="C37" s="71">
        <f t="shared" si="7"/>
        <v>55689</v>
      </c>
      <c r="D37" s="71">
        <f t="shared" si="7"/>
        <v>55822</v>
      </c>
      <c r="E37" s="71">
        <f t="shared" si="7"/>
        <v>55921</v>
      </c>
      <c r="F37" s="71">
        <f t="shared" si="7"/>
        <v>55948</v>
      </c>
      <c r="G37" s="71">
        <f t="shared" si="7"/>
        <v>55995</v>
      </c>
      <c r="H37" s="71">
        <f t="shared" si="7"/>
        <v>55890</v>
      </c>
      <c r="I37" s="71">
        <f t="shared" si="7"/>
        <v>55997</v>
      </c>
      <c r="J37" s="71">
        <f t="shared" si="7"/>
        <v>56016</v>
      </c>
      <c r="K37" s="71">
        <f t="shared" si="7"/>
        <v>55997</v>
      </c>
      <c r="L37" s="71">
        <f t="shared" si="7"/>
        <v>55953</v>
      </c>
      <c r="M37" s="71">
        <f t="shared" si="7"/>
        <v>55990</v>
      </c>
      <c r="N37" s="71">
        <f t="shared" si="7"/>
        <v>670762</v>
      </c>
      <c r="O37" s="71">
        <f>O9+O19</f>
        <v>55897</v>
      </c>
      <c r="P37" s="71"/>
      <c r="Q37" s="69"/>
      <c r="R37" s="69"/>
      <c r="S37" s="69"/>
      <c r="T37" s="69"/>
    </row>
    <row r="38" spans="1:20" ht="12.75" x14ac:dyDescent="0.2">
      <c r="A38" s="62" t="s">
        <v>120</v>
      </c>
      <c r="B38" s="71">
        <f t="shared" ref="B38:N38" si="8">B11+B20</f>
        <v>1339</v>
      </c>
      <c r="C38" s="71">
        <f t="shared" si="8"/>
        <v>1343</v>
      </c>
      <c r="D38" s="71">
        <f t="shared" si="8"/>
        <v>1367</v>
      </c>
      <c r="E38" s="71">
        <f t="shared" si="8"/>
        <v>1364</v>
      </c>
      <c r="F38" s="71">
        <f t="shared" si="8"/>
        <v>1371</v>
      </c>
      <c r="G38" s="71">
        <f t="shared" si="8"/>
        <v>1367</v>
      </c>
      <c r="H38" s="71">
        <f t="shared" si="8"/>
        <v>1364</v>
      </c>
      <c r="I38" s="71">
        <f t="shared" si="8"/>
        <v>1367</v>
      </c>
      <c r="J38" s="71">
        <f t="shared" si="8"/>
        <v>1367</v>
      </c>
      <c r="K38" s="71">
        <f t="shared" si="8"/>
        <v>1362</v>
      </c>
      <c r="L38" s="71">
        <f t="shared" si="8"/>
        <v>1370</v>
      </c>
      <c r="M38" s="71">
        <f t="shared" si="8"/>
        <v>1367</v>
      </c>
      <c r="N38" s="71">
        <f t="shared" si="8"/>
        <v>16348</v>
      </c>
      <c r="O38" s="71">
        <f>O11+O20</f>
        <v>1362</v>
      </c>
    </row>
    <row r="39" spans="1:20" ht="12.75" x14ac:dyDescent="0.2">
      <c r="A39" s="62" t="s">
        <v>123</v>
      </c>
      <c r="B39" s="81">
        <f t="shared" ref="B39:O39" si="9">B13+B22</f>
        <v>30</v>
      </c>
      <c r="C39" s="81">
        <f t="shared" si="9"/>
        <v>31</v>
      </c>
      <c r="D39" s="81">
        <f t="shared" si="9"/>
        <v>30</v>
      </c>
      <c r="E39" s="81">
        <f t="shared" si="9"/>
        <v>31</v>
      </c>
      <c r="F39" s="81">
        <f t="shared" si="9"/>
        <v>30</v>
      </c>
      <c r="G39" s="81">
        <f t="shared" si="9"/>
        <v>30</v>
      </c>
      <c r="H39" s="81">
        <f t="shared" si="9"/>
        <v>30</v>
      </c>
      <c r="I39" s="81">
        <f t="shared" si="9"/>
        <v>29</v>
      </c>
      <c r="J39" s="81">
        <f t="shared" si="9"/>
        <v>29</v>
      </c>
      <c r="K39" s="81">
        <f t="shared" si="9"/>
        <v>29</v>
      </c>
      <c r="L39" s="81">
        <f t="shared" si="9"/>
        <v>29</v>
      </c>
      <c r="M39" s="81">
        <f t="shared" si="9"/>
        <v>29</v>
      </c>
      <c r="N39" s="81">
        <f t="shared" si="9"/>
        <v>357</v>
      </c>
      <c r="O39" s="81">
        <f t="shared" si="9"/>
        <v>30</v>
      </c>
    </row>
    <row r="40" spans="1:20" ht="12.75" x14ac:dyDescent="0.2">
      <c r="A40" s="62" t="s">
        <v>124</v>
      </c>
      <c r="B40" s="71">
        <f t="shared" ref="B40:O40" si="10">B15+B24</f>
        <v>255</v>
      </c>
      <c r="C40" s="71">
        <f t="shared" si="10"/>
        <v>253</v>
      </c>
      <c r="D40" s="71">
        <f t="shared" si="10"/>
        <v>248</v>
      </c>
      <c r="E40" s="71">
        <f t="shared" si="10"/>
        <v>247</v>
      </c>
      <c r="F40" s="71">
        <f t="shared" si="10"/>
        <v>246</v>
      </c>
      <c r="G40" s="71">
        <f t="shared" si="10"/>
        <v>246</v>
      </c>
      <c r="H40" s="71">
        <f t="shared" si="10"/>
        <v>246</v>
      </c>
      <c r="I40" s="71">
        <f t="shared" si="10"/>
        <v>245</v>
      </c>
      <c r="J40" s="71">
        <f t="shared" si="10"/>
        <v>245</v>
      </c>
      <c r="K40" s="71">
        <f t="shared" si="10"/>
        <v>244</v>
      </c>
      <c r="L40" s="71">
        <f t="shared" si="10"/>
        <v>241</v>
      </c>
      <c r="M40" s="71">
        <f t="shared" si="10"/>
        <v>239</v>
      </c>
      <c r="N40" s="71">
        <f t="shared" si="10"/>
        <v>2955</v>
      </c>
      <c r="O40" s="71">
        <f t="shared" si="10"/>
        <v>246</v>
      </c>
    </row>
    <row r="41" spans="1:20" ht="12.75" x14ac:dyDescent="0.2">
      <c r="A41" s="62" t="s">
        <v>125</v>
      </c>
      <c r="B41" s="71">
        <f t="shared" ref="B41:O41" si="11">B16+B26</f>
        <v>5</v>
      </c>
      <c r="C41" s="71">
        <f t="shared" si="11"/>
        <v>5</v>
      </c>
      <c r="D41" s="71">
        <f t="shared" si="11"/>
        <v>5</v>
      </c>
      <c r="E41" s="71">
        <f t="shared" si="11"/>
        <v>5</v>
      </c>
      <c r="F41" s="71">
        <f t="shared" si="11"/>
        <v>5</v>
      </c>
      <c r="G41" s="71">
        <f t="shared" si="11"/>
        <v>5</v>
      </c>
      <c r="H41" s="71">
        <f t="shared" si="11"/>
        <v>5</v>
      </c>
      <c r="I41" s="71">
        <f t="shared" si="11"/>
        <v>5</v>
      </c>
      <c r="J41" s="71">
        <f t="shared" si="11"/>
        <v>5</v>
      </c>
      <c r="K41" s="71">
        <f t="shared" si="11"/>
        <v>5</v>
      </c>
      <c r="L41" s="71">
        <f t="shared" si="11"/>
        <v>5</v>
      </c>
      <c r="M41" s="71">
        <f t="shared" si="11"/>
        <v>5</v>
      </c>
      <c r="N41" s="71">
        <f t="shared" si="11"/>
        <v>60</v>
      </c>
      <c r="O41" s="71">
        <f t="shared" si="11"/>
        <v>5</v>
      </c>
    </row>
    <row r="42" spans="1:20" ht="15" x14ac:dyDescent="0.25">
      <c r="A42" t="s">
        <v>194</v>
      </c>
      <c r="B42" s="71">
        <f t="shared" ref="B42:M42" si="12">B10</f>
        <v>2</v>
      </c>
      <c r="C42" s="71">
        <f t="shared" si="12"/>
        <v>3</v>
      </c>
      <c r="D42" s="71">
        <f t="shared" si="12"/>
        <v>2</v>
      </c>
      <c r="E42" s="71">
        <f t="shared" si="12"/>
        <v>2</v>
      </c>
      <c r="F42" s="71">
        <f t="shared" si="12"/>
        <v>2</v>
      </c>
      <c r="G42" s="71">
        <f t="shared" si="12"/>
        <v>2</v>
      </c>
      <c r="H42" s="71">
        <f t="shared" si="12"/>
        <v>2</v>
      </c>
      <c r="I42" s="71">
        <f t="shared" si="12"/>
        <v>2</v>
      </c>
      <c r="J42" s="71">
        <f t="shared" si="12"/>
        <v>2</v>
      </c>
      <c r="K42" s="71">
        <f t="shared" si="12"/>
        <v>2</v>
      </c>
      <c r="L42" s="71">
        <f t="shared" si="12"/>
        <v>2</v>
      </c>
      <c r="M42" s="71">
        <f t="shared" si="12"/>
        <v>2</v>
      </c>
      <c r="N42" s="71">
        <f>N10</f>
        <v>25</v>
      </c>
      <c r="O42" s="71">
        <f>O10</f>
        <v>2</v>
      </c>
    </row>
    <row r="43" spans="1:20" ht="15" x14ac:dyDescent="0.25">
      <c r="A43" t="s">
        <v>126</v>
      </c>
      <c r="B43" s="81">
        <f t="shared" ref="B43:O43" si="13">B12+B21</f>
        <v>96</v>
      </c>
      <c r="C43" s="81">
        <f t="shared" si="13"/>
        <v>97</v>
      </c>
      <c r="D43" s="81">
        <f t="shared" si="13"/>
        <v>98</v>
      </c>
      <c r="E43" s="81">
        <f t="shared" si="13"/>
        <v>98</v>
      </c>
      <c r="F43" s="81">
        <f t="shared" si="13"/>
        <v>98</v>
      </c>
      <c r="G43" s="81">
        <f t="shared" si="13"/>
        <v>98</v>
      </c>
      <c r="H43" s="81">
        <f t="shared" si="13"/>
        <v>97</v>
      </c>
      <c r="I43" s="81">
        <f t="shared" si="13"/>
        <v>98</v>
      </c>
      <c r="J43" s="81">
        <f t="shared" si="13"/>
        <v>99</v>
      </c>
      <c r="K43" s="81">
        <f t="shared" si="13"/>
        <v>99</v>
      </c>
      <c r="L43" s="81">
        <f t="shared" si="13"/>
        <v>99</v>
      </c>
      <c r="M43" s="81">
        <f t="shared" si="13"/>
        <v>99</v>
      </c>
      <c r="N43" s="81">
        <f t="shared" si="13"/>
        <v>1176</v>
      </c>
      <c r="O43" s="81">
        <f t="shared" si="13"/>
        <v>98</v>
      </c>
    </row>
    <row r="44" spans="1:20" ht="15" x14ac:dyDescent="0.25">
      <c r="A44" t="s">
        <v>127</v>
      </c>
      <c r="B44" s="81">
        <f t="shared" ref="B44:O44" si="14">B14+B23</f>
        <v>104</v>
      </c>
      <c r="C44" s="81">
        <f t="shared" si="14"/>
        <v>103</v>
      </c>
      <c r="D44" s="81">
        <f t="shared" si="14"/>
        <v>103</v>
      </c>
      <c r="E44" s="81">
        <f t="shared" si="14"/>
        <v>102</v>
      </c>
      <c r="F44" s="81">
        <f t="shared" si="14"/>
        <v>102</v>
      </c>
      <c r="G44" s="81">
        <f t="shared" si="14"/>
        <v>102</v>
      </c>
      <c r="H44" s="81">
        <f t="shared" si="14"/>
        <v>102</v>
      </c>
      <c r="I44" s="81">
        <f t="shared" si="14"/>
        <v>102</v>
      </c>
      <c r="J44" s="81">
        <f t="shared" si="14"/>
        <v>102</v>
      </c>
      <c r="K44" s="81">
        <f t="shared" si="14"/>
        <v>103</v>
      </c>
      <c r="L44" s="81">
        <f t="shared" si="14"/>
        <v>103</v>
      </c>
      <c r="M44" s="81">
        <f t="shared" si="14"/>
        <v>103</v>
      </c>
      <c r="N44" s="81">
        <f t="shared" si="14"/>
        <v>1231</v>
      </c>
      <c r="O44" s="81">
        <f t="shared" si="14"/>
        <v>103</v>
      </c>
    </row>
    <row r="45" spans="1:20" ht="14.4" x14ac:dyDescent="0.3">
      <c r="A45" s="513" t="s">
        <v>195</v>
      </c>
      <c r="B45" s="514">
        <f t="shared" ref="B45:O45" si="15">B25</f>
        <v>2</v>
      </c>
      <c r="C45" s="514">
        <f t="shared" si="15"/>
        <v>3</v>
      </c>
      <c r="D45" s="514">
        <f t="shared" si="15"/>
        <v>3</v>
      </c>
      <c r="E45" s="514">
        <f t="shared" si="15"/>
        <v>3</v>
      </c>
      <c r="F45" s="514">
        <f t="shared" si="15"/>
        <v>3</v>
      </c>
      <c r="G45" s="514">
        <f t="shared" si="15"/>
        <v>3</v>
      </c>
      <c r="H45" s="514">
        <f t="shared" si="15"/>
        <v>3</v>
      </c>
      <c r="I45" s="514">
        <f t="shared" si="15"/>
        <v>3</v>
      </c>
      <c r="J45" s="514">
        <f t="shared" si="15"/>
        <v>3</v>
      </c>
      <c r="K45" s="514">
        <f t="shared" si="15"/>
        <v>4</v>
      </c>
      <c r="L45" s="514">
        <f t="shared" si="15"/>
        <v>4</v>
      </c>
      <c r="M45" s="514">
        <f t="shared" si="15"/>
        <v>4</v>
      </c>
      <c r="N45" s="514">
        <f t="shared" si="15"/>
        <v>38</v>
      </c>
      <c r="O45" s="514">
        <f t="shared" si="15"/>
        <v>3</v>
      </c>
    </row>
    <row r="46" spans="1:20" ht="14.4" x14ac:dyDescent="0.3">
      <c r="A46" t="s">
        <v>129</v>
      </c>
      <c r="B46" s="81">
        <f t="shared" ref="B46:O46" si="16">B17+B27</f>
        <v>12</v>
      </c>
      <c r="C46" s="81">
        <f t="shared" si="16"/>
        <v>11</v>
      </c>
      <c r="D46" s="81">
        <f t="shared" si="16"/>
        <v>11</v>
      </c>
      <c r="E46" s="81">
        <f t="shared" si="16"/>
        <v>11</v>
      </c>
      <c r="F46" s="81">
        <f t="shared" si="16"/>
        <v>11</v>
      </c>
      <c r="G46" s="81">
        <f t="shared" si="16"/>
        <v>11</v>
      </c>
      <c r="H46" s="81">
        <f t="shared" si="16"/>
        <v>11</v>
      </c>
      <c r="I46" s="81">
        <f t="shared" si="16"/>
        <v>11</v>
      </c>
      <c r="J46" s="81">
        <f t="shared" si="16"/>
        <v>11</v>
      </c>
      <c r="K46" s="81">
        <f t="shared" si="16"/>
        <v>10</v>
      </c>
      <c r="L46" s="81">
        <f t="shared" si="16"/>
        <v>10</v>
      </c>
      <c r="M46" s="81">
        <f t="shared" si="16"/>
        <v>10</v>
      </c>
      <c r="N46" s="81">
        <f t="shared" si="16"/>
        <v>130</v>
      </c>
      <c r="O46" s="81">
        <f t="shared" si="16"/>
        <v>11</v>
      </c>
    </row>
    <row r="47" spans="1:20" ht="14.4" x14ac:dyDescent="0.3">
      <c r="A47" s="50" t="s">
        <v>61</v>
      </c>
      <c r="B47" s="81">
        <f t="shared" ref="B47:O47" si="17">B28</f>
        <v>10</v>
      </c>
      <c r="C47" s="81">
        <f t="shared" si="17"/>
        <v>10</v>
      </c>
      <c r="D47" s="81">
        <f t="shared" si="17"/>
        <v>10</v>
      </c>
      <c r="E47" s="81">
        <f t="shared" si="17"/>
        <v>10</v>
      </c>
      <c r="F47" s="81">
        <f t="shared" si="17"/>
        <v>10</v>
      </c>
      <c r="G47" s="81">
        <f t="shared" si="17"/>
        <v>10</v>
      </c>
      <c r="H47" s="81">
        <f t="shared" si="17"/>
        <v>10</v>
      </c>
      <c r="I47" s="81">
        <f t="shared" si="17"/>
        <v>10</v>
      </c>
      <c r="J47" s="81">
        <f t="shared" si="17"/>
        <v>10</v>
      </c>
      <c r="K47" s="81">
        <f t="shared" si="17"/>
        <v>10</v>
      </c>
      <c r="L47" s="81">
        <f t="shared" si="17"/>
        <v>10</v>
      </c>
      <c r="M47" s="81">
        <f t="shared" si="17"/>
        <v>10</v>
      </c>
      <c r="N47" s="81">
        <f t="shared" si="17"/>
        <v>120</v>
      </c>
      <c r="O47" s="81">
        <f t="shared" si="17"/>
        <v>10</v>
      </c>
    </row>
    <row r="48" spans="1:20" x14ac:dyDescent="0.25">
      <c r="A48" s="77" t="s">
        <v>135</v>
      </c>
      <c r="B48" s="85">
        <f t="shared" ref="B48:O48" si="18">SUM(B36:B47)</f>
        <v>795746</v>
      </c>
      <c r="C48" s="85">
        <f t="shared" si="18"/>
        <v>797881</v>
      </c>
      <c r="D48" s="85">
        <f t="shared" si="18"/>
        <v>800193</v>
      </c>
      <c r="E48" s="85">
        <f t="shared" si="18"/>
        <v>801888</v>
      </c>
      <c r="F48" s="85">
        <f t="shared" si="18"/>
        <v>802792</v>
      </c>
      <c r="G48" s="85">
        <f t="shared" si="18"/>
        <v>803776</v>
      </c>
      <c r="H48" s="85">
        <f t="shared" si="18"/>
        <v>803862</v>
      </c>
      <c r="I48" s="85">
        <f t="shared" si="18"/>
        <v>806327</v>
      </c>
      <c r="J48" s="85">
        <f t="shared" si="18"/>
        <v>807415</v>
      </c>
      <c r="K48" s="85">
        <f t="shared" si="18"/>
        <v>807662</v>
      </c>
      <c r="L48" s="85">
        <f t="shared" si="18"/>
        <v>808346</v>
      </c>
      <c r="M48" s="85">
        <f t="shared" si="18"/>
        <v>809405</v>
      </c>
      <c r="N48" s="85">
        <f t="shared" si="18"/>
        <v>9645293</v>
      </c>
      <c r="O48" s="85">
        <f t="shared" si="18"/>
        <v>803775</v>
      </c>
    </row>
    <row r="49" spans="1:15" x14ac:dyDescent="0.25">
      <c r="A49" s="77" t="s">
        <v>58</v>
      </c>
      <c r="B49" s="81">
        <f t="shared" ref="B49:O49" si="19">B48-B32</f>
        <v>0</v>
      </c>
      <c r="C49" s="81">
        <f t="shared" si="19"/>
        <v>0</v>
      </c>
      <c r="D49" s="81">
        <f t="shared" si="19"/>
        <v>0</v>
      </c>
      <c r="E49" s="81">
        <f t="shared" si="19"/>
        <v>0</v>
      </c>
      <c r="F49" s="81">
        <f t="shared" si="19"/>
        <v>0</v>
      </c>
      <c r="G49" s="81">
        <f t="shared" si="19"/>
        <v>0</v>
      </c>
      <c r="H49" s="81">
        <f t="shared" si="19"/>
        <v>0</v>
      </c>
      <c r="I49" s="81">
        <f t="shared" si="19"/>
        <v>0</v>
      </c>
      <c r="J49" s="81">
        <f t="shared" si="19"/>
        <v>0</v>
      </c>
      <c r="K49" s="81">
        <f t="shared" si="19"/>
        <v>0</v>
      </c>
      <c r="L49" s="81">
        <f t="shared" si="19"/>
        <v>0</v>
      </c>
      <c r="M49" s="81">
        <f t="shared" si="19"/>
        <v>0</v>
      </c>
      <c r="N49" s="81">
        <f t="shared" si="19"/>
        <v>0</v>
      </c>
      <c r="O49" s="81">
        <f t="shared" si="19"/>
        <v>0</v>
      </c>
    </row>
    <row r="50" spans="1:15" x14ac:dyDescent="0.25"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</row>
    <row r="51" spans="1:15" x14ac:dyDescent="0.25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</row>
    <row r="52" spans="1:15" x14ac:dyDescent="0.25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</row>
    <row r="53" spans="1:15" x14ac:dyDescent="0.25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</row>
    <row r="55" spans="1:15" ht="14.4" x14ac:dyDescent="0.3">
      <c r="A55" s="509" t="s">
        <v>301</v>
      </c>
    </row>
  </sheetData>
  <printOptions horizontalCentered="1"/>
  <pageMargins left="0.75" right="0.75" top="0.78" bottom="1" header="0.5" footer="0.5"/>
  <pageSetup scale="62" orientation="landscape" blackAndWhite="1" horizontalDpi="300" verticalDpi="300" r:id="rId1"/>
  <headerFooter alignWithMargins="0">
    <oddFooter>&amp;R&amp;F
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30"/>
  <sheetViews>
    <sheetView workbookViewId="0">
      <pane ySplit="7" topLeftCell="A8" activePane="bottomLeft" state="frozen"/>
      <selection activeCell="D18" sqref="D18"/>
      <selection pane="bottomLeft" activeCell="D18" sqref="D18"/>
    </sheetView>
  </sheetViews>
  <sheetFormatPr defaultColWidth="9.109375" defaultRowHeight="13.2" x14ac:dyDescent="0.25"/>
  <cols>
    <col min="1" max="1" width="2.33203125" style="67" customWidth="1"/>
    <col min="2" max="2" width="41.5546875" style="67" customWidth="1"/>
    <col min="3" max="3" width="9.88671875" style="67" bestFit="1" customWidth="1"/>
    <col min="4" max="4" width="11.33203125" style="67" bestFit="1" customWidth="1"/>
    <col min="5" max="7" width="12" style="67" bestFit="1" customWidth="1"/>
    <col min="8" max="8" width="11.88671875" style="67" bestFit="1" customWidth="1"/>
    <col min="9" max="9" width="11.88671875" style="67" customWidth="1"/>
    <col min="10" max="11" width="11.5546875" style="67" bestFit="1" customWidth="1"/>
    <col min="12" max="12" width="11.33203125" style="67" bestFit="1" customWidth="1"/>
    <col min="13" max="15" width="11.33203125" style="67" customWidth="1"/>
    <col min="16" max="16" width="13" style="67" bestFit="1" customWidth="1"/>
    <col min="17" max="17" width="12.6640625" style="67" customWidth="1"/>
    <col min="18" max="18" width="10.6640625" style="67" bestFit="1" customWidth="1"/>
    <col min="19" max="16384" width="9.109375" style="67"/>
  </cols>
  <sheetData>
    <row r="1" spans="1:19" ht="12.75" x14ac:dyDescent="0.2">
      <c r="A1" s="515"/>
      <c r="B1" s="516" t="s">
        <v>17</v>
      </c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3"/>
    </row>
    <row r="2" spans="1:19" ht="12.75" x14ac:dyDescent="0.2">
      <c r="A2" s="515"/>
      <c r="B2" s="516" t="s">
        <v>354</v>
      </c>
      <c r="C2" s="517"/>
      <c r="D2" s="518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3"/>
    </row>
    <row r="3" spans="1:19" ht="12.75" x14ac:dyDescent="0.2">
      <c r="A3" s="515"/>
      <c r="B3" s="519" t="s">
        <v>68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3"/>
    </row>
    <row r="4" spans="1:19" ht="12.75" x14ac:dyDescent="0.2">
      <c r="A4" s="515"/>
      <c r="B4" s="516" t="s">
        <v>353</v>
      </c>
      <c r="C4" s="517"/>
      <c r="D4" s="520"/>
      <c r="E4" s="520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3"/>
    </row>
    <row r="5" spans="1:19" ht="12.75" x14ac:dyDescent="0.2">
      <c r="A5" s="515"/>
      <c r="B5" s="518"/>
      <c r="C5" s="517"/>
      <c r="D5" s="517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17"/>
      <c r="Q5" s="53"/>
    </row>
    <row r="6" spans="1:19" ht="12.75" x14ac:dyDescent="0.2">
      <c r="A6" s="515"/>
      <c r="B6" s="518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3"/>
    </row>
    <row r="7" spans="1:19" ht="12.75" x14ac:dyDescent="0.2">
      <c r="A7" s="515"/>
      <c r="B7" s="521" t="s">
        <v>69</v>
      </c>
      <c r="C7" s="521" t="s">
        <v>70</v>
      </c>
      <c r="D7" s="522">
        <v>42278</v>
      </c>
      <c r="E7" s="522">
        <v>42309</v>
      </c>
      <c r="F7" s="522">
        <v>42339</v>
      </c>
      <c r="G7" s="522">
        <v>42370</v>
      </c>
      <c r="H7" s="522">
        <v>42401</v>
      </c>
      <c r="I7" s="522">
        <v>42430</v>
      </c>
      <c r="J7" s="522">
        <v>42461</v>
      </c>
      <c r="K7" s="522">
        <v>42491</v>
      </c>
      <c r="L7" s="522">
        <v>42522</v>
      </c>
      <c r="M7" s="522">
        <v>42552</v>
      </c>
      <c r="N7" s="522">
        <v>42583</v>
      </c>
      <c r="O7" s="522">
        <v>42614</v>
      </c>
      <c r="P7" s="523" t="s">
        <v>46</v>
      </c>
      <c r="Q7" s="54"/>
    </row>
    <row r="8" spans="1:19" ht="12.75" x14ac:dyDescent="0.2">
      <c r="A8" s="515"/>
      <c r="B8" s="524" t="s">
        <v>269</v>
      </c>
      <c r="C8" s="525"/>
      <c r="D8" s="526"/>
      <c r="E8" s="526"/>
      <c r="F8" s="526"/>
      <c r="G8" s="526"/>
      <c r="H8" s="526"/>
      <c r="I8" s="526"/>
      <c r="J8" s="526"/>
      <c r="K8" s="526"/>
      <c r="L8" s="526"/>
      <c r="M8" s="526"/>
      <c r="N8" s="526"/>
      <c r="O8" s="526"/>
      <c r="P8" s="526"/>
      <c r="Q8" s="55"/>
    </row>
    <row r="9" spans="1:19" s="77" customFormat="1" ht="12.75" x14ac:dyDescent="0.2">
      <c r="A9" s="527"/>
      <c r="B9" s="528" t="s">
        <v>71</v>
      </c>
      <c r="C9" s="529">
        <v>16</v>
      </c>
      <c r="D9" s="530">
        <v>843.66700000000003</v>
      </c>
      <c r="E9" s="530">
        <v>830.59199999999998</v>
      </c>
      <c r="F9" s="530">
        <v>807.86599999999999</v>
      </c>
      <c r="G9" s="530">
        <v>789.01199999999994</v>
      </c>
      <c r="H9" s="530">
        <v>758.72900000000004</v>
      </c>
      <c r="I9" s="530">
        <v>801.57600000000002</v>
      </c>
      <c r="J9" s="530">
        <v>808.22799999999984</v>
      </c>
      <c r="K9" s="530">
        <v>828.98500000000001</v>
      </c>
      <c r="L9" s="530">
        <v>769.97599999999989</v>
      </c>
      <c r="M9" s="530">
        <v>824.70100000000002</v>
      </c>
      <c r="N9" s="530">
        <v>824.07</v>
      </c>
      <c r="O9" s="530">
        <v>802.58699999999999</v>
      </c>
      <c r="P9" s="531">
        <f t="shared" ref="P9:P30" si="0">SUM(D9:O9)</f>
        <v>9689.9889999999996</v>
      </c>
      <c r="Q9" s="78"/>
      <c r="S9" s="78"/>
    </row>
    <row r="10" spans="1:19" s="77" customFormat="1" ht="12.75" x14ac:dyDescent="0.2">
      <c r="A10" s="527"/>
      <c r="B10" s="527" t="s">
        <v>0</v>
      </c>
      <c r="C10" s="527">
        <v>23</v>
      </c>
      <c r="D10" s="532">
        <v>33579055.461000003</v>
      </c>
      <c r="E10" s="532">
        <v>68116459.408999994</v>
      </c>
      <c r="F10" s="532">
        <v>90893643.501000002</v>
      </c>
      <c r="G10" s="532">
        <v>85755689.991999999</v>
      </c>
      <c r="H10" s="532">
        <v>64160071.008000001</v>
      </c>
      <c r="I10" s="532">
        <v>57987038.060000002</v>
      </c>
      <c r="J10" s="532">
        <v>32880811.184999999</v>
      </c>
      <c r="K10" s="532">
        <v>22995260.690000001</v>
      </c>
      <c r="L10" s="532">
        <v>17774336.386999998</v>
      </c>
      <c r="M10" s="532">
        <v>14047510.1</v>
      </c>
      <c r="N10" s="532">
        <v>13454917.184</v>
      </c>
      <c r="O10" s="532">
        <v>19212587.105999999</v>
      </c>
      <c r="P10" s="531">
        <f t="shared" si="0"/>
        <v>520857380.08300006</v>
      </c>
      <c r="Q10" s="78"/>
    </row>
    <row r="11" spans="1:19" s="77" customFormat="1" ht="12.75" x14ac:dyDescent="0.2">
      <c r="A11" s="527"/>
      <c r="B11" s="527" t="s">
        <v>72</v>
      </c>
      <c r="C11" s="527">
        <v>53</v>
      </c>
      <c r="D11" s="532">
        <v>18.731000000000002</v>
      </c>
      <c r="E11" s="532">
        <v>24.811</v>
      </c>
      <c r="F11" s="532">
        <v>33.003999999999998</v>
      </c>
      <c r="G11" s="532">
        <v>33.353999999999999</v>
      </c>
      <c r="H11" s="532">
        <v>30.581</v>
      </c>
      <c r="I11" s="532">
        <v>31.948</v>
      </c>
      <c r="J11" s="532">
        <v>24.841000000000001</v>
      </c>
      <c r="K11" s="532">
        <v>21.797000000000001</v>
      </c>
      <c r="L11" s="532">
        <v>17.646999999999998</v>
      </c>
      <c r="M11" s="532">
        <v>5.0419999999999998</v>
      </c>
      <c r="N11" s="532">
        <v>3.782</v>
      </c>
      <c r="O11" s="532">
        <v>3.867</v>
      </c>
      <c r="P11" s="531">
        <f t="shared" si="0"/>
        <v>249.405</v>
      </c>
      <c r="Q11" s="78"/>
    </row>
    <row r="12" spans="1:19" s="77" customFormat="1" ht="12.75" x14ac:dyDescent="0.2">
      <c r="A12" s="527"/>
      <c r="B12" s="528" t="s">
        <v>73</v>
      </c>
      <c r="C12" s="527">
        <v>31</v>
      </c>
      <c r="D12" s="532">
        <v>12275932.007999999</v>
      </c>
      <c r="E12" s="532">
        <v>21666239.640999999</v>
      </c>
      <c r="F12" s="532">
        <v>28885282.739999998</v>
      </c>
      <c r="G12" s="532">
        <v>27959875.298999999</v>
      </c>
      <c r="H12" s="532">
        <v>21315955.631999999</v>
      </c>
      <c r="I12" s="532">
        <v>19716824.713</v>
      </c>
      <c r="J12" s="532">
        <v>12422877.878</v>
      </c>
      <c r="K12" s="532">
        <v>9877099.3650000002</v>
      </c>
      <c r="L12" s="532">
        <v>8485847.8690000009</v>
      </c>
      <c r="M12" s="532">
        <v>7677067.9900000002</v>
      </c>
      <c r="N12" s="532">
        <v>7480555.2740000002</v>
      </c>
      <c r="O12" s="532">
        <v>8692626.341</v>
      </c>
      <c r="P12" s="531">
        <f t="shared" si="0"/>
        <v>186456184.74999997</v>
      </c>
      <c r="Q12" s="78"/>
    </row>
    <row r="13" spans="1:19" s="77" customFormat="1" ht="12.75" x14ac:dyDescent="0.2">
      <c r="A13" s="527"/>
      <c r="B13" s="528" t="s">
        <v>74</v>
      </c>
      <c r="C13" s="527">
        <v>41</v>
      </c>
      <c r="D13" s="532">
        <v>3789961.8130000001</v>
      </c>
      <c r="E13" s="532">
        <v>5675550.6449999996</v>
      </c>
      <c r="F13" s="532">
        <v>6905082.438000001</v>
      </c>
      <c r="G13" s="532">
        <v>6784593.9689999996</v>
      </c>
      <c r="H13" s="532">
        <v>5559170.3450000007</v>
      </c>
      <c r="I13" s="532">
        <v>5456896.0899999999</v>
      </c>
      <c r="J13" s="532">
        <v>3904814.4060000004</v>
      </c>
      <c r="K13" s="532">
        <v>3333812.4049999998</v>
      </c>
      <c r="L13" s="532">
        <v>2844983.4589999998</v>
      </c>
      <c r="M13" s="532">
        <v>2501770.79</v>
      </c>
      <c r="N13" s="532">
        <v>2440093.7200000002</v>
      </c>
      <c r="O13" s="532">
        <v>2876166.1740000001</v>
      </c>
      <c r="P13" s="531">
        <f t="shared" si="0"/>
        <v>52072896.254000001</v>
      </c>
      <c r="Q13" s="78"/>
    </row>
    <row r="14" spans="1:19" s="77" customFormat="1" ht="12.75" x14ac:dyDescent="0.2">
      <c r="A14" s="527"/>
      <c r="B14" s="515" t="s">
        <v>270</v>
      </c>
      <c r="C14" s="533" t="s">
        <v>197</v>
      </c>
      <c r="D14" s="532">
        <v>690.24</v>
      </c>
      <c r="E14" s="532">
        <v>2638.01</v>
      </c>
      <c r="F14" s="532">
        <v>3281.49</v>
      </c>
      <c r="G14" s="532">
        <v>3247.94</v>
      </c>
      <c r="H14" s="532">
        <v>2197.9499999999998</v>
      </c>
      <c r="I14" s="532">
        <v>2214.73</v>
      </c>
      <c r="J14" s="532">
        <v>1548.25</v>
      </c>
      <c r="K14" s="532">
        <v>1312.89</v>
      </c>
      <c r="L14" s="532">
        <v>1142.98</v>
      </c>
      <c r="M14" s="532">
        <v>1219.27</v>
      </c>
      <c r="N14" s="532">
        <v>1595.52</v>
      </c>
      <c r="O14" s="532">
        <v>1791.66</v>
      </c>
      <c r="P14" s="531">
        <f t="shared" si="0"/>
        <v>22880.93</v>
      </c>
      <c r="Q14" s="78"/>
    </row>
    <row r="15" spans="1:19" s="77" customFormat="1" ht="12.75" x14ac:dyDescent="0.2">
      <c r="A15" s="527"/>
      <c r="B15" s="527" t="s">
        <v>75</v>
      </c>
      <c r="C15" s="527">
        <v>85</v>
      </c>
      <c r="D15" s="532">
        <v>1104598.5379999999</v>
      </c>
      <c r="E15" s="532">
        <v>1544361.2</v>
      </c>
      <c r="F15" s="532">
        <v>1841314.1919999998</v>
      </c>
      <c r="G15" s="532">
        <v>1864922.56</v>
      </c>
      <c r="H15" s="532">
        <v>1551216.3489999999</v>
      </c>
      <c r="I15" s="532">
        <v>1551126.0589999999</v>
      </c>
      <c r="J15" s="532">
        <v>1114867.1000000001</v>
      </c>
      <c r="K15" s="532">
        <v>888069.44100000011</v>
      </c>
      <c r="L15" s="532">
        <v>693500.47200000007</v>
      </c>
      <c r="M15" s="532">
        <v>684020.19099999999</v>
      </c>
      <c r="N15" s="532">
        <v>657180.80900000001</v>
      </c>
      <c r="O15" s="532">
        <v>554907.1</v>
      </c>
      <c r="P15" s="531">
        <f t="shared" si="0"/>
        <v>14050084.010999998</v>
      </c>
      <c r="Q15" s="78"/>
    </row>
    <row r="16" spans="1:19" s="77" customFormat="1" ht="12.75" x14ac:dyDescent="0.2">
      <c r="A16" s="527"/>
      <c r="B16" s="527" t="s">
        <v>76</v>
      </c>
      <c r="C16" s="527">
        <v>86</v>
      </c>
      <c r="D16" s="532">
        <v>584641.07199999993</v>
      </c>
      <c r="E16" s="532">
        <v>1035220.3320000001</v>
      </c>
      <c r="F16" s="532">
        <v>1244313.8640000001</v>
      </c>
      <c r="G16" s="532">
        <v>1229751.7409999999</v>
      </c>
      <c r="H16" s="532">
        <v>970263.98300000001</v>
      </c>
      <c r="I16" s="532">
        <v>934290.25799999991</v>
      </c>
      <c r="J16" s="532">
        <v>569633.43299999996</v>
      </c>
      <c r="K16" s="532">
        <v>409297.23100000003</v>
      </c>
      <c r="L16" s="532">
        <v>298095.734</v>
      </c>
      <c r="M16" s="532">
        <v>211648.10800000001</v>
      </c>
      <c r="N16" s="532">
        <v>200004.37</v>
      </c>
      <c r="O16" s="532">
        <v>303869.109</v>
      </c>
      <c r="P16" s="531">
        <f t="shared" si="0"/>
        <v>7991029.2350000003</v>
      </c>
      <c r="Q16" s="78"/>
    </row>
    <row r="17" spans="1:18" s="77" customFormat="1" ht="12.75" x14ac:dyDescent="0.2">
      <c r="A17" s="527"/>
      <c r="B17" s="527" t="s">
        <v>77</v>
      </c>
      <c r="C17" s="527">
        <v>87</v>
      </c>
      <c r="D17" s="532">
        <v>1635697.1059999997</v>
      </c>
      <c r="E17" s="532">
        <v>2244803.088</v>
      </c>
      <c r="F17" s="532">
        <v>2549000.42</v>
      </c>
      <c r="G17" s="532">
        <v>2673882.6660000002</v>
      </c>
      <c r="H17" s="532">
        <v>2188620.4210000001</v>
      </c>
      <c r="I17" s="532">
        <v>2193232.165</v>
      </c>
      <c r="J17" s="532">
        <v>1753162.811</v>
      </c>
      <c r="K17" s="532">
        <v>1571481.1310000001</v>
      </c>
      <c r="L17" s="532">
        <v>1372126.3689999999</v>
      </c>
      <c r="M17" s="532">
        <v>1364669.4919999999</v>
      </c>
      <c r="N17" s="532">
        <v>1339088.034</v>
      </c>
      <c r="O17" s="532">
        <v>1445559.585</v>
      </c>
      <c r="P17" s="531">
        <f t="shared" si="0"/>
        <v>22331323.288000003</v>
      </c>
      <c r="Q17" s="78"/>
    </row>
    <row r="18" spans="1:18" s="77" customFormat="1" ht="12.75" x14ac:dyDescent="0.2">
      <c r="A18" s="527"/>
      <c r="B18" s="527" t="s">
        <v>78</v>
      </c>
      <c r="C18" s="527">
        <v>31</v>
      </c>
      <c r="D18" s="532">
        <v>797473.69499999995</v>
      </c>
      <c r="E18" s="532">
        <v>1464651.8740000001</v>
      </c>
      <c r="F18" s="532">
        <v>2064974.166</v>
      </c>
      <c r="G18" s="532">
        <v>2025303.2339999999</v>
      </c>
      <c r="H18" s="532">
        <v>1520580.129</v>
      </c>
      <c r="I18" s="532">
        <v>1380950.68</v>
      </c>
      <c r="J18" s="532">
        <v>810000.78399999999</v>
      </c>
      <c r="K18" s="532">
        <v>550078.05900000001</v>
      </c>
      <c r="L18" s="532">
        <v>456412.9</v>
      </c>
      <c r="M18" s="532">
        <v>418637.53200000001</v>
      </c>
      <c r="N18" s="532">
        <v>427025.05599999998</v>
      </c>
      <c r="O18" s="532">
        <v>513500.43400000001</v>
      </c>
      <c r="P18" s="531">
        <f t="shared" si="0"/>
        <v>12429588.543000001</v>
      </c>
      <c r="Q18" s="78"/>
    </row>
    <row r="19" spans="1:18" s="77" customFormat="1" ht="12.75" x14ac:dyDescent="0.2">
      <c r="A19" s="527"/>
      <c r="B19" s="527" t="s">
        <v>79</v>
      </c>
      <c r="C19" s="527">
        <v>41</v>
      </c>
      <c r="D19" s="532">
        <v>989415.18299999996</v>
      </c>
      <c r="E19" s="532">
        <v>1086768.827</v>
      </c>
      <c r="F19" s="532">
        <v>1047274.4780000001</v>
      </c>
      <c r="G19" s="532">
        <v>1062942.088</v>
      </c>
      <c r="H19" s="532">
        <v>941456.03600000008</v>
      </c>
      <c r="I19" s="532">
        <v>999049.78700000001</v>
      </c>
      <c r="J19" s="532">
        <v>870580.14699999988</v>
      </c>
      <c r="K19" s="532">
        <v>810833.25399999996</v>
      </c>
      <c r="L19" s="532">
        <v>751541.83400000003</v>
      </c>
      <c r="M19" s="532">
        <v>726665.20600000001</v>
      </c>
      <c r="N19" s="532">
        <v>754256.90800000005</v>
      </c>
      <c r="O19" s="532">
        <v>772506.21100000001</v>
      </c>
      <c r="P19" s="531">
        <f t="shared" si="0"/>
        <v>10813289.958999999</v>
      </c>
      <c r="Q19" s="78"/>
    </row>
    <row r="20" spans="1:18" s="77" customFormat="1" ht="12.75" x14ac:dyDescent="0.2">
      <c r="A20" s="527"/>
      <c r="B20" s="527" t="s">
        <v>80</v>
      </c>
      <c r="C20" s="527">
        <v>85</v>
      </c>
      <c r="D20" s="532">
        <v>81949.656999999992</v>
      </c>
      <c r="E20" s="532">
        <v>184534.97</v>
      </c>
      <c r="F20" s="532">
        <v>231301.13099999999</v>
      </c>
      <c r="G20" s="532">
        <v>197826.00600000002</v>
      </c>
      <c r="H20" s="532">
        <v>174933.33900000001</v>
      </c>
      <c r="I20" s="532">
        <v>205732.81099999999</v>
      </c>
      <c r="J20" s="532">
        <v>220761.351</v>
      </c>
      <c r="K20" s="532">
        <v>201525.47</v>
      </c>
      <c r="L20" s="532">
        <v>188026.69</v>
      </c>
      <c r="M20" s="532">
        <v>165855.402</v>
      </c>
      <c r="N20" s="532">
        <v>192964.42200000002</v>
      </c>
      <c r="O20" s="532">
        <v>161183.179</v>
      </c>
      <c r="P20" s="531">
        <f t="shared" si="0"/>
        <v>2206594.4279999998</v>
      </c>
      <c r="Q20" s="78"/>
    </row>
    <row r="21" spans="1:18" s="77" customFormat="1" ht="12.75" x14ac:dyDescent="0.2">
      <c r="A21" s="527"/>
      <c r="B21" s="527" t="s">
        <v>81</v>
      </c>
      <c r="C21" s="527">
        <v>86</v>
      </c>
      <c r="D21" s="532">
        <v>13156.929</v>
      </c>
      <c r="E21" s="532">
        <v>26184.205999999998</v>
      </c>
      <c r="F21" s="532">
        <v>103222.136</v>
      </c>
      <c r="G21" s="532">
        <v>219171.81599999999</v>
      </c>
      <c r="H21" s="532">
        <v>199241.50599999999</v>
      </c>
      <c r="I21" s="532">
        <v>78072.238000000012</v>
      </c>
      <c r="J21" s="532">
        <v>10374.351000000001</v>
      </c>
      <c r="K21" s="532">
        <v>9224.107</v>
      </c>
      <c r="L21" s="532">
        <v>7884.28</v>
      </c>
      <c r="M21" s="532">
        <v>32836.861000000004</v>
      </c>
      <c r="N21" s="532">
        <v>90805.736999999994</v>
      </c>
      <c r="O21" s="532">
        <v>95606.127999999997</v>
      </c>
      <c r="P21" s="531">
        <f t="shared" si="0"/>
        <v>885780.29500000004</v>
      </c>
      <c r="Q21" s="78"/>
    </row>
    <row r="22" spans="1:18" s="77" customFormat="1" ht="12.75" x14ac:dyDescent="0.2">
      <c r="A22" s="527"/>
      <c r="B22" s="527" t="s">
        <v>82</v>
      </c>
      <c r="C22" s="527">
        <v>87</v>
      </c>
      <c r="D22" s="532">
        <v>0</v>
      </c>
      <c r="E22" s="532">
        <v>0</v>
      </c>
      <c r="F22" s="532">
        <v>0</v>
      </c>
      <c r="G22" s="532">
        <v>0</v>
      </c>
      <c r="H22" s="532">
        <v>0</v>
      </c>
      <c r="I22" s="532">
        <v>0</v>
      </c>
      <c r="J22" s="532">
        <v>0</v>
      </c>
      <c r="K22" s="532">
        <v>0</v>
      </c>
      <c r="L22" s="532">
        <v>0</v>
      </c>
      <c r="M22" s="532">
        <v>0</v>
      </c>
      <c r="N22" s="532">
        <v>0</v>
      </c>
      <c r="O22" s="532">
        <v>0</v>
      </c>
      <c r="P22" s="531">
        <f t="shared" si="0"/>
        <v>0</v>
      </c>
      <c r="Q22" s="78"/>
    </row>
    <row r="23" spans="1:18" s="77" customFormat="1" ht="12.75" x14ac:dyDescent="0.2">
      <c r="A23" s="527"/>
      <c r="B23" s="515" t="s">
        <v>83</v>
      </c>
      <c r="C23" s="533" t="s">
        <v>62</v>
      </c>
      <c r="D23" s="532">
        <v>767064.14</v>
      </c>
      <c r="E23" s="532">
        <v>943467.16</v>
      </c>
      <c r="F23" s="532">
        <v>1003435.48</v>
      </c>
      <c r="G23" s="532">
        <v>1001568.48</v>
      </c>
      <c r="H23" s="532">
        <v>883342.76</v>
      </c>
      <c r="I23" s="532">
        <v>954950.85</v>
      </c>
      <c r="J23" s="532">
        <v>792787.08000000007</v>
      </c>
      <c r="K23" s="532">
        <v>784988.08</v>
      </c>
      <c r="L23" s="532">
        <v>780207.87000000011</v>
      </c>
      <c r="M23" s="532">
        <v>718890.81</v>
      </c>
      <c r="N23" s="532">
        <v>759239.24</v>
      </c>
      <c r="O23" s="532">
        <v>738568.31</v>
      </c>
      <c r="P23" s="531">
        <f t="shared" si="0"/>
        <v>10128510.260000002</v>
      </c>
      <c r="Q23" s="78"/>
    </row>
    <row r="24" spans="1:18" s="77" customFormat="1" ht="12.75" x14ac:dyDescent="0.2">
      <c r="A24" s="527"/>
      <c r="B24" s="515" t="s">
        <v>84</v>
      </c>
      <c r="C24" s="533" t="s">
        <v>63</v>
      </c>
      <c r="D24" s="532">
        <v>1915363.9500000002</v>
      </c>
      <c r="E24" s="532">
        <v>2207664.48</v>
      </c>
      <c r="F24" s="532">
        <v>2374311.4899999998</v>
      </c>
      <c r="G24" s="532">
        <v>2247062.56</v>
      </c>
      <c r="H24" s="532">
        <v>1979451.96</v>
      </c>
      <c r="I24" s="532">
        <v>2045130.71</v>
      </c>
      <c r="J24" s="532">
        <v>1796330.36</v>
      </c>
      <c r="K24" s="532">
        <v>1834279.94</v>
      </c>
      <c r="L24" s="532">
        <v>1719439.7100000002</v>
      </c>
      <c r="M24" s="532">
        <v>1652962.88</v>
      </c>
      <c r="N24" s="532">
        <v>1701215.62</v>
      </c>
      <c r="O24" s="532">
        <v>1750044.56</v>
      </c>
      <c r="P24" s="531">
        <f t="shared" si="0"/>
        <v>23223258.219999999</v>
      </c>
      <c r="Q24" s="78"/>
    </row>
    <row r="25" spans="1:18" s="77" customFormat="1" ht="12.75" x14ac:dyDescent="0.2">
      <c r="A25" s="527"/>
      <c r="B25" s="515" t="s">
        <v>85</v>
      </c>
      <c r="C25" s="533" t="s">
        <v>65</v>
      </c>
      <c r="D25" s="532">
        <v>1401282.74</v>
      </c>
      <c r="E25" s="532">
        <v>1907649</v>
      </c>
      <c r="F25" s="532">
        <v>2169713.7799999998</v>
      </c>
      <c r="G25" s="532">
        <v>2056259.19</v>
      </c>
      <c r="H25" s="532">
        <v>1780763.19</v>
      </c>
      <c r="I25" s="532">
        <v>1834998.3900000001</v>
      </c>
      <c r="J25" s="532">
        <v>1376207.53</v>
      </c>
      <c r="K25" s="532">
        <v>1273969.1100000001</v>
      </c>
      <c r="L25" s="532">
        <v>1151746.3999999999</v>
      </c>
      <c r="M25" s="532">
        <v>1091624.69</v>
      </c>
      <c r="N25" s="532">
        <v>1053947.52</v>
      </c>
      <c r="O25" s="532">
        <v>1096161.1400000001</v>
      </c>
      <c r="P25" s="531">
        <f t="shared" si="0"/>
        <v>18194322.68</v>
      </c>
      <c r="Q25" s="78"/>
    </row>
    <row r="26" spans="1:18" s="77" customFormat="1" ht="12.75" x14ac:dyDescent="0.2">
      <c r="A26" s="527"/>
      <c r="B26" s="515" t="s">
        <v>86</v>
      </c>
      <c r="C26" s="533" t="s">
        <v>62</v>
      </c>
      <c r="D26" s="532">
        <v>590896.19999999995</v>
      </c>
      <c r="E26" s="532">
        <v>650215.21</v>
      </c>
      <c r="F26" s="532">
        <v>607735.98</v>
      </c>
      <c r="G26" s="532">
        <v>652958.76</v>
      </c>
      <c r="H26" s="532">
        <v>625003.16</v>
      </c>
      <c r="I26" s="532">
        <v>675244.76699999999</v>
      </c>
      <c r="J26" s="532">
        <v>596640.41299999994</v>
      </c>
      <c r="K26" s="532">
        <v>594169.22</v>
      </c>
      <c r="L26" s="532">
        <v>611192.76</v>
      </c>
      <c r="M26" s="532">
        <v>520337.70999999996</v>
      </c>
      <c r="N26" s="532">
        <v>619539.37</v>
      </c>
      <c r="O26" s="532">
        <v>573177.07999999996</v>
      </c>
      <c r="P26" s="531">
        <f t="shared" si="0"/>
        <v>7317110.6299999999</v>
      </c>
      <c r="Q26" s="78"/>
    </row>
    <row r="27" spans="1:18" s="77" customFormat="1" ht="12.75" x14ac:dyDescent="0.2">
      <c r="A27" s="527"/>
      <c r="B27" s="515" t="s">
        <v>87</v>
      </c>
      <c r="C27" s="533" t="s">
        <v>63</v>
      </c>
      <c r="D27" s="532">
        <v>4759933.55</v>
      </c>
      <c r="E27" s="532">
        <v>4767378.17</v>
      </c>
      <c r="F27" s="532">
        <v>4774497.8</v>
      </c>
      <c r="G27" s="532">
        <v>4451195.75</v>
      </c>
      <c r="H27" s="532">
        <v>4669535.33</v>
      </c>
      <c r="I27" s="532">
        <v>4929303.6300000008</v>
      </c>
      <c r="J27" s="532">
        <v>4618158.37</v>
      </c>
      <c r="K27" s="532">
        <v>4488942.9000000004</v>
      </c>
      <c r="L27" s="532">
        <v>4611129.16</v>
      </c>
      <c r="M27" s="532">
        <v>4157279.38</v>
      </c>
      <c r="N27" s="532">
        <v>4682857.68</v>
      </c>
      <c r="O27" s="532">
        <v>4731610.32</v>
      </c>
      <c r="P27" s="531">
        <f t="shared" si="0"/>
        <v>55641822.040000014</v>
      </c>
      <c r="Q27" s="78"/>
    </row>
    <row r="28" spans="1:18" s="77" customFormat="1" ht="12.75" x14ac:dyDescent="0.2">
      <c r="A28" s="527"/>
      <c r="B28" s="534" t="s">
        <v>88</v>
      </c>
      <c r="C28" s="533" t="s">
        <v>64</v>
      </c>
      <c r="D28" s="532">
        <v>13447.95</v>
      </c>
      <c r="E28" s="532">
        <v>37939.4</v>
      </c>
      <c r="F28" s="532">
        <v>36106.870000000003</v>
      </c>
      <c r="G28" s="532">
        <v>34461.18</v>
      </c>
      <c r="H28" s="532">
        <v>37271.33</v>
      </c>
      <c r="I28" s="532">
        <v>41746.400000000001</v>
      </c>
      <c r="J28" s="532">
        <v>26449.07</v>
      </c>
      <c r="K28" s="532">
        <v>23620.18</v>
      </c>
      <c r="L28" s="532">
        <v>33317.79</v>
      </c>
      <c r="M28" s="532">
        <v>33609.93</v>
      </c>
      <c r="N28" s="532">
        <v>34642.509999999995</v>
      </c>
      <c r="O28" s="532">
        <v>20021.689999999999</v>
      </c>
      <c r="P28" s="531">
        <f t="shared" si="0"/>
        <v>372634.3</v>
      </c>
      <c r="Q28" s="78"/>
    </row>
    <row r="29" spans="1:18" s="77" customFormat="1" ht="12.75" x14ac:dyDescent="0.2">
      <c r="A29" s="527"/>
      <c r="B29" s="515" t="s">
        <v>89</v>
      </c>
      <c r="C29" s="533" t="s">
        <v>65</v>
      </c>
      <c r="D29" s="532">
        <v>6231727.8200000003</v>
      </c>
      <c r="E29" s="532">
        <v>5744011.75</v>
      </c>
      <c r="F29" s="532">
        <v>6269611.75</v>
      </c>
      <c r="G29" s="532">
        <v>6985361.2999999998</v>
      </c>
      <c r="H29" s="532">
        <v>6427529.2800000003</v>
      </c>
      <c r="I29" s="532">
        <v>7686722.9399999995</v>
      </c>
      <c r="J29" s="532">
        <v>5753042.1299999999</v>
      </c>
      <c r="K29" s="532">
        <v>7625519.1600000001</v>
      </c>
      <c r="L29" s="532">
        <v>6593520.75</v>
      </c>
      <c r="M29" s="532">
        <v>7468966.6500000004</v>
      </c>
      <c r="N29" s="532">
        <v>6796438.9900000002</v>
      </c>
      <c r="O29" s="532">
        <v>6309014.75</v>
      </c>
      <c r="P29" s="531">
        <f t="shared" si="0"/>
        <v>79891467.270000011</v>
      </c>
      <c r="Q29" s="78"/>
    </row>
    <row r="30" spans="1:18" s="76" customFormat="1" ht="15" x14ac:dyDescent="0.25">
      <c r="A30" s="535"/>
      <c r="B30" s="535" t="s">
        <v>90</v>
      </c>
      <c r="C30" s="536" t="s">
        <v>146</v>
      </c>
      <c r="D30" s="537">
        <v>2606277.0499999998</v>
      </c>
      <c r="E30" s="537">
        <v>3814923.07</v>
      </c>
      <c r="F30" s="537">
        <v>3984679.4000000004</v>
      </c>
      <c r="G30" s="537">
        <v>4055477.22</v>
      </c>
      <c r="H30" s="537">
        <v>3421157.67</v>
      </c>
      <c r="I30" s="537">
        <v>3687973.4499999997</v>
      </c>
      <c r="J30" s="537">
        <v>2710025.61</v>
      </c>
      <c r="K30" s="537">
        <v>2400466.9900000002</v>
      </c>
      <c r="L30" s="537">
        <v>2165598.02</v>
      </c>
      <c r="M30" s="537">
        <v>1956143.7000000002</v>
      </c>
      <c r="N30" s="537">
        <v>1845610.4999999998</v>
      </c>
      <c r="O30" s="537">
        <v>2001841.78</v>
      </c>
      <c r="P30" s="538">
        <f t="shared" si="0"/>
        <v>34650174.460000001</v>
      </c>
      <c r="Q30" s="73"/>
    </row>
    <row r="31" spans="1:18" s="77" customFormat="1" ht="12.75" x14ac:dyDescent="0.2">
      <c r="A31" s="527"/>
      <c r="B31" s="527" t="s">
        <v>91</v>
      </c>
      <c r="C31" s="527"/>
      <c r="D31" s="539">
        <f t="shared" ref="D31:P31" si="1">SUM(D9:D30)</f>
        <v>73139427.500000015</v>
      </c>
      <c r="E31" s="539">
        <f t="shared" si="1"/>
        <v>123121515.845</v>
      </c>
      <c r="F31" s="539">
        <f t="shared" si="1"/>
        <v>156989623.97600001</v>
      </c>
      <c r="G31" s="539">
        <f t="shared" si="1"/>
        <v>151262374.11699998</v>
      </c>
      <c r="H31" s="539">
        <f t="shared" si="1"/>
        <v>118408550.68799999</v>
      </c>
      <c r="I31" s="539">
        <f t="shared" si="1"/>
        <v>112362332.25200002</v>
      </c>
      <c r="J31" s="539">
        <f t="shared" si="1"/>
        <v>72229905.328000009</v>
      </c>
      <c r="K31" s="539">
        <f t="shared" si="1"/>
        <v>59674800.404999994</v>
      </c>
      <c r="L31" s="539">
        <f t="shared" si="1"/>
        <v>50540839.056999996</v>
      </c>
      <c r="M31" s="539">
        <f t="shared" si="1"/>
        <v>45432546.434999995</v>
      </c>
      <c r="N31" s="539">
        <f t="shared" si="1"/>
        <v>44532806.316</v>
      </c>
      <c r="O31" s="539">
        <f t="shared" si="1"/>
        <v>51851549.111000001</v>
      </c>
      <c r="P31" s="539">
        <f t="shared" si="1"/>
        <v>1059546271.0299997</v>
      </c>
      <c r="Q31" s="73"/>
      <c r="R31" s="78"/>
    </row>
    <row r="32" spans="1:18" s="77" customFormat="1" ht="12.75" x14ac:dyDescent="0.2">
      <c r="A32" s="527"/>
      <c r="B32" s="527" t="s">
        <v>92</v>
      </c>
      <c r="C32" s="527"/>
      <c r="D32" s="538">
        <f t="shared" ref="D32:O32" si="2">SUM(D23:D30)</f>
        <v>18285993.399999999</v>
      </c>
      <c r="E32" s="538">
        <f t="shared" si="2"/>
        <v>20073248.239999998</v>
      </c>
      <c r="F32" s="538">
        <f t="shared" si="2"/>
        <v>21220092.549999997</v>
      </c>
      <c r="G32" s="538">
        <f t="shared" si="2"/>
        <v>21484344.439999998</v>
      </c>
      <c r="H32" s="538">
        <f t="shared" si="2"/>
        <v>19824054.68</v>
      </c>
      <c r="I32" s="538">
        <f t="shared" si="2"/>
        <v>21856071.136999998</v>
      </c>
      <c r="J32" s="538">
        <f t="shared" si="2"/>
        <v>17669640.563000001</v>
      </c>
      <c r="K32" s="538">
        <f t="shared" si="2"/>
        <v>19025955.579999998</v>
      </c>
      <c r="L32" s="538">
        <f t="shared" si="2"/>
        <v>17666152.460000001</v>
      </c>
      <c r="M32" s="538">
        <f t="shared" si="2"/>
        <v>17599815.75</v>
      </c>
      <c r="N32" s="538">
        <f t="shared" si="2"/>
        <v>17493491.43</v>
      </c>
      <c r="O32" s="538">
        <f t="shared" si="2"/>
        <v>17220439.629999999</v>
      </c>
      <c r="P32" s="531">
        <f>SUM(D32:O32)</f>
        <v>229419299.85999998</v>
      </c>
      <c r="Q32" s="78"/>
    </row>
    <row r="33" spans="1:20" ht="12.75" x14ac:dyDescent="0.2">
      <c r="A33" s="515"/>
      <c r="B33" s="515"/>
      <c r="C33" s="533"/>
      <c r="D33" s="540"/>
      <c r="E33" s="540"/>
      <c r="F33" s="540"/>
      <c r="G33" s="540"/>
      <c r="H33" s="540"/>
      <c r="I33" s="540"/>
      <c r="J33" s="540"/>
      <c r="K33" s="540"/>
      <c r="L33" s="540"/>
      <c r="M33" s="540"/>
      <c r="N33" s="540"/>
      <c r="O33" s="540"/>
      <c r="P33" s="540"/>
      <c r="Q33" s="81"/>
    </row>
    <row r="34" spans="1:20" ht="12.75" x14ac:dyDescent="0.2">
      <c r="A34" s="515"/>
      <c r="B34" s="524" t="s">
        <v>93</v>
      </c>
      <c r="C34" s="525"/>
      <c r="D34" s="540"/>
      <c r="E34" s="540"/>
      <c r="F34" s="540"/>
      <c r="G34" s="540"/>
      <c r="H34" s="540"/>
      <c r="I34" s="540"/>
      <c r="J34" s="540"/>
      <c r="K34" s="540"/>
      <c r="L34" s="540"/>
      <c r="M34" s="540"/>
      <c r="N34" s="540"/>
      <c r="O34" s="540"/>
      <c r="P34" s="540"/>
      <c r="Q34" s="81"/>
    </row>
    <row r="35" spans="1:20" ht="12.75" x14ac:dyDescent="0.2">
      <c r="A35" s="515"/>
      <c r="B35" s="541" t="s">
        <v>71</v>
      </c>
      <c r="C35" s="542">
        <v>16</v>
      </c>
      <c r="D35" s="530">
        <v>5</v>
      </c>
      <c r="E35" s="530">
        <v>5</v>
      </c>
      <c r="F35" s="530">
        <v>5</v>
      </c>
      <c r="G35" s="530">
        <v>7</v>
      </c>
      <c r="H35" s="530">
        <v>7</v>
      </c>
      <c r="I35" s="530">
        <v>6</v>
      </c>
      <c r="J35" s="530">
        <v>6</v>
      </c>
      <c r="K35" s="530">
        <v>5</v>
      </c>
      <c r="L35" s="530">
        <v>5</v>
      </c>
      <c r="M35" s="530">
        <v>5</v>
      </c>
      <c r="N35" s="530">
        <v>5</v>
      </c>
      <c r="O35" s="530">
        <v>5</v>
      </c>
      <c r="P35" s="531">
        <f t="shared" ref="P35:P56" si="3">SUM(D35:O35)</f>
        <v>66</v>
      </c>
      <c r="Q35" s="78"/>
    </row>
    <row r="36" spans="1:20" s="77" customFormat="1" ht="12.75" x14ac:dyDescent="0.2">
      <c r="A36" s="527"/>
      <c r="B36" s="527" t="s">
        <v>0</v>
      </c>
      <c r="C36" s="527">
        <v>23</v>
      </c>
      <c r="D36" s="530">
        <v>738341</v>
      </c>
      <c r="E36" s="530">
        <v>740327</v>
      </c>
      <c r="F36" s="530">
        <v>742488</v>
      </c>
      <c r="G36" s="530">
        <v>744086</v>
      </c>
      <c r="H36" s="530">
        <v>744958</v>
      </c>
      <c r="I36" s="530">
        <v>745900</v>
      </c>
      <c r="J36" s="530">
        <v>746095</v>
      </c>
      <c r="K36" s="530">
        <v>748452</v>
      </c>
      <c r="L36" s="530">
        <v>749520</v>
      </c>
      <c r="M36" s="530">
        <v>749791</v>
      </c>
      <c r="N36" s="530">
        <v>750514</v>
      </c>
      <c r="O36" s="530">
        <v>751541</v>
      </c>
      <c r="P36" s="531">
        <f t="shared" si="3"/>
        <v>8952013</v>
      </c>
      <c r="Q36" s="78"/>
    </row>
    <row r="37" spans="1:20" s="77" customFormat="1" ht="12.75" x14ac:dyDescent="0.2">
      <c r="A37" s="527"/>
      <c r="B37" s="527" t="s">
        <v>72</v>
      </c>
      <c r="C37" s="527">
        <v>53</v>
      </c>
      <c r="D37" s="530">
        <v>1</v>
      </c>
      <c r="E37" s="530">
        <v>1</v>
      </c>
      <c r="F37" s="530">
        <v>1</v>
      </c>
      <c r="G37" s="530">
        <v>1</v>
      </c>
      <c r="H37" s="530">
        <v>1</v>
      </c>
      <c r="I37" s="530">
        <v>1</v>
      </c>
      <c r="J37" s="530">
        <v>1</v>
      </c>
      <c r="K37" s="530">
        <v>1</v>
      </c>
      <c r="L37" s="530">
        <v>1</v>
      </c>
      <c r="M37" s="530">
        <v>1</v>
      </c>
      <c r="N37" s="530">
        <v>1</v>
      </c>
      <c r="O37" s="530">
        <v>1</v>
      </c>
      <c r="P37" s="531">
        <f t="shared" si="3"/>
        <v>12</v>
      </c>
      <c r="Q37" s="78"/>
    </row>
    <row r="38" spans="1:20" s="77" customFormat="1" ht="12.75" x14ac:dyDescent="0.2">
      <c r="A38" s="527"/>
      <c r="B38" s="527" t="s">
        <v>94</v>
      </c>
      <c r="C38" s="527">
        <v>31</v>
      </c>
      <c r="D38" s="530">
        <v>53254</v>
      </c>
      <c r="E38" s="530">
        <v>53394</v>
      </c>
      <c r="F38" s="530">
        <v>53518</v>
      </c>
      <c r="G38" s="530">
        <v>53618</v>
      </c>
      <c r="H38" s="530">
        <v>53644</v>
      </c>
      <c r="I38" s="530">
        <v>53692</v>
      </c>
      <c r="J38" s="530">
        <v>53600</v>
      </c>
      <c r="K38" s="530">
        <v>53701</v>
      </c>
      <c r="L38" s="530">
        <v>53720</v>
      </c>
      <c r="M38" s="530">
        <v>53704</v>
      </c>
      <c r="N38" s="530">
        <v>53667</v>
      </c>
      <c r="O38" s="530">
        <v>53704</v>
      </c>
      <c r="P38" s="531">
        <f t="shared" si="3"/>
        <v>643216</v>
      </c>
      <c r="Q38" s="78"/>
    </row>
    <row r="39" spans="1:20" s="77" customFormat="1" ht="12.75" x14ac:dyDescent="0.2">
      <c r="A39" s="527"/>
      <c r="B39" s="527" t="s">
        <v>95</v>
      </c>
      <c r="C39" s="527">
        <v>41</v>
      </c>
      <c r="D39" s="530">
        <v>1254</v>
      </c>
      <c r="E39" s="530">
        <v>1259</v>
      </c>
      <c r="F39" s="530">
        <v>1285</v>
      </c>
      <c r="G39" s="530">
        <v>1282</v>
      </c>
      <c r="H39" s="530">
        <v>1289</v>
      </c>
      <c r="I39" s="530">
        <v>1285</v>
      </c>
      <c r="J39" s="530">
        <v>1282</v>
      </c>
      <c r="K39" s="530">
        <v>1284</v>
      </c>
      <c r="L39" s="530">
        <v>1283</v>
      </c>
      <c r="M39" s="530">
        <v>1278</v>
      </c>
      <c r="N39" s="530">
        <v>1287</v>
      </c>
      <c r="O39" s="530">
        <v>1284</v>
      </c>
      <c r="P39" s="531">
        <f t="shared" si="3"/>
        <v>15352</v>
      </c>
      <c r="Q39" s="78"/>
    </row>
    <row r="40" spans="1:20" s="77" customFormat="1" ht="12.75" x14ac:dyDescent="0.2">
      <c r="A40" s="527"/>
      <c r="B40" s="515" t="s">
        <v>270</v>
      </c>
      <c r="C40" s="533" t="s">
        <v>197</v>
      </c>
      <c r="D40" s="530">
        <v>2</v>
      </c>
      <c r="E40" s="530">
        <v>3</v>
      </c>
      <c r="F40" s="530">
        <v>2</v>
      </c>
      <c r="G40" s="530">
        <v>2</v>
      </c>
      <c r="H40" s="530">
        <v>2</v>
      </c>
      <c r="I40" s="530">
        <v>2</v>
      </c>
      <c r="J40" s="530">
        <v>2</v>
      </c>
      <c r="K40" s="530">
        <v>2</v>
      </c>
      <c r="L40" s="530">
        <v>2</v>
      </c>
      <c r="M40" s="530">
        <v>2</v>
      </c>
      <c r="N40" s="530">
        <v>2</v>
      </c>
      <c r="O40" s="530">
        <v>2</v>
      </c>
      <c r="P40" s="531">
        <f t="shared" si="3"/>
        <v>25</v>
      </c>
      <c r="Q40" s="78"/>
    </row>
    <row r="41" spans="1:20" s="77" customFormat="1" ht="12.75" x14ac:dyDescent="0.2">
      <c r="A41" s="527"/>
      <c r="B41" s="527" t="s">
        <v>75</v>
      </c>
      <c r="C41" s="527">
        <v>85</v>
      </c>
      <c r="D41" s="530">
        <v>27</v>
      </c>
      <c r="E41" s="530">
        <v>27</v>
      </c>
      <c r="F41" s="530">
        <v>26</v>
      </c>
      <c r="G41" s="530">
        <v>27</v>
      </c>
      <c r="H41" s="530">
        <v>26</v>
      </c>
      <c r="I41" s="530">
        <v>26</v>
      </c>
      <c r="J41" s="530">
        <v>26</v>
      </c>
      <c r="K41" s="530">
        <v>25</v>
      </c>
      <c r="L41" s="530">
        <v>25</v>
      </c>
      <c r="M41" s="530">
        <v>25</v>
      </c>
      <c r="N41" s="530">
        <v>25</v>
      </c>
      <c r="O41" s="530">
        <v>25</v>
      </c>
      <c r="P41" s="531">
        <f t="shared" si="3"/>
        <v>310</v>
      </c>
      <c r="Q41" s="78"/>
    </row>
    <row r="42" spans="1:20" s="77" customFormat="1" ht="12.75" x14ac:dyDescent="0.2">
      <c r="A42" s="527"/>
      <c r="B42" s="527" t="s">
        <v>76</v>
      </c>
      <c r="C42" s="527">
        <v>86</v>
      </c>
      <c r="D42" s="530">
        <v>248</v>
      </c>
      <c r="E42" s="530">
        <v>246</v>
      </c>
      <c r="F42" s="530">
        <v>241</v>
      </c>
      <c r="G42" s="530">
        <v>240</v>
      </c>
      <c r="H42" s="530">
        <v>239</v>
      </c>
      <c r="I42" s="530">
        <v>239</v>
      </c>
      <c r="J42" s="530">
        <v>239</v>
      </c>
      <c r="K42" s="530">
        <v>238</v>
      </c>
      <c r="L42" s="530">
        <v>238</v>
      </c>
      <c r="M42" s="530">
        <v>237</v>
      </c>
      <c r="N42" s="530">
        <v>234</v>
      </c>
      <c r="O42" s="530">
        <v>232</v>
      </c>
      <c r="P42" s="531">
        <f t="shared" si="3"/>
        <v>2871</v>
      </c>
      <c r="Q42" s="78"/>
    </row>
    <row r="43" spans="1:20" s="77" customFormat="1" x14ac:dyDescent="0.25">
      <c r="A43" s="527"/>
      <c r="B43" s="527" t="s">
        <v>96</v>
      </c>
      <c r="C43" s="527">
        <v>87</v>
      </c>
      <c r="D43" s="530">
        <v>5</v>
      </c>
      <c r="E43" s="530">
        <v>5</v>
      </c>
      <c r="F43" s="530">
        <v>5</v>
      </c>
      <c r="G43" s="530">
        <v>5</v>
      </c>
      <c r="H43" s="530">
        <v>5</v>
      </c>
      <c r="I43" s="530">
        <v>5</v>
      </c>
      <c r="J43" s="530">
        <v>5</v>
      </c>
      <c r="K43" s="530">
        <v>5</v>
      </c>
      <c r="L43" s="530">
        <v>5</v>
      </c>
      <c r="M43" s="530">
        <v>5</v>
      </c>
      <c r="N43" s="530">
        <v>5</v>
      </c>
      <c r="O43" s="530">
        <v>5</v>
      </c>
      <c r="P43" s="531">
        <f t="shared" si="3"/>
        <v>60</v>
      </c>
      <c r="Q43" s="78"/>
    </row>
    <row r="44" spans="1:20" s="77" customFormat="1" x14ac:dyDescent="0.25">
      <c r="A44" s="527"/>
      <c r="B44" s="527" t="s">
        <v>78</v>
      </c>
      <c r="C44" s="527">
        <v>31</v>
      </c>
      <c r="D44" s="530">
        <v>2290</v>
      </c>
      <c r="E44" s="530">
        <v>2295</v>
      </c>
      <c r="F44" s="530">
        <v>2304</v>
      </c>
      <c r="G44" s="530">
        <v>2303</v>
      </c>
      <c r="H44" s="530">
        <v>2304</v>
      </c>
      <c r="I44" s="530">
        <v>2303</v>
      </c>
      <c r="J44" s="530">
        <v>2290</v>
      </c>
      <c r="K44" s="530">
        <v>2296</v>
      </c>
      <c r="L44" s="530">
        <v>2296</v>
      </c>
      <c r="M44" s="530">
        <v>2293</v>
      </c>
      <c r="N44" s="530">
        <v>2286</v>
      </c>
      <c r="O44" s="530">
        <v>2286</v>
      </c>
      <c r="P44" s="531">
        <f t="shared" si="3"/>
        <v>27546</v>
      </c>
      <c r="Q44" s="78"/>
    </row>
    <row r="45" spans="1:20" s="77" customFormat="1" ht="14.4" x14ac:dyDescent="0.3">
      <c r="A45" s="527"/>
      <c r="B45" s="527" t="s">
        <v>79</v>
      </c>
      <c r="C45" s="527">
        <v>41</v>
      </c>
      <c r="D45" s="530">
        <v>85</v>
      </c>
      <c r="E45" s="530">
        <v>84</v>
      </c>
      <c r="F45" s="530">
        <v>82</v>
      </c>
      <c r="G45" s="530">
        <v>82</v>
      </c>
      <c r="H45" s="530">
        <v>82</v>
      </c>
      <c r="I45" s="530">
        <v>82</v>
      </c>
      <c r="J45" s="530">
        <v>82</v>
      </c>
      <c r="K45" s="530">
        <v>83</v>
      </c>
      <c r="L45" s="530">
        <v>84</v>
      </c>
      <c r="M45" s="530">
        <v>84</v>
      </c>
      <c r="N45" s="530">
        <v>83</v>
      </c>
      <c r="O45" s="530">
        <v>83</v>
      </c>
      <c r="P45" s="531">
        <f t="shared" si="3"/>
        <v>996</v>
      </c>
      <c r="Q45" s="78"/>
      <c r="S45" s="78"/>
      <c r="T45" s="56"/>
    </row>
    <row r="46" spans="1:20" s="77" customFormat="1" x14ac:dyDescent="0.25">
      <c r="A46" s="527"/>
      <c r="B46" s="527" t="s">
        <v>80</v>
      </c>
      <c r="C46" s="527">
        <v>85</v>
      </c>
      <c r="D46" s="530">
        <v>3</v>
      </c>
      <c r="E46" s="530">
        <v>4</v>
      </c>
      <c r="F46" s="530">
        <v>4</v>
      </c>
      <c r="G46" s="530">
        <v>4</v>
      </c>
      <c r="H46" s="530">
        <v>4</v>
      </c>
      <c r="I46" s="530">
        <v>4</v>
      </c>
      <c r="J46" s="530">
        <v>4</v>
      </c>
      <c r="K46" s="530">
        <v>4</v>
      </c>
      <c r="L46" s="530">
        <v>4</v>
      </c>
      <c r="M46" s="530">
        <v>4</v>
      </c>
      <c r="N46" s="530">
        <v>4</v>
      </c>
      <c r="O46" s="530">
        <v>4</v>
      </c>
      <c r="P46" s="531">
        <f t="shared" si="3"/>
        <v>47</v>
      </c>
      <c r="Q46" s="78"/>
    </row>
    <row r="47" spans="1:20" s="77" customFormat="1" x14ac:dyDescent="0.25">
      <c r="A47" s="527"/>
      <c r="B47" s="527" t="s">
        <v>81</v>
      </c>
      <c r="C47" s="527">
        <v>86</v>
      </c>
      <c r="D47" s="530">
        <v>7</v>
      </c>
      <c r="E47" s="530">
        <v>7</v>
      </c>
      <c r="F47" s="530">
        <v>7</v>
      </c>
      <c r="G47" s="530">
        <v>7</v>
      </c>
      <c r="H47" s="530">
        <v>7</v>
      </c>
      <c r="I47" s="530">
        <v>7</v>
      </c>
      <c r="J47" s="530">
        <v>7</v>
      </c>
      <c r="K47" s="530">
        <v>7</v>
      </c>
      <c r="L47" s="530">
        <v>7</v>
      </c>
      <c r="M47" s="530">
        <v>7</v>
      </c>
      <c r="N47" s="530">
        <v>7</v>
      </c>
      <c r="O47" s="530">
        <v>7</v>
      </c>
      <c r="P47" s="531">
        <f t="shared" si="3"/>
        <v>84</v>
      </c>
      <c r="Q47" s="78"/>
    </row>
    <row r="48" spans="1:20" s="77" customFormat="1" x14ac:dyDescent="0.25">
      <c r="A48" s="527"/>
      <c r="B48" s="527" t="s">
        <v>82</v>
      </c>
      <c r="C48" s="527">
        <v>87</v>
      </c>
      <c r="D48" s="530">
        <v>0</v>
      </c>
      <c r="E48" s="530">
        <v>0</v>
      </c>
      <c r="F48" s="530">
        <v>0</v>
      </c>
      <c r="G48" s="530">
        <v>0</v>
      </c>
      <c r="H48" s="530">
        <v>0</v>
      </c>
      <c r="I48" s="530">
        <v>0</v>
      </c>
      <c r="J48" s="530">
        <v>0</v>
      </c>
      <c r="K48" s="530">
        <v>0</v>
      </c>
      <c r="L48" s="530">
        <v>0</v>
      </c>
      <c r="M48" s="530">
        <v>0</v>
      </c>
      <c r="N48" s="530">
        <v>0</v>
      </c>
      <c r="O48" s="530">
        <v>0</v>
      </c>
      <c r="P48" s="531">
        <f t="shared" si="3"/>
        <v>0</v>
      </c>
      <c r="Q48" s="78"/>
    </row>
    <row r="49" spans="1:17" s="77" customFormat="1" x14ac:dyDescent="0.25">
      <c r="A49" s="527"/>
      <c r="B49" s="515" t="s">
        <v>83</v>
      </c>
      <c r="C49" s="533" t="s">
        <v>62</v>
      </c>
      <c r="D49" s="530">
        <v>68</v>
      </c>
      <c r="E49" s="530">
        <v>68</v>
      </c>
      <c r="F49" s="530">
        <v>69</v>
      </c>
      <c r="G49" s="530">
        <v>69</v>
      </c>
      <c r="H49" s="530">
        <v>69</v>
      </c>
      <c r="I49" s="530">
        <v>69</v>
      </c>
      <c r="J49" s="530">
        <v>68</v>
      </c>
      <c r="K49" s="530">
        <v>69</v>
      </c>
      <c r="L49" s="530">
        <v>70</v>
      </c>
      <c r="M49" s="530">
        <v>70</v>
      </c>
      <c r="N49" s="530">
        <v>70</v>
      </c>
      <c r="O49" s="530">
        <v>70</v>
      </c>
      <c r="P49" s="531">
        <f t="shared" si="3"/>
        <v>829</v>
      </c>
      <c r="Q49" s="78"/>
    </row>
    <row r="50" spans="1:17" s="77" customFormat="1" x14ac:dyDescent="0.25">
      <c r="A50" s="527"/>
      <c r="B50" s="515" t="s">
        <v>84</v>
      </c>
      <c r="C50" s="533" t="s">
        <v>63</v>
      </c>
      <c r="D50" s="530">
        <v>38</v>
      </c>
      <c r="E50" s="530">
        <v>37</v>
      </c>
      <c r="F50" s="530">
        <v>37</v>
      </c>
      <c r="G50" s="530">
        <v>36</v>
      </c>
      <c r="H50" s="530">
        <v>36</v>
      </c>
      <c r="I50" s="530">
        <v>35</v>
      </c>
      <c r="J50" s="530">
        <v>35</v>
      </c>
      <c r="K50" s="530">
        <v>35</v>
      </c>
      <c r="L50" s="530">
        <v>35</v>
      </c>
      <c r="M50" s="530">
        <v>35</v>
      </c>
      <c r="N50" s="530">
        <v>35</v>
      </c>
      <c r="O50" s="530">
        <v>35</v>
      </c>
      <c r="P50" s="531">
        <f t="shared" si="3"/>
        <v>429</v>
      </c>
      <c r="Q50" s="78"/>
    </row>
    <row r="51" spans="1:17" s="77" customFormat="1" x14ac:dyDescent="0.25">
      <c r="A51" s="527"/>
      <c r="B51" s="515" t="s">
        <v>85</v>
      </c>
      <c r="C51" s="533" t="s">
        <v>65</v>
      </c>
      <c r="D51" s="530">
        <v>3</v>
      </c>
      <c r="E51" s="530">
        <v>3</v>
      </c>
      <c r="F51" s="530">
        <v>3</v>
      </c>
      <c r="G51" s="530">
        <v>3</v>
      </c>
      <c r="H51" s="530">
        <v>3</v>
      </c>
      <c r="I51" s="530">
        <v>3</v>
      </c>
      <c r="J51" s="530">
        <v>3</v>
      </c>
      <c r="K51" s="530">
        <v>3</v>
      </c>
      <c r="L51" s="530">
        <v>3</v>
      </c>
      <c r="M51" s="530">
        <v>3</v>
      </c>
      <c r="N51" s="530">
        <v>3</v>
      </c>
      <c r="O51" s="530">
        <v>3</v>
      </c>
      <c r="P51" s="531">
        <f t="shared" si="3"/>
        <v>36</v>
      </c>
      <c r="Q51" s="78"/>
    </row>
    <row r="52" spans="1:17" s="77" customFormat="1" x14ac:dyDescent="0.25">
      <c r="A52" s="527"/>
      <c r="B52" s="515" t="s">
        <v>86</v>
      </c>
      <c r="C52" s="533" t="s">
        <v>62</v>
      </c>
      <c r="D52" s="530">
        <v>28</v>
      </c>
      <c r="E52" s="530">
        <v>29</v>
      </c>
      <c r="F52" s="530">
        <v>29</v>
      </c>
      <c r="G52" s="530">
        <v>29</v>
      </c>
      <c r="H52" s="530">
        <v>29</v>
      </c>
      <c r="I52" s="530">
        <v>29</v>
      </c>
      <c r="J52" s="530">
        <v>29</v>
      </c>
      <c r="K52" s="530">
        <v>29</v>
      </c>
      <c r="L52" s="530">
        <v>29</v>
      </c>
      <c r="M52" s="530">
        <v>29</v>
      </c>
      <c r="N52" s="530">
        <v>29</v>
      </c>
      <c r="O52" s="530">
        <v>29</v>
      </c>
      <c r="P52" s="531">
        <f t="shared" si="3"/>
        <v>347</v>
      </c>
      <c r="Q52" s="78"/>
    </row>
    <row r="53" spans="1:17" s="77" customFormat="1" x14ac:dyDescent="0.25">
      <c r="A53" s="527"/>
      <c r="B53" s="515" t="s">
        <v>87</v>
      </c>
      <c r="C53" s="533" t="s">
        <v>63</v>
      </c>
      <c r="D53" s="530">
        <v>66</v>
      </c>
      <c r="E53" s="530">
        <v>66</v>
      </c>
      <c r="F53" s="530">
        <v>66</v>
      </c>
      <c r="G53" s="530">
        <v>66</v>
      </c>
      <c r="H53" s="530">
        <v>66</v>
      </c>
      <c r="I53" s="530">
        <v>67</v>
      </c>
      <c r="J53" s="530">
        <v>67</v>
      </c>
      <c r="K53" s="530">
        <v>67</v>
      </c>
      <c r="L53" s="530">
        <v>67</v>
      </c>
      <c r="M53" s="530">
        <v>68</v>
      </c>
      <c r="N53" s="530">
        <v>68</v>
      </c>
      <c r="O53" s="530">
        <v>68</v>
      </c>
      <c r="P53" s="531">
        <f t="shared" si="3"/>
        <v>802</v>
      </c>
      <c r="Q53" s="78"/>
    </row>
    <row r="54" spans="1:17" s="77" customFormat="1" x14ac:dyDescent="0.25">
      <c r="A54" s="527"/>
      <c r="B54" s="534" t="s">
        <v>88</v>
      </c>
      <c r="C54" s="543" t="s">
        <v>64</v>
      </c>
      <c r="D54" s="530">
        <v>2</v>
      </c>
      <c r="E54" s="530">
        <v>3</v>
      </c>
      <c r="F54" s="530">
        <v>3</v>
      </c>
      <c r="G54" s="530">
        <v>3</v>
      </c>
      <c r="H54" s="530">
        <v>3</v>
      </c>
      <c r="I54" s="530">
        <v>3</v>
      </c>
      <c r="J54" s="530">
        <v>3</v>
      </c>
      <c r="K54" s="530">
        <v>3</v>
      </c>
      <c r="L54" s="530">
        <v>3</v>
      </c>
      <c r="M54" s="530">
        <v>4</v>
      </c>
      <c r="N54" s="530">
        <v>4</v>
      </c>
      <c r="O54" s="530">
        <v>4</v>
      </c>
      <c r="P54" s="531">
        <f t="shared" si="3"/>
        <v>38</v>
      </c>
      <c r="Q54" s="78"/>
    </row>
    <row r="55" spans="1:17" s="77" customFormat="1" x14ac:dyDescent="0.25">
      <c r="A55" s="527"/>
      <c r="B55" s="515" t="s">
        <v>89</v>
      </c>
      <c r="C55" s="533" t="s">
        <v>65</v>
      </c>
      <c r="D55" s="530">
        <v>9</v>
      </c>
      <c r="E55" s="530">
        <v>8</v>
      </c>
      <c r="F55" s="530">
        <v>8</v>
      </c>
      <c r="G55" s="530">
        <v>8</v>
      </c>
      <c r="H55" s="530">
        <v>8</v>
      </c>
      <c r="I55" s="530">
        <v>8</v>
      </c>
      <c r="J55" s="530">
        <v>8</v>
      </c>
      <c r="K55" s="530">
        <v>8</v>
      </c>
      <c r="L55" s="530">
        <v>8</v>
      </c>
      <c r="M55" s="530">
        <v>7</v>
      </c>
      <c r="N55" s="530">
        <v>7</v>
      </c>
      <c r="O55" s="530">
        <v>7</v>
      </c>
      <c r="P55" s="531">
        <f t="shared" si="3"/>
        <v>94</v>
      </c>
      <c r="Q55" s="78"/>
    </row>
    <row r="56" spans="1:17" s="76" customFormat="1" ht="14.4" x14ac:dyDescent="0.3">
      <c r="A56" s="535"/>
      <c r="B56" s="535" t="s">
        <v>90</v>
      </c>
      <c r="C56" s="536" t="s">
        <v>146</v>
      </c>
      <c r="D56" s="544">
        <v>10</v>
      </c>
      <c r="E56" s="544">
        <v>10</v>
      </c>
      <c r="F56" s="544">
        <v>10</v>
      </c>
      <c r="G56" s="544">
        <v>10</v>
      </c>
      <c r="H56" s="544">
        <v>10</v>
      </c>
      <c r="I56" s="544">
        <v>10</v>
      </c>
      <c r="J56" s="544">
        <v>10</v>
      </c>
      <c r="K56" s="544">
        <v>10</v>
      </c>
      <c r="L56" s="544">
        <v>10</v>
      </c>
      <c r="M56" s="544">
        <v>10</v>
      </c>
      <c r="N56" s="544">
        <v>10</v>
      </c>
      <c r="O56" s="544">
        <v>10</v>
      </c>
      <c r="P56" s="538">
        <f t="shared" si="3"/>
        <v>120</v>
      </c>
      <c r="Q56" s="73"/>
    </row>
    <row r="57" spans="1:17" s="77" customFormat="1" x14ac:dyDescent="0.25">
      <c r="A57" s="527"/>
      <c r="B57" s="527" t="s">
        <v>46</v>
      </c>
      <c r="C57" s="527"/>
      <c r="D57" s="539">
        <f t="shared" ref="D57:P57" si="4">SUM(D35:D56)</f>
        <v>795746</v>
      </c>
      <c r="E57" s="539">
        <f t="shared" si="4"/>
        <v>797881</v>
      </c>
      <c r="F57" s="539">
        <f t="shared" si="4"/>
        <v>800193</v>
      </c>
      <c r="G57" s="539">
        <f t="shared" si="4"/>
        <v>801888</v>
      </c>
      <c r="H57" s="539">
        <f t="shared" si="4"/>
        <v>802792</v>
      </c>
      <c r="I57" s="539">
        <f t="shared" si="4"/>
        <v>803776</v>
      </c>
      <c r="J57" s="539">
        <f t="shared" si="4"/>
        <v>803862</v>
      </c>
      <c r="K57" s="539">
        <f t="shared" si="4"/>
        <v>806327</v>
      </c>
      <c r="L57" s="539">
        <f t="shared" si="4"/>
        <v>807415</v>
      </c>
      <c r="M57" s="539">
        <f t="shared" si="4"/>
        <v>807662</v>
      </c>
      <c r="N57" s="539">
        <f t="shared" si="4"/>
        <v>808346</v>
      </c>
      <c r="O57" s="539">
        <f t="shared" si="4"/>
        <v>809405</v>
      </c>
      <c r="P57" s="539">
        <f t="shared" si="4"/>
        <v>9645293</v>
      </c>
      <c r="Q57" s="73"/>
    </row>
    <row r="58" spans="1:17" s="77" customFormat="1" x14ac:dyDescent="0.25">
      <c r="A58" s="527"/>
      <c r="B58" s="527"/>
      <c r="C58" s="545"/>
      <c r="D58" s="531"/>
      <c r="E58" s="531"/>
      <c r="F58" s="531"/>
      <c r="G58" s="531"/>
      <c r="H58" s="531"/>
      <c r="I58" s="531"/>
      <c r="J58" s="531"/>
      <c r="K58" s="531"/>
      <c r="L58" s="531"/>
      <c r="M58" s="531"/>
      <c r="N58" s="531"/>
      <c r="O58" s="531"/>
      <c r="P58" s="531"/>
      <c r="Q58" s="78"/>
    </row>
    <row r="59" spans="1:17" x14ac:dyDescent="0.25">
      <c r="A59" s="515"/>
      <c r="B59" s="524" t="s">
        <v>97</v>
      </c>
      <c r="C59" s="533"/>
      <c r="D59" s="540"/>
      <c r="E59" s="540"/>
      <c r="F59" s="540"/>
      <c r="G59" s="540"/>
      <c r="H59" s="540"/>
      <c r="I59" s="540"/>
      <c r="J59" s="540"/>
      <c r="K59" s="540"/>
      <c r="L59" s="540"/>
      <c r="M59" s="540"/>
      <c r="N59" s="540"/>
      <c r="O59" s="540"/>
      <c r="P59" s="540"/>
      <c r="Q59" s="81"/>
    </row>
    <row r="60" spans="1:17" x14ac:dyDescent="0.25">
      <c r="A60" s="515"/>
      <c r="B60" s="515" t="s">
        <v>0</v>
      </c>
      <c r="C60" s="533">
        <v>23</v>
      </c>
      <c r="D60" s="540">
        <f t="shared" ref="D60:O60" si="5">D10/D36</f>
        <v>45.479061112683709</v>
      </c>
      <c r="E60" s="540">
        <f t="shared" si="5"/>
        <v>92.008611612165964</v>
      </c>
      <c r="F60" s="540">
        <f t="shared" si="5"/>
        <v>122.4176599500598</v>
      </c>
      <c r="G60" s="540">
        <f t="shared" si="5"/>
        <v>115.24970230860411</v>
      </c>
      <c r="H60" s="540">
        <f t="shared" si="5"/>
        <v>86.12575609363212</v>
      </c>
      <c r="I60" s="540">
        <f t="shared" si="5"/>
        <v>77.741035071725435</v>
      </c>
      <c r="J60" s="540">
        <f t="shared" si="5"/>
        <v>44.070542203070652</v>
      </c>
      <c r="K60" s="540">
        <f t="shared" si="5"/>
        <v>30.723761430258723</v>
      </c>
      <c r="L60" s="540">
        <f t="shared" si="5"/>
        <v>23.714292329757708</v>
      </c>
      <c r="M60" s="540">
        <f t="shared" si="5"/>
        <v>18.73523435197275</v>
      </c>
      <c r="N60" s="540">
        <f t="shared" si="5"/>
        <v>17.927603194610626</v>
      </c>
      <c r="O60" s="540">
        <f t="shared" si="5"/>
        <v>25.564256781732464</v>
      </c>
      <c r="P60" s="540">
        <f t="shared" ref="P60:P71" si="6">SUM(D60:O60)</f>
        <v>699.75751644027389</v>
      </c>
      <c r="Q60" s="81"/>
    </row>
    <row r="61" spans="1:17" x14ac:dyDescent="0.25">
      <c r="A61" s="515"/>
      <c r="B61" s="528" t="s">
        <v>73</v>
      </c>
      <c r="C61" s="527">
        <v>31</v>
      </c>
      <c r="D61" s="540">
        <f t="shared" ref="D61:O62" si="7">D12/D38</f>
        <v>230.51661862019753</v>
      </c>
      <c r="E61" s="540">
        <f t="shared" si="7"/>
        <v>405.78041804322584</v>
      </c>
      <c r="F61" s="540">
        <f t="shared" si="7"/>
        <v>539.7302354348069</v>
      </c>
      <c r="G61" s="540">
        <f t="shared" si="7"/>
        <v>521.46434590995557</v>
      </c>
      <c r="H61" s="540">
        <f t="shared" si="7"/>
        <v>397.35954872865557</v>
      </c>
      <c r="I61" s="540">
        <f t="shared" si="7"/>
        <v>367.22090279743725</v>
      </c>
      <c r="J61" s="540">
        <f t="shared" si="7"/>
        <v>231.7701096641791</v>
      </c>
      <c r="K61" s="540">
        <f t="shared" si="7"/>
        <v>183.92766177538593</v>
      </c>
      <c r="L61" s="540">
        <f t="shared" si="7"/>
        <v>157.96440560312735</v>
      </c>
      <c r="M61" s="540">
        <f t="shared" si="7"/>
        <v>142.9515118054521</v>
      </c>
      <c r="N61" s="540">
        <f t="shared" si="7"/>
        <v>139.38836294184509</v>
      </c>
      <c r="O61" s="540">
        <f t="shared" si="7"/>
        <v>161.86180435349323</v>
      </c>
      <c r="P61" s="540">
        <f t="shared" si="6"/>
        <v>3479.9359256777616</v>
      </c>
      <c r="Q61" s="81"/>
    </row>
    <row r="62" spans="1:17" s="77" customFormat="1" x14ac:dyDescent="0.25">
      <c r="A62" s="527"/>
      <c r="B62" s="528" t="s">
        <v>74</v>
      </c>
      <c r="C62" s="527">
        <v>41</v>
      </c>
      <c r="D62" s="531">
        <f t="shared" si="7"/>
        <v>3022.2980964912281</v>
      </c>
      <c r="E62" s="531">
        <f t="shared" si="7"/>
        <v>4507.983038125496</v>
      </c>
      <c r="F62" s="531">
        <f t="shared" si="7"/>
        <v>5373.605010116732</v>
      </c>
      <c r="G62" s="531">
        <f t="shared" si="7"/>
        <v>5292.1949836193444</v>
      </c>
      <c r="H62" s="531">
        <f t="shared" si="7"/>
        <v>4312.7776144297914</v>
      </c>
      <c r="I62" s="531">
        <f t="shared" si="7"/>
        <v>4246.6117431906614</v>
      </c>
      <c r="J62" s="531">
        <f t="shared" si="7"/>
        <v>3045.8770717628709</v>
      </c>
      <c r="K62" s="531">
        <f t="shared" si="7"/>
        <v>2596.427106697819</v>
      </c>
      <c r="L62" s="531">
        <f t="shared" si="7"/>
        <v>2217.4461878409975</v>
      </c>
      <c r="M62" s="531">
        <f t="shared" si="7"/>
        <v>1957.5671283255087</v>
      </c>
      <c r="N62" s="531">
        <f t="shared" si="7"/>
        <v>1895.9547163947166</v>
      </c>
      <c r="O62" s="531">
        <f t="shared" si="7"/>
        <v>2240.004808411215</v>
      </c>
      <c r="P62" s="540">
        <f t="shared" si="6"/>
        <v>40708.747505406376</v>
      </c>
      <c r="Q62" s="81"/>
    </row>
    <row r="63" spans="1:17" s="77" customFormat="1" x14ac:dyDescent="0.25">
      <c r="A63" s="527"/>
      <c r="B63" s="527" t="s">
        <v>79</v>
      </c>
      <c r="C63" s="527">
        <v>41</v>
      </c>
      <c r="D63" s="531">
        <f t="shared" ref="D63:O63" si="8">D19/D45</f>
        <v>11640.178623529411</v>
      </c>
      <c r="E63" s="531">
        <f t="shared" si="8"/>
        <v>12937.724130952382</v>
      </c>
      <c r="F63" s="531">
        <f t="shared" si="8"/>
        <v>12771.639975609758</v>
      </c>
      <c r="G63" s="531">
        <f t="shared" si="8"/>
        <v>12962.708390243903</v>
      </c>
      <c r="H63" s="531">
        <f t="shared" si="8"/>
        <v>11481.171170731708</v>
      </c>
      <c r="I63" s="531">
        <f t="shared" si="8"/>
        <v>12183.533987804878</v>
      </c>
      <c r="J63" s="531">
        <f t="shared" si="8"/>
        <v>10616.831060975608</v>
      </c>
      <c r="K63" s="531">
        <f t="shared" si="8"/>
        <v>9769.0753493975899</v>
      </c>
      <c r="L63" s="531">
        <f t="shared" si="8"/>
        <v>8946.9265952380956</v>
      </c>
      <c r="M63" s="531">
        <f t="shared" si="8"/>
        <v>8650.7762619047626</v>
      </c>
      <c r="N63" s="531">
        <f t="shared" si="8"/>
        <v>9087.4326265060245</v>
      </c>
      <c r="O63" s="531">
        <f t="shared" si="8"/>
        <v>9307.3037469879528</v>
      </c>
      <c r="P63" s="540">
        <f t="shared" si="6"/>
        <v>130355.30191988207</v>
      </c>
      <c r="Q63" s="81"/>
    </row>
    <row r="64" spans="1:17" x14ac:dyDescent="0.25">
      <c r="A64" s="515"/>
      <c r="B64" s="515" t="s">
        <v>83</v>
      </c>
      <c r="C64" s="533" t="s">
        <v>62</v>
      </c>
      <c r="D64" s="540">
        <f t="shared" ref="D64:O66" si="9">D23/D49</f>
        <v>11280.355</v>
      </c>
      <c r="E64" s="540">
        <f t="shared" si="9"/>
        <v>13874.517058823531</v>
      </c>
      <c r="F64" s="540">
        <f t="shared" si="9"/>
        <v>14542.543188405796</v>
      </c>
      <c r="G64" s="540">
        <f t="shared" si="9"/>
        <v>14515.485217391304</v>
      </c>
      <c r="H64" s="540">
        <f t="shared" si="9"/>
        <v>12802.068985507247</v>
      </c>
      <c r="I64" s="540">
        <f t="shared" si="9"/>
        <v>13839.867391304348</v>
      </c>
      <c r="J64" s="540">
        <f t="shared" si="9"/>
        <v>11658.633529411765</v>
      </c>
      <c r="K64" s="540">
        <f t="shared" si="9"/>
        <v>11376.63884057971</v>
      </c>
      <c r="L64" s="540">
        <f t="shared" si="9"/>
        <v>11145.826714285717</v>
      </c>
      <c r="M64" s="540">
        <f t="shared" si="9"/>
        <v>10269.868714285714</v>
      </c>
      <c r="N64" s="540">
        <f t="shared" si="9"/>
        <v>10846.274857142856</v>
      </c>
      <c r="O64" s="540">
        <f t="shared" si="9"/>
        <v>10550.975857142857</v>
      </c>
      <c r="P64" s="540">
        <f t="shared" si="6"/>
        <v>146703.05535428083</v>
      </c>
      <c r="Q64" s="81"/>
    </row>
    <row r="65" spans="1:23" x14ac:dyDescent="0.25">
      <c r="A65" s="515"/>
      <c r="B65" s="515" t="s">
        <v>84</v>
      </c>
      <c r="C65" s="533" t="s">
        <v>63</v>
      </c>
      <c r="D65" s="540">
        <f t="shared" si="9"/>
        <v>50404.314473684215</v>
      </c>
      <c r="E65" s="540">
        <f t="shared" si="9"/>
        <v>59666.607567567567</v>
      </c>
      <c r="F65" s="540">
        <f t="shared" si="9"/>
        <v>64170.580810810803</v>
      </c>
      <c r="G65" s="540">
        <f t="shared" si="9"/>
        <v>62418.404444444444</v>
      </c>
      <c r="H65" s="540">
        <f t="shared" si="9"/>
        <v>54984.776666666665</v>
      </c>
      <c r="I65" s="540">
        <f t="shared" si="9"/>
        <v>58432.305999999997</v>
      </c>
      <c r="J65" s="540">
        <f t="shared" si="9"/>
        <v>51323.724571428575</v>
      </c>
      <c r="K65" s="540">
        <f t="shared" si="9"/>
        <v>52407.998285714282</v>
      </c>
      <c r="L65" s="540">
        <f t="shared" si="9"/>
        <v>49126.848857142861</v>
      </c>
      <c r="M65" s="540">
        <f t="shared" si="9"/>
        <v>47227.510857142857</v>
      </c>
      <c r="N65" s="540">
        <f t="shared" si="9"/>
        <v>48606.160571428576</v>
      </c>
      <c r="O65" s="540">
        <f t="shared" si="9"/>
        <v>50001.273142857142</v>
      </c>
      <c r="P65" s="540">
        <f t="shared" si="6"/>
        <v>648770.50624888798</v>
      </c>
      <c r="Q65" s="81"/>
    </row>
    <row r="66" spans="1:23" x14ac:dyDescent="0.25">
      <c r="A66" s="515"/>
      <c r="B66" s="515" t="s">
        <v>85</v>
      </c>
      <c r="C66" s="533" t="s">
        <v>65</v>
      </c>
      <c r="D66" s="540">
        <f t="shared" si="9"/>
        <v>467094.24666666664</v>
      </c>
      <c r="E66" s="540">
        <f t="shared" si="9"/>
        <v>635883</v>
      </c>
      <c r="F66" s="540">
        <f t="shared" si="9"/>
        <v>723237.92666666664</v>
      </c>
      <c r="G66" s="540">
        <f t="shared" si="9"/>
        <v>685419.73</v>
      </c>
      <c r="H66" s="540">
        <f t="shared" si="9"/>
        <v>593587.73</v>
      </c>
      <c r="I66" s="540">
        <f t="shared" si="9"/>
        <v>611666.13</v>
      </c>
      <c r="J66" s="540">
        <f t="shared" si="9"/>
        <v>458735.84333333332</v>
      </c>
      <c r="K66" s="540">
        <f t="shared" si="9"/>
        <v>424656.37000000005</v>
      </c>
      <c r="L66" s="540">
        <f t="shared" si="9"/>
        <v>383915.46666666662</v>
      </c>
      <c r="M66" s="540">
        <f t="shared" si="9"/>
        <v>363874.89666666667</v>
      </c>
      <c r="N66" s="540">
        <f t="shared" si="9"/>
        <v>351315.84</v>
      </c>
      <c r="O66" s="540">
        <f t="shared" si="9"/>
        <v>365387.04666666669</v>
      </c>
      <c r="P66" s="540">
        <f t="shared" si="6"/>
        <v>6064774.2266666666</v>
      </c>
      <c r="Q66" s="81"/>
    </row>
    <row r="67" spans="1:23" x14ac:dyDescent="0.25">
      <c r="A67" s="515"/>
      <c r="B67" s="515" t="s">
        <v>75</v>
      </c>
      <c r="C67" s="515">
        <v>85</v>
      </c>
      <c r="D67" s="540">
        <f t="shared" ref="D67:O70" si="10">D15/D41</f>
        <v>40911.056962962961</v>
      </c>
      <c r="E67" s="540">
        <f t="shared" si="10"/>
        <v>57198.562962962962</v>
      </c>
      <c r="F67" s="540">
        <f t="shared" si="10"/>
        <v>70819.776615384602</v>
      </c>
      <c r="G67" s="540">
        <f t="shared" si="10"/>
        <v>69071.205925925926</v>
      </c>
      <c r="H67" s="540">
        <f t="shared" si="10"/>
        <v>59662.167269230769</v>
      </c>
      <c r="I67" s="540">
        <f t="shared" si="10"/>
        <v>59658.694576923073</v>
      </c>
      <c r="J67" s="540">
        <f t="shared" si="10"/>
        <v>42879.50384615385</v>
      </c>
      <c r="K67" s="540">
        <f t="shared" si="10"/>
        <v>35522.777640000008</v>
      </c>
      <c r="L67" s="540">
        <f t="shared" si="10"/>
        <v>27740.018880000003</v>
      </c>
      <c r="M67" s="540">
        <f t="shared" si="10"/>
        <v>27360.807639999999</v>
      </c>
      <c r="N67" s="540">
        <f t="shared" si="10"/>
        <v>26287.232360000002</v>
      </c>
      <c r="O67" s="540">
        <f t="shared" si="10"/>
        <v>22196.284</v>
      </c>
      <c r="P67" s="540">
        <f t="shared" si="6"/>
        <v>539308.08867954416</v>
      </c>
      <c r="Q67" s="81"/>
    </row>
    <row r="68" spans="1:23" x14ac:dyDescent="0.25">
      <c r="A68" s="515"/>
      <c r="B68" s="515" t="s">
        <v>76</v>
      </c>
      <c r="C68" s="515">
        <v>86</v>
      </c>
      <c r="D68" s="540">
        <f t="shared" si="10"/>
        <v>2357.4236774193546</v>
      </c>
      <c r="E68" s="540">
        <f t="shared" si="10"/>
        <v>4208.2127317073173</v>
      </c>
      <c r="F68" s="540">
        <f t="shared" si="10"/>
        <v>5163.1280663900416</v>
      </c>
      <c r="G68" s="540">
        <f t="shared" si="10"/>
        <v>5123.9655874999999</v>
      </c>
      <c r="H68" s="540">
        <f t="shared" si="10"/>
        <v>4059.6819372384939</v>
      </c>
      <c r="I68" s="540">
        <f t="shared" si="10"/>
        <v>3909.1642594142254</v>
      </c>
      <c r="J68" s="540">
        <f t="shared" si="10"/>
        <v>2383.4034853556482</v>
      </c>
      <c r="K68" s="540">
        <f t="shared" si="10"/>
        <v>1719.7362647058824</v>
      </c>
      <c r="L68" s="540">
        <f t="shared" si="10"/>
        <v>1252.5030840336135</v>
      </c>
      <c r="M68" s="540">
        <f t="shared" si="10"/>
        <v>893.02999156118142</v>
      </c>
      <c r="N68" s="540">
        <f t="shared" si="10"/>
        <v>854.71952991452986</v>
      </c>
      <c r="O68" s="540">
        <f t="shared" si="10"/>
        <v>1309.7806422413794</v>
      </c>
      <c r="P68" s="540">
        <f t="shared" si="6"/>
        <v>33234.749257481672</v>
      </c>
      <c r="Q68" s="81"/>
    </row>
    <row r="69" spans="1:23" x14ac:dyDescent="0.25">
      <c r="A69" s="515"/>
      <c r="B69" s="527" t="s">
        <v>96</v>
      </c>
      <c r="C69" s="527">
        <v>87</v>
      </c>
      <c r="D69" s="540">
        <f t="shared" si="10"/>
        <v>327139.42119999992</v>
      </c>
      <c r="E69" s="540">
        <f t="shared" si="10"/>
        <v>448960.6176</v>
      </c>
      <c r="F69" s="540">
        <f t="shared" si="10"/>
        <v>509800.08399999997</v>
      </c>
      <c r="G69" s="540">
        <f t="shared" si="10"/>
        <v>534776.53320000006</v>
      </c>
      <c r="H69" s="540">
        <f t="shared" si="10"/>
        <v>437724.08420000004</v>
      </c>
      <c r="I69" s="540">
        <f t="shared" si="10"/>
        <v>438646.43300000002</v>
      </c>
      <c r="J69" s="540">
        <f t="shared" si="10"/>
        <v>350632.56219999999</v>
      </c>
      <c r="K69" s="540">
        <f t="shared" si="10"/>
        <v>314296.22620000003</v>
      </c>
      <c r="L69" s="540">
        <f t="shared" si="10"/>
        <v>274425.27379999997</v>
      </c>
      <c r="M69" s="540">
        <f t="shared" si="10"/>
        <v>272933.89839999995</v>
      </c>
      <c r="N69" s="540">
        <f t="shared" si="10"/>
        <v>267817.60680000001</v>
      </c>
      <c r="O69" s="540">
        <f t="shared" si="10"/>
        <v>289111.91700000002</v>
      </c>
      <c r="P69" s="540">
        <f t="shared" si="6"/>
        <v>4466264.6576000005</v>
      </c>
      <c r="Q69" s="81"/>
    </row>
    <row r="70" spans="1:23" x14ac:dyDescent="0.25">
      <c r="A70" s="515"/>
      <c r="B70" s="515" t="s">
        <v>78</v>
      </c>
      <c r="C70" s="515">
        <v>31</v>
      </c>
      <c r="D70" s="540">
        <f t="shared" si="10"/>
        <v>348.24178820960697</v>
      </c>
      <c r="E70" s="540">
        <f t="shared" si="10"/>
        <v>638.19253769063187</v>
      </c>
      <c r="F70" s="540">
        <f t="shared" si="10"/>
        <v>896.25614843749997</v>
      </c>
      <c r="G70" s="540">
        <f t="shared" si="10"/>
        <v>879.41955449413808</v>
      </c>
      <c r="H70" s="540">
        <f t="shared" si="10"/>
        <v>659.97401432291667</v>
      </c>
      <c r="I70" s="540">
        <f t="shared" si="10"/>
        <v>599.63121146330866</v>
      </c>
      <c r="J70" s="540">
        <f t="shared" si="10"/>
        <v>353.7121327510917</v>
      </c>
      <c r="K70" s="540">
        <f t="shared" si="10"/>
        <v>239.58103614982579</v>
      </c>
      <c r="L70" s="540">
        <f t="shared" si="10"/>
        <v>198.78610627177702</v>
      </c>
      <c r="M70" s="540">
        <f t="shared" si="10"/>
        <v>182.57197208896642</v>
      </c>
      <c r="N70" s="540">
        <f t="shared" si="10"/>
        <v>186.80011198600175</v>
      </c>
      <c r="O70" s="540">
        <f t="shared" si="10"/>
        <v>224.62836132983378</v>
      </c>
      <c r="P70" s="540">
        <f t="shared" si="6"/>
        <v>5407.7949751955985</v>
      </c>
      <c r="Q70" s="81"/>
    </row>
    <row r="71" spans="1:23" s="69" customFormat="1" ht="14.4" x14ac:dyDescent="0.3">
      <c r="A71" s="546"/>
      <c r="B71" s="535" t="s">
        <v>90</v>
      </c>
      <c r="C71" s="547" t="s">
        <v>146</v>
      </c>
      <c r="D71" s="548">
        <f t="shared" ref="D71:O71" si="11">D30/D56</f>
        <v>260627.70499999999</v>
      </c>
      <c r="E71" s="548">
        <f t="shared" si="11"/>
        <v>381492.30699999997</v>
      </c>
      <c r="F71" s="548">
        <f t="shared" si="11"/>
        <v>398467.94000000006</v>
      </c>
      <c r="G71" s="548">
        <f t="shared" si="11"/>
        <v>405547.72200000001</v>
      </c>
      <c r="H71" s="548">
        <f t="shared" si="11"/>
        <v>342115.76699999999</v>
      </c>
      <c r="I71" s="548">
        <f t="shared" si="11"/>
        <v>368797.34499999997</v>
      </c>
      <c r="J71" s="548">
        <f t="shared" si="11"/>
        <v>271002.56099999999</v>
      </c>
      <c r="K71" s="548">
        <f t="shared" si="11"/>
        <v>240046.69900000002</v>
      </c>
      <c r="L71" s="548">
        <f t="shared" si="11"/>
        <v>216559.802</v>
      </c>
      <c r="M71" s="548">
        <f t="shared" si="11"/>
        <v>195614.37000000002</v>
      </c>
      <c r="N71" s="548">
        <f t="shared" si="11"/>
        <v>184561.05</v>
      </c>
      <c r="O71" s="548">
        <f t="shared" si="11"/>
        <v>200184.17800000001</v>
      </c>
      <c r="P71" s="548">
        <f t="shared" si="6"/>
        <v>3465017.446</v>
      </c>
      <c r="Q71" s="71"/>
    </row>
    <row r="72" spans="1:23" x14ac:dyDescent="0.25">
      <c r="A72" s="515"/>
      <c r="B72" s="515"/>
      <c r="C72" s="533"/>
      <c r="D72" s="540"/>
      <c r="E72" s="540"/>
      <c r="F72" s="540"/>
      <c r="G72" s="540"/>
      <c r="H72" s="540"/>
      <c r="I72" s="540"/>
      <c r="J72" s="540"/>
      <c r="K72" s="540"/>
      <c r="L72" s="540"/>
      <c r="M72" s="540"/>
      <c r="N72" s="540"/>
      <c r="O72" s="540"/>
      <c r="P72" s="540"/>
      <c r="Q72" s="81"/>
    </row>
    <row r="73" spans="1:23" x14ac:dyDescent="0.25">
      <c r="A73" s="515"/>
      <c r="B73" s="524" t="s">
        <v>98</v>
      </c>
      <c r="C73" s="533"/>
      <c r="D73" s="540"/>
      <c r="E73" s="540"/>
      <c r="F73" s="540"/>
      <c r="G73" s="540"/>
      <c r="H73" s="540"/>
      <c r="I73" s="540"/>
      <c r="J73" s="540"/>
      <c r="K73" s="540"/>
      <c r="L73" s="540"/>
      <c r="M73" s="540"/>
      <c r="N73" s="540"/>
      <c r="O73" s="540"/>
      <c r="P73" s="540"/>
      <c r="Q73" s="81"/>
    </row>
    <row r="74" spans="1:23" s="77" customFormat="1" x14ac:dyDescent="0.25">
      <c r="A74" s="527"/>
      <c r="B74" s="527" t="s">
        <v>99</v>
      </c>
      <c r="C74" s="545"/>
      <c r="D74" s="549">
        <v>259.66660000000002</v>
      </c>
      <c r="E74" s="549">
        <v>635.52080000000001</v>
      </c>
      <c r="F74" s="549">
        <v>693.83320000000003</v>
      </c>
      <c r="G74" s="549">
        <v>664.25019999999995</v>
      </c>
      <c r="H74" s="549">
        <v>516.16650000000004</v>
      </c>
      <c r="I74" s="549">
        <v>510.06220000000008</v>
      </c>
      <c r="J74" s="549">
        <v>289.93369999999999</v>
      </c>
      <c r="K74" s="549">
        <v>188.74990000000003</v>
      </c>
      <c r="L74" s="549">
        <v>122.95819999999998</v>
      </c>
      <c r="M74" s="549">
        <v>33.625</v>
      </c>
      <c r="N74" s="549">
        <v>32.166600000000003</v>
      </c>
      <c r="O74" s="549">
        <v>137.37489999999997</v>
      </c>
      <c r="P74" s="531">
        <f>SUM(D74:O74)</f>
        <v>4084.307800000001</v>
      </c>
      <c r="Q74" s="78"/>
    </row>
    <row r="75" spans="1:23" s="77" customFormat="1" x14ac:dyDescent="0.25">
      <c r="A75" s="527"/>
      <c r="B75" s="527" t="s">
        <v>100</v>
      </c>
      <c r="C75" s="545"/>
      <c r="D75" s="549">
        <v>384.32222222222214</v>
      </c>
      <c r="E75" s="549">
        <v>586.84513888888887</v>
      </c>
      <c r="F75" s="549">
        <v>744.02361111111088</v>
      </c>
      <c r="G75" s="549">
        <v>719.23055555555561</v>
      </c>
      <c r="H75" s="549">
        <v>636.27083333333337</v>
      </c>
      <c r="I75" s="549">
        <v>588.96111111111099</v>
      </c>
      <c r="J75" s="549">
        <v>456.2902777777777</v>
      </c>
      <c r="K75" s="549">
        <v>301.5986111111111</v>
      </c>
      <c r="L75" s="549">
        <v>162.02638888888887</v>
      </c>
      <c r="M75" s="549">
        <v>62.526388888888867</v>
      </c>
      <c r="N75" s="549">
        <v>48.662499999999994</v>
      </c>
      <c r="O75" s="549">
        <v>140.65</v>
      </c>
      <c r="P75" s="531">
        <f>SUM(D75:O75)</f>
        <v>4831.4076388888889</v>
      </c>
      <c r="Q75" s="78"/>
    </row>
    <row r="76" spans="1:23" s="77" customFormat="1" x14ac:dyDescent="0.25">
      <c r="A76" s="527"/>
      <c r="B76" s="528" t="s">
        <v>101</v>
      </c>
      <c r="C76" s="545"/>
      <c r="D76" s="539">
        <f t="shared" ref="D76:P76" si="12">D74-D75</f>
        <v>-124.65562222222212</v>
      </c>
      <c r="E76" s="539">
        <f t="shared" si="12"/>
        <v>48.67566111111114</v>
      </c>
      <c r="F76" s="539">
        <f t="shared" si="12"/>
        <v>-50.190411111110848</v>
      </c>
      <c r="G76" s="539">
        <f t="shared" si="12"/>
        <v>-54.980355555555661</v>
      </c>
      <c r="H76" s="539">
        <f t="shared" si="12"/>
        <v>-120.10433333333333</v>
      </c>
      <c r="I76" s="539">
        <f t="shared" si="12"/>
        <v>-78.89891111111092</v>
      </c>
      <c r="J76" s="539">
        <f t="shared" si="12"/>
        <v>-166.35657777777772</v>
      </c>
      <c r="K76" s="539">
        <f t="shared" si="12"/>
        <v>-112.84871111111107</v>
      </c>
      <c r="L76" s="539">
        <f t="shared" si="12"/>
        <v>-39.068188888888898</v>
      </c>
      <c r="M76" s="539">
        <f t="shared" si="12"/>
        <v>-28.901388888888867</v>
      </c>
      <c r="N76" s="539">
        <f t="shared" si="12"/>
        <v>-16.495899999999992</v>
      </c>
      <c r="O76" s="539">
        <f t="shared" si="12"/>
        <v>-3.2751000000000374</v>
      </c>
      <c r="P76" s="539">
        <f t="shared" si="12"/>
        <v>-747.09983888888792</v>
      </c>
      <c r="Q76" s="73"/>
    </row>
    <row r="77" spans="1:23" x14ac:dyDescent="0.25">
      <c r="A77" s="515"/>
      <c r="B77" s="515"/>
      <c r="C77" s="533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81"/>
    </row>
    <row r="78" spans="1:23" x14ac:dyDescent="0.25">
      <c r="A78" s="515"/>
      <c r="B78" s="524" t="s">
        <v>102</v>
      </c>
      <c r="C78" s="533"/>
      <c r="D78" s="540"/>
      <c r="E78" s="540"/>
      <c r="F78" s="540"/>
      <c r="G78" s="540"/>
      <c r="H78" s="540"/>
      <c r="I78" s="540"/>
      <c r="J78" s="540"/>
      <c r="K78" s="540"/>
      <c r="L78" s="540"/>
      <c r="M78" s="540"/>
      <c r="N78" s="540"/>
      <c r="O78" s="540"/>
      <c r="P78" s="540"/>
      <c r="Q78" s="81"/>
    </row>
    <row r="79" spans="1:23" s="77" customFormat="1" x14ac:dyDescent="0.25">
      <c r="A79" s="527"/>
      <c r="B79" s="515" t="s">
        <v>0</v>
      </c>
      <c r="C79" s="545">
        <v>23</v>
      </c>
      <c r="D79" s="550">
        <v>0.104705614079908</v>
      </c>
      <c r="E79" s="550">
        <v>0.12623994928806401</v>
      </c>
      <c r="F79" s="550">
        <v>0.14226344989581099</v>
      </c>
      <c r="G79" s="550">
        <v>0.13799995613660501</v>
      </c>
      <c r="H79" s="550">
        <v>0.13535196333729099</v>
      </c>
      <c r="I79" s="550">
        <v>0.130002452774683</v>
      </c>
      <c r="J79" s="550">
        <v>0.10033864616107301</v>
      </c>
      <c r="K79" s="550">
        <v>8.1312472794374993E-2</v>
      </c>
      <c r="L79" s="550">
        <v>5.8248501607529202E-2</v>
      </c>
      <c r="M79" s="551">
        <v>5.3483393221343899E-2</v>
      </c>
      <c r="N79" s="550">
        <v>0</v>
      </c>
      <c r="O79" s="551">
        <v>6.6259443013353597E-2</v>
      </c>
      <c r="P79" s="531"/>
      <c r="Q79" s="78"/>
      <c r="R79" s="57"/>
      <c r="S79" s="57"/>
      <c r="T79" s="57"/>
      <c r="U79" s="57"/>
      <c r="V79" s="57"/>
      <c r="W79" s="57"/>
    </row>
    <row r="80" spans="1:23" s="77" customFormat="1" x14ac:dyDescent="0.25">
      <c r="A80" s="527"/>
      <c r="B80" s="528" t="s">
        <v>73</v>
      </c>
      <c r="C80" s="527">
        <v>31</v>
      </c>
      <c r="D80" s="550">
        <v>0.32121572967827899</v>
      </c>
      <c r="E80" s="550">
        <v>0.45560517185302102</v>
      </c>
      <c r="F80" s="550">
        <v>0.53142943658087705</v>
      </c>
      <c r="G80" s="550">
        <v>0.53498574989424197</v>
      </c>
      <c r="H80" s="550">
        <v>0.49205993279417598</v>
      </c>
      <c r="I80" s="550">
        <v>0.47094860551999002</v>
      </c>
      <c r="J80" s="550">
        <v>0.34160479298080798</v>
      </c>
      <c r="K80" s="550">
        <v>0.26314846894766902</v>
      </c>
      <c r="L80" s="550">
        <v>0.147865530783446</v>
      </c>
      <c r="M80" s="550">
        <v>0</v>
      </c>
      <c r="N80" s="550">
        <v>0</v>
      </c>
      <c r="O80" s="550">
        <v>0.14779159578159801</v>
      </c>
      <c r="P80" s="531"/>
      <c r="Q80" s="78"/>
      <c r="R80" s="57"/>
      <c r="S80" s="57"/>
      <c r="T80" s="57"/>
      <c r="U80" s="57"/>
      <c r="V80" s="57"/>
      <c r="W80" s="57"/>
    </row>
    <row r="81" spans="1:23" s="77" customFormat="1" x14ac:dyDescent="0.25">
      <c r="A81" s="527"/>
      <c r="B81" s="528" t="s">
        <v>74</v>
      </c>
      <c r="C81" s="527">
        <v>41</v>
      </c>
      <c r="D81" s="550">
        <v>2.98942219396822</v>
      </c>
      <c r="E81" s="550">
        <v>3.6723629678965302</v>
      </c>
      <c r="F81" s="550">
        <v>4.0053427454483304</v>
      </c>
      <c r="G81" s="550">
        <v>4.0840048312250499</v>
      </c>
      <c r="H81" s="550">
        <v>3.7666119699587299</v>
      </c>
      <c r="I81" s="550">
        <v>4.0276227428127704</v>
      </c>
      <c r="J81" s="550">
        <v>3.0760595207830899</v>
      </c>
      <c r="K81" s="550">
        <v>2.7977600197604802</v>
      </c>
      <c r="L81" s="550">
        <v>2.25661982409544</v>
      </c>
      <c r="M81" s="550">
        <v>0</v>
      </c>
      <c r="N81" s="550">
        <v>0</v>
      </c>
      <c r="O81" s="551">
        <v>1.3957429024257699</v>
      </c>
      <c r="P81" s="531"/>
      <c r="Q81" s="78"/>
      <c r="R81" s="57"/>
      <c r="S81" s="57"/>
      <c r="T81" s="57"/>
      <c r="U81" s="57"/>
      <c r="V81" s="57"/>
      <c r="W81" s="57"/>
    </row>
    <row r="82" spans="1:23" s="77" customFormat="1" x14ac:dyDescent="0.25">
      <c r="A82" s="527"/>
      <c r="B82" s="515" t="s">
        <v>83</v>
      </c>
      <c r="C82" s="533" t="s">
        <v>62</v>
      </c>
      <c r="D82" s="550">
        <v>4.4050642315152198</v>
      </c>
      <c r="E82" s="550">
        <v>4.9123079411263104</v>
      </c>
      <c r="F82" s="550">
        <v>5.7909851146241902</v>
      </c>
      <c r="G82" s="550">
        <v>5.77706962092791</v>
      </c>
      <c r="H82" s="550">
        <v>5.10975790479079</v>
      </c>
      <c r="I82" s="550">
        <v>6.3943043019260699</v>
      </c>
      <c r="J82" s="550">
        <v>4.6922917283285503</v>
      </c>
      <c r="K82" s="550">
        <v>2.1387605999092099</v>
      </c>
      <c r="L82" s="550">
        <v>0</v>
      </c>
      <c r="M82" s="550">
        <v>0</v>
      </c>
      <c r="N82" s="550">
        <v>0</v>
      </c>
      <c r="O82" s="550">
        <v>0</v>
      </c>
      <c r="P82" s="531"/>
      <c r="Q82" s="78"/>
      <c r="R82" s="57"/>
      <c r="S82" s="57"/>
      <c r="T82" s="57"/>
      <c r="U82" s="57"/>
      <c r="V82" s="57"/>
      <c r="W82" s="57"/>
    </row>
    <row r="83" spans="1:23" s="77" customFormat="1" x14ac:dyDescent="0.25">
      <c r="A83" s="527"/>
      <c r="B83" s="515" t="s">
        <v>84</v>
      </c>
      <c r="C83" s="533" t="s">
        <v>63</v>
      </c>
      <c r="D83" s="550">
        <v>19.0929028350509</v>
      </c>
      <c r="E83" s="550">
        <v>20.912287494687799</v>
      </c>
      <c r="F83" s="550">
        <v>25.4293027026605</v>
      </c>
      <c r="G83" s="550">
        <v>25.710940928724899</v>
      </c>
      <c r="H83" s="550">
        <v>17.813685050541402</v>
      </c>
      <c r="I83" s="550">
        <v>24.694609988707398</v>
      </c>
      <c r="J83" s="550">
        <v>20.075887878027601</v>
      </c>
      <c r="K83" s="550">
        <v>21.3644312923638</v>
      </c>
      <c r="L83" s="550">
        <v>16.502873686885401</v>
      </c>
      <c r="M83" s="550">
        <v>0</v>
      </c>
      <c r="N83" s="550">
        <v>0</v>
      </c>
      <c r="O83" s="550">
        <v>0</v>
      </c>
      <c r="P83" s="531"/>
      <c r="Q83" s="78"/>
      <c r="R83" s="57"/>
      <c r="S83" s="57"/>
      <c r="T83" s="57"/>
      <c r="U83" s="57"/>
      <c r="V83" s="57"/>
      <c r="W83" s="57"/>
    </row>
    <row r="84" spans="1:23" s="77" customFormat="1" x14ac:dyDescent="0.25">
      <c r="A84" s="527"/>
      <c r="B84" s="515" t="s">
        <v>85</v>
      </c>
      <c r="C84" s="533" t="s">
        <v>65</v>
      </c>
      <c r="D84" s="550">
        <v>409.72168758763598</v>
      </c>
      <c r="E84" s="550">
        <v>542.21089747137501</v>
      </c>
      <c r="F84" s="550">
        <v>546.30799604422202</v>
      </c>
      <c r="G84" s="550">
        <v>648.96982611741998</v>
      </c>
      <c r="H84" s="550">
        <v>604.49375488937005</v>
      </c>
      <c r="I84" s="550">
        <v>534.65234348484898</v>
      </c>
      <c r="J84" s="550">
        <v>450.130258593375</v>
      </c>
      <c r="K84" s="550">
        <v>475.64677175946798</v>
      </c>
      <c r="L84" s="550">
        <v>0</v>
      </c>
      <c r="M84" s="550">
        <v>0</v>
      </c>
      <c r="N84" s="550">
        <v>0</v>
      </c>
      <c r="O84" s="550">
        <v>0</v>
      </c>
      <c r="P84" s="531"/>
      <c r="Q84" s="78"/>
      <c r="R84" s="57"/>
      <c r="S84" s="57"/>
      <c r="T84" s="57"/>
      <c r="U84" s="57"/>
      <c r="V84" s="57"/>
      <c r="W84" s="57"/>
    </row>
    <row r="85" spans="1:23" s="77" customFormat="1" x14ac:dyDescent="0.25">
      <c r="A85" s="527"/>
      <c r="B85" s="527" t="s">
        <v>75</v>
      </c>
      <c r="C85" s="527">
        <v>85</v>
      </c>
      <c r="D85" s="550">
        <v>33.8373126466266</v>
      </c>
      <c r="E85" s="550">
        <v>41.979566872486501</v>
      </c>
      <c r="F85" s="550">
        <v>48.1879490284634</v>
      </c>
      <c r="G85" s="550">
        <v>50.892528031008901</v>
      </c>
      <c r="H85" s="550">
        <v>46.793899394449298</v>
      </c>
      <c r="I85" s="550">
        <v>52.989261117710001</v>
      </c>
      <c r="J85" s="550">
        <v>45.443624028705898</v>
      </c>
      <c r="K85" s="550">
        <v>42.583812618160202</v>
      </c>
      <c r="L85" s="550">
        <v>22.3000899422746</v>
      </c>
      <c r="M85" s="550">
        <v>0</v>
      </c>
      <c r="N85" s="550">
        <v>0</v>
      </c>
      <c r="O85" s="550">
        <v>0</v>
      </c>
      <c r="P85" s="531"/>
      <c r="Q85" s="78"/>
      <c r="R85" s="57"/>
      <c r="S85" s="57"/>
      <c r="T85" s="57"/>
      <c r="U85" s="57"/>
      <c r="V85" s="57"/>
      <c r="W85" s="57"/>
    </row>
    <row r="86" spans="1:23" s="77" customFormat="1" x14ac:dyDescent="0.25">
      <c r="A86" s="527"/>
      <c r="B86" s="527" t="s">
        <v>76</v>
      </c>
      <c r="C86" s="527">
        <v>86</v>
      </c>
      <c r="D86" s="550">
        <v>5.1503305819924501</v>
      </c>
      <c r="E86" s="550">
        <v>5.7457277073443098</v>
      </c>
      <c r="F86" s="550">
        <v>5.9051504656024596</v>
      </c>
      <c r="G86" s="550">
        <v>6.0758183361404701</v>
      </c>
      <c r="H86" s="550">
        <v>6.0575306522184196</v>
      </c>
      <c r="I86" s="550">
        <v>6.3278474636240798</v>
      </c>
      <c r="J86" s="550">
        <v>5.3736733689723897</v>
      </c>
      <c r="K86" s="550">
        <v>5.1076931287923202</v>
      </c>
      <c r="L86" s="550">
        <v>3.7615145677663002</v>
      </c>
      <c r="M86" s="550">
        <v>0</v>
      </c>
      <c r="N86" s="550">
        <v>0</v>
      </c>
      <c r="O86" s="550">
        <v>3.30591728214169</v>
      </c>
      <c r="P86" s="531"/>
      <c r="Q86" s="78"/>
      <c r="R86" s="57"/>
      <c r="S86" s="57"/>
      <c r="T86" s="57"/>
      <c r="U86" s="57"/>
      <c r="V86" s="57"/>
      <c r="W86" s="57"/>
    </row>
    <row r="87" spans="1:23" s="77" customFormat="1" x14ac:dyDescent="0.25">
      <c r="A87" s="527"/>
      <c r="B87" s="527" t="s">
        <v>96</v>
      </c>
      <c r="C87" s="527">
        <v>87</v>
      </c>
      <c r="D87" s="552">
        <v>236.34459685213599</v>
      </c>
      <c r="E87" s="552">
        <v>308.222414857008</v>
      </c>
      <c r="F87" s="552">
        <v>342.55945858308002</v>
      </c>
      <c r="G87" s="552">
        <v>340.17207757123799</v>
      </c>
      <c r="H87" s="552">
        <v>282.54989542541898</v>
      </c>
      <c r="I87" s="550">
        <v>289.17157697438398</v>
      </c>
      <c r="J87" s="550">
        <v>266.02591885252798</v>
      </c>
      <c r="K87" s="550">
        <v>211.104830229112</v>
      </c>
      <c r="L87" s="550">
        <v>0</v>
      </c>
      <c r="M87" s="550">
        <v>0</v>
      </c>
      <c r="N87" s="550">
        <v>0</v>
      </c>
      <c r="O87" s="550">
        <v>0</v>
      </c>
      <c r="P87" s="531"/>
      <c r="Q87" s="78"/>
      <c r="R87" s="58"/>
      <c r="S87" s="58"/>
      <c r="T87" s="57"/>
      <c r="U87" s="57"/>
      <c r="V87" s="57"/>
      <c r="W87" s="57"/>
    </row>
    <row r="88" spans="1:23" s="77" customFormat="1" x14ac:dyDescent="0.25">
      <c r="A88" s="527"/>
      <c r="B88" s="527" t="s">
        <v>78</v>
      </c>
      <c r="C88" s="527">
        <v>31</v>
      </c>
      <c r="D88" s="550">
        <v>0.99213896453808204</v>
      </c>
      <c r="E88" s="550">
        <v>1.0643316809975201</v>
      </c>
      <c r="F88" s="550">
        <v>1.16985062870156</v>
      </c>
      <c r="G88" s="550">
        <v>1.1922257826991101</v>
      </c>
      <c r="H88" s="550">
        <v>1.1630142763487701</v>
      </c>
      <c r="I88" s="550">
        <v>1.12972332806593</v>
      </c>
      <c r="J88" s="550">
        <v>0.92419009094259097</v>
      </c>
      <c r="K88" s="550">
        <v>0.95195005544236599</v>
      </c>
      <c r="L88" s="550">
        <v>1.1539850497926201</v>
      </c>
      <c r="M88" s="550">
        <v>2.7784539380236302</v>
      </c>
      <c r="N88" s="550">
        <v>0</v>
      </c>
      <c r="O88" s="550">
        <v>1.4486436297861101</v>
      </c>
      <c r="P88" s="531"/>
      <c r="Q88" s="78"/>
      <c r="R88" s="57"/>
      <c r="S88" s="57"/>
      <c r="T88" s="57"/>
      <c r="U88" s="57"/>
      <c r="V88" s="57"/>
      <c r="W88" s="57"/>
    </row>
    <row r="89" spans="1:23" s="77" customFormat="1" x14ac:dyDescent="0.25">
      <c r="A89" s="527"/>
      <c r="B89" s="527" t="s">
        <v>79</v>
      </c>
      <c r="C89" s="527">
        <v>41</v>
      </c>
      <c r="D89" s="550">
        <v>4.2002843231634799</v>
      </c>
      <c r="E89" s="550">
        <v>3.7318845606478099</v>
      </c>
      <c r="F89" s="550">
        <v>3.5905805967619702</v>
      </c>
      <c r="G89" s="550">
        <v>4.1389641974408802</v>
      </c>
      <c r="H89" s="550">
        <v>3.4283752055271601</v>
      </c>
      <c r="I89" s="550">
        <v>4.8834918941554601</v>
      </c>
      <c r="J89" s="550">
        <v>3.4681799480439901</v>
      </c>
      <c r="K89" s="550">
        <v>2.94882880163712</v>
      </c>
      <c r="L89" s="550">
        <v>0</v>
      </c>
      <c r="M89" s="550">
        <v>0</v>
      </c>
      <c r="N89" s="550">
        <v>0</v>
      </c>
      <c r="O89" s="550">
        <v>0</v>
      </c>
      <c r="P89" s="531"/>
      <c r="Q89" s="78"/>
      <c r="R89" s="57"/>
      <c r="S89" s="57"/>
      <c r="T89" s="57"/>
      <c r="U89" s="57"/>
      <c r="V89" s="57"/>
      <c r="W89" s="57"/>
    </row>
    <row r="90" spans="1:23" s="76" customFormat="1" ht="14.4" x14ac:dyDescent="0.3">
      <c r="A90" s="535"/>
      <c r="B90" s="547"/>
      <c r="C90" s="536" t="s">
        <v>146</v>
      </c>
      <c r="D90" s="553">
        <v>284.05166719504302</v>
      </c>
      <c r="E90" s="553">
        <v>319.83670764843401</v>
      </c>
      <c r="F90" s="553">
        <v>309.54119068570498</v>
      </c>
      <c r="G90" s="553">
        <v>361.59327765218001</v>
      </c>
      <c r="H90" s="553">
        <v>344.79606324158198</v>
      </c>
      <c r="I90" s="554">
        <v>343.32070454138801</v>
      </c>
      <c r="J90" s="554">
        <v>304.205345224192</v>
      </c>
      <c r="K90" s="554">
        <v>268.505457860332</v>
      </c>
      <c r="L90" s="554">
        <v>243.052668978344</v>
      </c>
      <c r="M90" s="550">
        <v>0</v>
      </c>
      <c r="N90" s="550">
        <v>0</v>
      </c>
      <c r="O90" s="550">
        <v>177.03682704027199</v>
      </c>
      <c r="P90" s="538"/>
      <c r="Q90" s="73"/>
      <c r="R90" s="59"/>
      <c r="S90" s="59"/>
      <c r="T90" s="60"/>
      <c r="U90" s="60"/>
      <c r="V90" s="60"/>
      <c r="W90" s="60"/>
    </row>
    <row r="91" spans="1:23" x14ac:dyDescent="0.25">
      <c r="A91" s="515"/>
      <c r="B91" s="515"/>
      <c r="C91" s="533"/>
      <c r="D91" s="540"/>
      <c r="E91" s="540"/>
      <c r="F91" s="540"/>
      <c r="G91" s="540"/>
      <c r="H91" s="540"/>
      <c r="I91" s="540"/>
      <c r="J91" s="540"/>
      <c r="K91" s="540"/>
      <c r="L91" s="540"/>
      <c r="M91" s="540"/>
      <c r="N91" s="540"/>
      <c r="O91" s="540"/>
      <c r="P91" s="540"/>
      <c r="Q91" s="81"/>
    </row>
    <row r="92" spans="1:23" x14ac:dyDescent="0.25">
      <c r="A92" s="515"/>
      <c r="B92" s="524" t="s">
        <v>103</v>
      </c>
      <c r="C92" s="533"/>
      <c r="D92" s="540"/>
      <c r="E92" s="540"/>
      <c r="F92" s="540"/>
      <c r="G92" s="540"/>
      <c r="H92" s="540"/>
      <c r="I92" s="540"/>
      <c r="J92" s="540"/>
      <c r="K92" s="540"/>
      <c r="L92" s="540"/>
      <c r="M92" s="540"/>
      <c r="N92" s="540"/>
      <c r="O92" s="540"/>
      <c r="P92" s="540"/>
      <c r="Q92" s="81"/>
    </row>
    <row r="93" spans="1:23" x14ac:dyDescent="0.25">
      <c r="A93" s="515"/>
      <c r="B93" s="515" t="s">
        <v>0</v>
      </c>
      <c r="C93" s="533">
        <v>23</v>
      </c>
      <c r="D93" s="540">
        <f t="shared" ref="D93:O95" si="13">D60+D79*(-D$76)</f>
        <v>58.5312045859745</v>
      </c>
      <c r="E93" s="540">
        <f t="shared" si="13"/>
        <v>85.863798621936297</v>
      </c>
      <c r="F93" s="540">
        <f t="shared" si="13"/>
        <v>129.55792098641547</v>
      </c>
      <c r="G93" s="540">
        <f t="shared" si="13"/>
        <v>122.83698896364574</v>
      </c>
      <c r="H93" s="540">
        <f t="shared" si="13"/>
        <v>102.38211341561524</v>
      </c>
      <c r="I93" s="540">
        <f t="shared" si="13"/>
        <v>87.998087037421541</v>
      </c>
      <c r="J93" s="540">
        <f t="shared" si="13"/>
        <v>60.762535997282114</v>
      </c>
      <c r="K93" s="540">
        <f t="shared" si="13"/>
        <v>39.899769182361226</v>
      </c>
      <c r="L93" s="540">
        <f t="shared" si="13"/>
        <v>25.989955793055408</v>
      </c>
      <c r="M93" s="540">
        <f t="shared" si="13"/>
        <v>20.280978698560173</v>
      </c>
      <c r="N93" s="540">
        <f t="shared" si="13"/>
        <v>17.927603194610626</v>
      </c>
      <c r="O93" s="540">
        <f t="shared" si="13"/>
        <v>25.7812630835455</v>
      </c>
      <c r="P93" s="540">
        <f t="shared" ref="P93:P104" si="14">SUM(D93:O93)</f>
        <v>777.81221956042373</v>
      </c>
      <c r="Q93" s="81"/>
    </row>
    <row r="94" spans="1:23" x14ac:dyDescent="0.25">
      <c r="A94" s="515"/>
      <c r="B94" s="528" t="s">
        <v>73</v>
      </c>
      <c r="C94" s="533">
        <v>31</v>
      </c>
      <c r="D94" s="540">
        <f t="shared" si="13"/>
        <v>270.5579652708085</v>
      </c>
      <c r="E94" s="540">
        <f t="shared" si="13"/>
        <v>383.60353509763866</v>
      </c>
      <c r="F94" s="540">
        <f t="shared" si="13"/>
        <v>566.40289733334714</v>
      </c>
      <c r="G94" s="540">
        <f t="shared" si="13"/>
        <v>550.87805265629652</v>
      </c>
      <c r="H94" s="540">
        <f t="shared" si="13"/>
        <v>456.45807891694488</v>
      </c>
      <c r="I94" s="540">
        <f t="shared" si="13"/>
        <v>404.37823496226059</v>
      </c>
      <c r="J94" s="540">
        <f t="shared" si="13"/>
        <v>288.59831397695257</v>
      </c>
      <c r="K94" s="540">
        <f t="shared" si="13"/>
        <v>213.62362732699262</v>
      </c>
      <c r="L94" s="540">
        <f t="shared" si="13"/>
        <v>163.74124408993083</v>
      </c>
      <c r="M94" s="540">
        <f t="shared" si="13"/>
        <v>142.9515118054521</v>
      </c>
      <c r="N94" s="540">
        <f t="shared" si="13"/>
        <v>139.38836294184509</v>
      </c>
      <c r="O94" s="540">
        <f t="shared" si="13"/>
        <v>162.34583660883754</v>
      </c>
      <c r="P94" s="540">
        <f t="shared" si="14"/>
        <v>3742.9276609873068</v>
      </c>
      <c r="Q94" s="81"/>
    </row>
    <row r="95" spans="1:23" x14ac:dyDescent="0.25">
      <c r="A95" s="515"/>
      <c r="B95" s="528" t="s">
        <v>74</v>
      </c>
      <c r="C95" s="527">
        <v>41</v>
      </c>
      <c r="D95" s="540">
        <f t="shared" si="13"/>
        <v>3394.9463801652569</v>
      </c>
      <c r="E95" s="540">
        <f t="shared" si="13"/>
        <v>4329.2283428231704</v>
      </c>
      <c r="F95" s="540">
        <f t="shared" si="13"/>
        <v>5574.6348091516893</v>
      </c>
      <c r="G95" s="540">
        <f t="shared" si="13"/>
        <v>5516.7350213307045</v>
      </c>
      <c r="H95" s="540">
        <f t="shared" si="13"/>
        <v>4765.164034007038</v>
      </c>
      <c r="I95" s="540">
        <f t="shared" si="13"/>
        <v>4564.3867919649347</v>
      </c>
      <c r="J95" s="540">
        <f t="shared" si="13"/>
        <v>3557.5998066810967</v>
      </c>
      <c r="K95" s="540">
        <f t="shared" si="13"/>
        <v>2912.150718925986</v>
      </c>
      <c r="L95" s="540">
        <f t="shared" si="13"/>
        <v>2305.6082373791692</v>
      </c>
      <c r="M95" s="540">
        <f t="shared" si="13"/>
        <v>1957.5671283255087</v>
      </c>
      <c r="N95" s="540">
        <f t="shared" si="13"/>
        <v>1895.9547163947166</v>
      </c>
      <c r="O95" s="540">
        <f t="shared" si="13"/>
        <v>2244.5760059909499</v>
      </c>
      <c r="P95" s="540">
        <f t="shared" si="14"/>
        <v>43018.551993140216</v>
      </c>
      <c r="Q95" s="81"/>
    </row>
    <row r="96" spans="1:23" x14ac:dyDescent="0.25">
      <c r="A96" s="515"/>
      <c r="B96" s="515" t="s">
        <v>83</v>
      </c>
      <c r="C96" s="533" t="s">
        <v>62</v>
      </c>
      <c r="D96" s="540">
        <f t="shared" ref="D96:O102" si="15">D64+D82*(-D$76)</f>
        <v>11829.471022708383</v>
      </c>
      <c r="E96" s="540">
        <f t="shared" si="15"/>
        <v>13635.407222207847</v>
      </c>
      <c r="F96" s="540">
        <f t="shared" si="15"/>
        <v>14833.195112047108</v>
      </c>
      <c r="G96" s="540">
        <f t="shared" si="15"/>
        <v>14833.11055921912</v>
      </c>
      <c r="H96" s="540">
        <f t="shared" si="15"/>
        <v>13415.773052156876</v>
      </c>
      <c r="I96" s="540">
        <f t="shared" si="15"/>
        <v>14344.371038039406</v>
      </c>
      <c r="J96" s="540">
        <f t="shared" si="15"/>
        <v>12439.227123271477</v>
      </c>
      <c r="K96" s="540">
        <f t="shared" si="15"/>
        <v>11617.99521765469</v>
      </c>
      <c r="L96" s="540">
        <f t="shared" si="15"/>
        <v>11145.826714285717</v>
      </c>
      <c r="M96" s="540">
        <f t="shared" si="15"/>
        <v>10269.868714285714</v>
      </c>
      <c r="N96" s="540">
        <f t="shared" si="15"/>
        <v>10846.274857142856</v>
      </c>
      <c r="O96" s="540">
        <f t="shared" si="15"/>
        <v>10550.975857142857</v>
      </c>
      <c r="P96" s="540">
        <f t="shared" si="14"/>
        <v>149761.49649016207</v>
      </c>
      <c r="Q96" s="81"/>
    </row>
    <row r="97" spans="1:17" x14ac:dyDescent="0.25">
      <c r="A97" s="515"/>
      <c r="B97" s="515" t="s">
        <v>84</v>
      </c>
      <c r="C97" s="533" t="s">
        <v>63</v>
      </c>
      <c r="D97" s="540">
        <f t="shared" si="15"/>
        <v>52784.352156615911</v>
      </c>
      <c r="E97" s="540">
        <f t="shared" si="15"/>
        <v>58648.688148418019</v>
      </c>
      <c r="F97" s="540">
        <f t="shared" si="15"/>
        <v>65446.887967726216</v>
      </c>
      <c r="G97" s="540">
        <f t="shared" si="15"/>
        <v>63832.001118373628</v>
      </c>
      <c r="H97" s="540">
        <f t="shared" si="15"/>
        <v>57124.277433871903</v>
      </c>
      <c r="I97" s="540">
        <f t="shared" si="15"/>
        <v>60380.68383842257</v>
      </c>
      <c r="J97" s="540">
        <f t="shared" si="15"/>
        <v>54663.480574667621</v>
      </c>
      <c r="K97" s="540">
        <f t="shared" si="15"/>
        <v>54818.946820679426</v>
      </c>
      <c r="L97" s="540">
        <f t="shared" si="15"/>
        <v>49771.586243551574</v>
      </c>
      <c r="M97" s="540">
        <f t="shared" si="15"/>
        <v>47227.510857142857</v>
      </c>
      <c r="N97" s="540">
        <f t="shared" si="15"/>
        <v>48606.160571428576</v>
      </c>
      <c r="O97" s="540">
        <f t="shared" si="15"/>
        <v>50001.273142857142</v>
      </c>
      <c r="P97" s="540">
        <f t="shared" si="14"/>
        <v>663305.84887375543</v>
      </c>
      <c r="Q97" s="81"/>
    </row>
    <row r="98" spans="1:17" x14ac:dyDescent="0.25">
      <c r="A98" s="515"/>
      <c r="B98" s="515" t="s">
        <v>85</v>
      </c>
      <c r="C98" s="533" t="s">
        <v>65</v>
      </c>
      <c r="D98" s="540">
        <f t="shared" si="15"/>
        <v>518168.35857084231</v>
      </c>
      <c r="E98" s="540">
        <f t="shared" si="15"/>
        <v>609490.52610393194</v>
      </c>
      <c r="F98" s="540">
        <f t="shared" si="15"/>
        <v>750657.3495814132</v>
      </c>
      <c r="G98" s="540">
        <f t="shared" si="15"/>
        <v>721100.3217847629</v>
      </c>
      <c r="H98" s="540">
        <f t="shared" si="15"/>
        <v>666190.04943515116</v>
      </c>
      <c r="I98" s="540">
        <f t="shared" si="15"/>
        <v>653849.61772395822</v>
      </c>
      <c r="J98" s="540">
        <f t="shared" si="15"/>
        <v>533617.9727071533</v>
      </c>
      <c r="K98" s="540">
        <f t="shared" si="15"/>
        <v>478332.49513721687</v>
      </c>
      <c r="L98" s="540">
        <f t="shared" si="15"/>
        <v>383915.46666666662</v>
      </c>
      <c r="M98" s="540">
        <f t="shared" si="15"/>
        <v>363874.89666666667</v>
      </c>
      <c r="N98" s="540">
        <f t="shared" si="15"/>
        <v>351315.84</v>
      </c>
      <c r="O98" s="540">
        <f t="shared" si="15"/>
        <v>365387.04666666669</v>
      </c>
      <c r="P98" s="540">
        <f t="shared" si="14"/>
        <v>6395899.9410444293</v>
      </c>
      <c r="Q98" s="81"/>
    </row>
    <row r="99" spans="1:17" x14ac:dyDescent="0.25">
      <c r="A99" s="515"/>
      <c r="B99" s="515" t="s">
        <v>75</v>
      </c>
      <c r="C99" s="515">
        <v>85</v>
      </c>
      <c r="D99" s="540">
        <f t="shared" si="15"/>
        <v>45129.068225256065</v>
      </c>
      <c r="E99" s="540">
        <f t="shared" si="15"/>
        <v>55155.179792286581</v>
      </c>
      <c r="F99" s="540">
        <f t="shared" si="15"/>
        <v>73238.349587724428</v>
      </c>
      <c r="G99" s="540">
        <f t="shared" si="15"/>
        <v>71869.295212191879</v>
      </c>
      <c r="H99" s="540">
        <f t="shared" si="15"/>
        <v>65282.317360068169</v>
      </c>
      <c r="I99" s="540">
        <f t="shared" si="15"/>
        <v>63839.489579692723</v>
      </c>
      <c r="J99" s="540">
        <f t="shared" si="15"/>
        <v>50439.349621389352</v>
      </c>
      <c r="K99" s="540">
        <f t="shared" si="15"/>
        <v>40328.306008156454</v>
      </c>
      <c r="L99" s="540">
        <f t="shared" si="15"/>
        <v>28611.243006104</v>
      </c>
      <c r="M99" s="540">
        <f t="shared" si="15"/>
        <v>27360.807639999999</v>
      </c>
      <c r="N99" s="540">
        <f t="shared" si="15"/>
        <v>26287.232360000002</v>
      </c>
      <c r="O99" s="540">
        <f t="shared" si="15"/>
        <v>22196.284</v>
      </c>
      <c r="P99" s="540">
        <f t="shared" si="14"/>
        <v>569736.9223928696</v>
      </c>
      <c r="Q99" s="81"/>
    </row>
    <row r="100" spans="1:17" x14ac:dyDescent="0.25">
      <c r="A100" s="515"/>
      <c r="B100" s="515" t="s">
        <v>76</v>
      </c>
      <c r="C100" s="515">
        <v>86</v>
      </c>
      <c r="D100" s="540">
        <f t="shared" si="15"/>
        <v>2999.441340767763</v>
      </c>
      <c r="E100" s="540">
        <f t="shared" si="15"/>
        <v>3928.5356369879041</v>
      </c>
      <c r="F100" s="540">
        <f t="shared" si="15"/>
        <v>5459.5099959315967</v>
      </c>
      <c r="G100" s="540">
        <f t="shared" si="15"/>
        <v>5458.0162399119672</v>
      </c>
      <c r="H100" s="540">
        <f t="shared" si="15"/>
        <v>4787.217617869419</v>
      </c>
      <c r="I100" s="540">
        <f t="shared" si="15"/>
        <v>4408.4245339713707</v>
      </c>
      <c r="J100" s="540">
        <f t="shared" si="15"/>
        <v>3277.3493971134762</v>
      </c>
      <c r="K100" s="540">
        <f t="shared" si="15"/>
        <v>2296.132851041174</v>
      </c>
      <c r="L100" s="540">
        <f t="shared" si="15"/>
        <v>1399.4586456754146</v>
      </c>
      <c r="M100" s="540">
        <f t="shared" si="15"/>
        <v>893.02999156118142</v>
      </c>
      <c r="N100" s="540">
        <f t="shared" si="15"/>
        <v>854.71952991452986</v>
      </c>
      <c r="O100" s="540">
        <f t="shared" si="15"/>
        <v>1320.6078519321218</v>
      </c>
      <c r="P100" s="540">
        <f t="shared" si="14"/>
        <v>37082.443632677925</v>
      </c>
      <c r="Q100" s="81"/>
    </row>
    <row r="101" spans="1:17" x14ac:dyDescent="0.25">
      <c r="A101" s="515"/>
      <c r="B101" s="527" t="s">
        <v>96</v>
      </c>
      <c r="C101" s="527">
        <v>87</v>
      </c>
      <c r="D101" s="540">
        <f t="shared" si="15"/>
        <v>356601.10397946317</v>
      </c>
      <c r="E101" s="540">
        <f t="shared" si="15"/>
        <v>433957.68778757198</v>
      </c>
      <c r="F101" s="540">
        <f t="shared" si="15"/>
        <v>526993.28405628435</v>
      </c>
      <c r="G101" s="540">
        <f t="shared" si="15"/>
        <v>553479.31497493875</v>
      </c>
      <c r="H101" s="540">
        <f t="shared" si="15"/>
        <v>471659.55102347303</v>
      </c>
      <c r="I101" s="540">
        <f t="shared" si="15"/>
        <v>461461.75554756168</v>
      </c>
      <c r="J101" s="540">
        <f t="shared" si="15"/>
        <v>394887.72366049537</v>
      </c>
      <c r="K101" s="540">
        <f t="shared" si="15"/>
        <v>338119.13420068525</v>
      </c>
      <c r="L101" s="540">
        <f t="shared" si="15"/>
        <v>274425.27379999997</v>
      </c>
      <c r="M101" s="540">
        <f t="shared" si="15"/>
        <v>272933.89839999995</v>
      </c>
      <c r="N101" s="540">
        <f t="shared" si="15"/>
        <v>267817.60680000001</v>
      </c>
      <c r="O101" s="540">
        <f t="shared" si="15"/>
        <v>289111.91700000002</v>
      </c>
      <c r="P101" s="540">
        <f t="shared" si="14"/>
        <v>4641448.2512304736</v>
      </c>
      <c r="Q101" s="81"/>
    </row>
    <row r="102" spans="1:17" x14ac:dyDescent="0.25">
      <c r="A102" s="515"/>
      <c r="B102" s="515" t="s">
        <v>78</v>
      </c>
      <c r="C102" s="515">
        <v>31</v>
      </c>
      <c r="D102" s="540">
        <f t="shared" si="15"/>
        <v>471.91748816501274</v>
      </c>
      <c r="E102" s="540">
        <f t="shared" si="15"/>
        <v>586.38548947657728</v>
      </c>
      <c r="F102" s="540">
        <f t="shared" si="15"/>
        <v>954.97143243062271</v>
      </c>
      <c r="G102" s="540">
        <f t="shared" si="15"/>
        <v>944.96855192943576</v>
      </c>
      <c r="H102" s="540">
        <f t="shared" si="15"/>
        <v>799.65706864093477</v>
      </c>
      <c r="I102" s="540">
        <f t="shared" si="15"/>
        <v>688.76515190453085</v>
      </c>
      <c r="J102" s="540">
        <f t="shared" si="15"/>
        <v>507.4572334964343</v>
      </c>
      <c r="K102" s="540">
        <f t="shared" si="15"/>
        <v>347.00737294864751</v>
      </c>
      <c r="L102" s="540">
        <f t="shared" si="15"/>
        <v>243.87021217202897</v>
      </c>
      <c r="M102" s="540">
        <f t="shared" si="15"/>
        <v>262.87314986165211</v>
      </c>
      <c r="N102" s="540">
        <f t="shared" si="15"/>
        <v>186.80011198600175</v>
      </c>
      <c r="O102" s="540">
        <f t="shared" si="15"/>
        <v>229.37281408174633</v>
      </c>
      <c r="P102" s="540">
        <f t="shared" si="14"/>
        <v>6224.0460770936252</v>
      </c>
      <c r="Q102" s="81"/>
    </row>
    <row r="103" spans="1:17" x14ac:dyDescent="0.25">
      <c r="A103" s="515"/>
      <c r="B103" s="527" t="s">
        <v>79</v>
      </c>
      <c r="C103" s="527">
        <v>41</v>
      </c>
      <c r="D103" s="540">
        <f t="shared" ref="D103:O103" si="16">D63+D89*(-D$76)</f>
        <v>12163.7676793436</v>
      </c>
      <c r="E103" s="540">
        <f t="shared" si="16"/>
        <v>12756.072182772501</v>
      </c>
      <c r="F103" s="540">
        <f t="shared" si="16"/>
        <v>12951.852691888818</v>
      </c>
      <c r="G103" s="540">
        <f t="shared" si="16"/>
        <v>13190.270113450917</v>
      </c>
      <c r="H103" s="540">
        <f t="shared" si="16"/>
        <v>11892.933889208078</v>
      </c>
      <c r="I103" s="540">
        <f t="shared" si="16"/>
        <v>12568.836180673681</v>
      </c>
      <c r="J103" s="540">
        <f t="shared" si="16"/>
        <v>11193.785608249716</v>
      </c>
      <c r="K103" s="540">
        <f t="shared" si="16"/>
        <v>10101.846878949662</v>
      </c>
      <c r="L103" s="540">
        <f t="shared" si="16"/>
        <v>8946.9265952380956</v>
      </c>
      <c r="M103" s="540">
        <f t="shared" si="16"/>
        <v>8650.7762619047626</v>
      </c>
      <c r="N103" s="540">
        <f t="shared" si="16"/>
        <v>9087.4326265060245</v>
      </c>
      <c r="O103" s="540">
        <f t="shared" si="16"/>
        <v>9307.3037469879528</v>
      </c>
      <c r="P103" s="540">
        <f t="shared" si="14"/>
        <v>132811.80445517381</v>
      </c>
      <c r="Q103" s="81"/>
    </row>
    <row r="104" spans="1:17" s="69" customFormat="1" ht="14.4" x14ac:dyDescent="0.3">
      <c r="A104" s="546"/>
      <c r="B104" s="535" t="s">
        <v>90</v>
      </c>
      <c r="C104" s="547" t="s">
        <v>146</v>
      </c>
      <c r="D104" s="548">
        <f t="shared" ref="D104:O104" si="17">D71+D90*(-D$76)</f>
        <v>296036.34231745766</v>
      </c>
      <c r="E104" s="548">
        <f t="shared" si="17"/>
        <v>365924.04380761128</v>
      </c>
      <c r="F104" s="548">
        <f t="shared" si="17"/>
        <v>414003.93961633835</v>
      </c>
      <c r="G104" s="548">
        <f t="shared" si="17"/>
        <v>425428.24897181563</v>
      </c>
      <c r="H104" s="548">
        <f t="shared" si="17"/>
        <v>383527.26831158804</v>
      </c>
      <c r="I104" s="548">
        <f>I71+I90*(-I$76)</f>
        <v>395884.9747502149</v>
      </c>
      <c r="J104" s="548">
        <f t="shared" si="17"/>
        <v>321609.12117320398</v>
      </c>
      <c r="K104" s="548">
        <f t="shared" si="17"/>
        <v>270347.19384583726</v>
      </c>
      <c r="L104" s="548">
        <f t="shared" si="17"/>
        <v>226055.42958159454</v>
      </c>
      <c r="M104" s="548">
        <f t="shared" si="17"/>
        <v>195614.37000000002</v>
      </c>
      <c r="N104" s="548">
        <f t="shared" si="17"/>
        <v>184561.05</v>
      </c>
      <c r="O104" s="548">
        <f t="shared" si="17"/>
        <v>200763.99131223961</v>
      </c>
      <c r="P104" s="548">
        <f t="shared" si="14"/>
        <v>3679755.9736879016</v>
      </c>
      <c r="Q104" s="71"/>
    </row>
    <row r="105" spans="1:17" x14ac:dyDescent="0.25">
      <c r="A105" s="515"/>
      <c r="B105" s="515"/>
      <c r="C105" s="533"/>
      <c r="D105" s="540"/>
      <c r="E105" s="540"/>
      <c r="F105" s="540"/>
      <c r="G105" s="540"/>
      <c r="H105" s="540"/>
      <c r="I105" s="540"/>
      <c r="J105" s="540"/>
      <c r="K105" s="540"/>
      <c r="L105" s="540"/>
      <c r="M105" s="540"/>
      <c r="N105" s="540"/>
      <c r="O105" s="540"/>
      <c r="P105" s="540"/>
      <c r="Q105" s="81"/>
    </row>
    <row r="106" spans="1:17" x14ac:dyDescent="0.25">
      <c r="A106" s="515"/>
      <c r="B106" s="524" t="s">
        <v>104</v>
      </c>
      <c r="C106" s="533"/>
      <c r="D106" s="540"/>
      <c r="E106" s="540"/>
      <c r="F106" s="540"/>
      <c r="G106" s="540"/>
      <c r="H106" s="540"/>
      <c r="I106" s="540"/>
      <c r="J106" s="540"/>
      <c r="K106" s="540"/>
      <c r="L106" s="540"/>
      <c r="M106" s="540"/>
      <c r="N106" s="540"/>
      <c r="O106" s="540"/>
      <c r="P106" s="540"/>
      <c r="Q106" s="81"/>
    </row>
    <row r="107" spans="1:17" x14ac:dyDescent="0.25">
      <c r="A107" s="515"/>
      <c r="B107" s="515" t="s">
        <v>0</v>
      </c>
      <c r="C107" s="533">
        <v>23</v>
      </c>
      <c r="D107" s="540">
        <f t="shared" ref="D107:O107" si="18">D93*D36</f>
        <v>43215988.125212997</v>
      </c>
      <c r="E107" s="540">
        <f t="shared" si="18"/>
        <v>63567288.442382231</v>
      </c>
      <c r="F107" s="540">
        <f t="shared" si="18"/>
        <v>96195201.637361646</v>
      </c>
      <c r="G107" s="540">
        <f t="shared" si="18"/>
        <v>91401283.770003304</v>
      </c>
      <c r="H107" s="540">
        <f t="shared" si="18"/>
        <v>76270374.445869893</v>
      </c>
      <c r="I107" s="540">
        <f t="shared" si="18"/>
        <v>65637773.121212728</v>
      </c>
      <c r="J107" s="540">
        <f t="shared" si="18"/>
        <v>45334624.294892199</v>
      </c>
      <c r="K107" s="540">
        <f t="shared" si="18"/>
        <v>29863062.044076625</v>
      </c>
      <c r="L107" s="540">
        <f t="shared" si="18"/>
        <v>19479991.66601089</v>
      </c>
      <c r="M107" s="540">
        <f t="shared" si="18"/>
        <v>15206495.299372131</v>
      </c>
      <c r="N107" s="540">
        <f t="shared" si="18"/>
        <v>13454917.183999998</v>
      </c>
      <c r="O107" s="540">
        <f t="shared" si="18"/>
        <v>19375676.23907087</v>
      </c>
      <c r="P107" s="540">
        <f t="shared" ref="P107:P118" si="19">SUM(D107:O107)</f>
        <v>579002676.26946557</v>
      </c>
      <c r="Q107" s="81"/>
    </row>
    <row r="108" spans="1:17" x14ac:dyDescent="0.25">
      <c r="A108" s="515"/>
      <c r="B108" s="528" t="s">
        <v>73</v>
      </c>
      <c r="C108" s="533">
        <v>31</v>
      </c>
      <c r="D108" s="540">
        <f t="shared" ref="D108:O109" si="20">D94*D38</f>
        <v>14408293.882531635</v>
      </c>
      <c r="E108" s="540">
        <f t="shared" si="20"/>
        <v>20482127.15300332</v>
      </c>
      <c r="F108" s="540">
        <f t="shared" si="20"/>
        <v>30312750.259486072</v>
      </c>
      <c r="G108" s="540">
        <f t="shared" si="20"/>
        <v>29536979.427325308</v>
      </c>
      <c r="H108" s="540">
        <f t="shared" si="20"/>
        <v>24486237.185420591</v>
      </c>
      <c r="I108" s="540">
        <f t="shared" si="20"/>
        <v>21711876.191593695</v>
      </c>
      <c r="J108" s="540">
        <f t="shared" si="20"/>
        <v>15468869.629164658</v>
      </c>
      <c r="K108" s="540">
        <f t="shared" si="20"/>
        <v>11471802.411086831</v>
      </c>
      <c r="L108" s="540">
        <f t="shared" si="20"/>
        <v>8796179.6325110849</v>
      </c>
      <c r="M108" s="540">
        <f t="shared" si="20"/>
        <v>7677067.9899999993</v>
      </c>
      <c r="N108" s="540">
        <f t="shared" si="20"/>
        <v>7480555.2740000002</v>
      </c>
      <c r="O108" s="540">
        <f t="shared" si="20"/>
        <v>8718620.8092410117</v>
      </c>
      <c r="P108" s="540">
        <f t="shared" si="19"/>
        <v>200551359.84536421</v>
      </c>
      <c r="Q108" s="81"/>
    </row>
    <row r="109" spans="1:17" x14ac:dyDescent="0.25">
      <c r="A109" s="515"/>
      <c r="B109" s="528" t="s">
        <v>74</v>
      </c>
      <c r="C109" s="527">
        <v>41</v>
      </c>
      <c r="D109" s="540">
        <f t="shared" si="20"/>
        <v>4257262.7607272323</v>
      </c>
      <c r="E109" s="540">
        <f t="shared" si="20"/>
        <v>5450498.4836143712</v>
      </c>
      <c r="F109" s="540">
        <f t="shared" si="20"/>
        <v>7163405.7297599204</v>
      </c>
      <c r="G109" s="540">
        <f t="shared" si="20"/>
        <v>7072454.2973459633</v>
      </c>
      <c r="H109" s="540">
        <f t="shared" si="20"/>
        <v>6142296.4398350716</v>
      </c>
      <c r="I109" s="540">
        <f t="shared" si="20"/>
        <v>5865237.0276749413</v>
      </c>
      <c r="J109" s="540">
        <f t="shared" si="20"/>
        <v>4560842.9521651659</v>
      </c>
      <c r="K109" s="540">
        <f t="shared" si="20"/>
        <v>3739201.5231009661</v>
      </c>
      <c r="L109" s="540">
        <f t="shared" si="20"/>
        <v>2958095.3685574741</v>
      </c>
      <c r="M109" s="540">
        <f t="shared" si="20"/>
        <v>2501770.79</v>
      </c>
      <c r="N109" s="540">
        <f t="shared" si="20"/>
        <v>2440093.7200000002</v>
      </c>
      <c r="O109" s="540">
        <f t="shared" si="20"/>
        <v>2882035.5916923797</v>
      </c>
      <c r="P109" s="540">
        <f t="shared" si="19"/>
        <v>55033194.684473485</v>
      </c>
      <c r="Q109" s="81"/>
    </row>
    <row r="110" spans="1:17" x14ac:dyDescent="0.25">
      <c r="A110" s="515"/>
      <c r="B110" s="515" t="s">
        <v>83</v>
      </c>
      <c r="C110" s="533" t="s">
        <v>62</v>
      </c>
      <c r="D110" s="540">
        <f t="shared" ref="D110:O112" si="21">D96*D49</f>
        <v>804404.02954417001</v>
      </c>
      <c r="E110" s="540">
        <f t="shared" si="21"/>
        <v>927207.69111013354</v>
      </c>
      <c r="F110" s="540">
        <f t="shared" si="21"/>
        <v>1023490.4627312504</v>
      </c>
      <c r="G110" s="540">
        <f t="shared" si="21"/>
        <v>1023484.6285861193</v>
      </c>
      <c r="H110" s="540">
        <f t="shared" si="21"/>
        <v>925688.34059882443</v>
      </c>
      <c r="I110" s="540">
        <f t="shared" si="21"/>
        <v>989761.60162471898</v>
      </c>
      <c r="J110" s="540">
        <f t="shared" si="21"/>
        <v>845867.44438246044</v>
      </c>
      <c r="K110" s="540">
        <f t="shared" si="21"/>
        <v>801641.67001817364</v>
      </c>
      <c r="L110" s="540">
        <f t="shared" si="21"/>
        <v>780207.87000000011</v>
      </c>
      <c r="M110" s="540">
        <f t="shared" si="21"/>
        <v>718890.81</v>
      </c>
      <c r="N110" s="540">
        <f t="shared" si="21"/>
        <v>759239.24</v>
      </c>
      <c r="O110" s="540">
        <f t="shared" si="21"/>
        <v>738568.31</v>
      </c>
      <c r="P110" s="540">
        <f t="shared" si="19"/>
        <v>10338452.098595852</v>
      </c>
      <c r="Q110" s="81"/>
    </row>
    <row r="111" spans="1:17" x14ac:dyDescent="0.25">
      <c r="A111" s="515"/>
      <c r="B111" s="515" t="s">
        <v>84</v>
      </c>
      <c r="C111" s="533" t="s">
        <v>63</v>
      </c>
      <c r="D111" s="540">
        <f t="shared" si="21"/>
        <v>2005805.3819514045</v>
      </c>
      <c r="E111" s="540">
        <f t="shared" si="21"/>
        <v>2170001.4614914665</v>
      </c>
      <c r="F111" s="540">
        <f t="shared" si="21"/>
        <v>2421534.85480587</v>
      </c>
      <c r="G111" s="540">
        <f t="shared" si="21"/>
        <v>2297952.0402614507</v>
      </c>
      <c r="H111" s="540">
        <f t="shared" si="21"/>
        <v>2056473.9876193884</v>
      </c>
      <c r="I111" s="540">
        <f t="shared" si="21"/>
        <v>2113323.9343447899</v>
      </c>
      <c r="J111" s="540">
        <f t="shared" si="21"/>
        <v>1913221.8201133667</v>
      </c>
      <c r="K111" s="540">
        <f t="shared" si="21"/>
        <v>1918663.1387237799</v>
      </c>
      <c r="L111" s="540">
        <f t="shared" si="21"/>
        <v>1742005.518524305</v>
      </c>
      <c r="M111" s="540">
        <f t="shared" si="21"/>
        <v>1652962.88</v>
      </c>
      <c r="N111" s="540">
        <f t="shared" si="21"/>
        <v>1701215.62</v>
      </c>
      <c r="O111" s="540">
        <f t="shared" si="21"/>
        <v>1750044.56</v>
      </c>
      <c r="P111" s="540">
        <f t="shared" si="19"/>
        <v>23743205.197835822</v>
      </c>
      <c r="Q111" s="81"/>
    </row>
    <row r="112" spans="1:17" x14ac:dyDescent="0.25">
      <c r="A112" s="515"/>
      <c r="B112" s="515" t="s">
        <v>85</v>
      </c>
      <c r="C112" s="533" t="s">
        <v>65</v>
      </c>
      <c r="D112" s="540">
        <f t="shared" si="21"/>
        <v>1554505.0757125269</v>
      </c>
      <c r="E112" s="540">
        <f t="shared" si="21"/>
        <v>1828471.5783117958</v>
      </c>
      <c r="F112" s="540">
        <f t="shared" si="21"/>
        <v>2251972.0487442398</v>
      </c>
      <c r="G112" s="540">
        <f t="shared" si="21"/>
        <v>2163300.9653542889</v>
      </c>
      <c r="H112" s="540">
        <f t="shared" si="21"/>
        <v>1998570.1483054534</v>
      </c>
      <c r="I112" s="540">
        <f t="shared" si="21"/>
        <v>1961548.8531718748</v>
      </c>
      <c r="J112" s="540">
        <f t="shared" si="21"/>
        <v>1600853.9181214599</v>
      </c>
      <c r="K112" s="540">
        <f t="shared" si="21"/>
        <v>1434997.4854116505</v>
      </c>
      <c r="L112" s="540">
        <f t="shared" si="21"/>
        <v>1151746.3999999999</v>
      </c>
      <c r="M112" s="540">
        <f t="shared" si="21"/>
        <v>1091624.69</v>
      </c>
      <c r="N112" s="540">
        <f t="shared" si="21"/>
        <v>1053947.52</v>
      </c>
      <c r="O112" s="540">
        <f t="shared" si="21"/>
        <v>1096161.1400000001</v>
      </c>
      <c r="P112" s="540">
        <f t="shared" si="19"/>
        <v>19187699.82313329</v>
      </c>
      <c r="Q112" s="81"/>
    </row>
    <row r="113" spans="1:17" x14ac:dyDescent="0.25">
      <c r="A113" s="515"/>
      <c r="B113" s="515" t="s">
        <v>75</v>
      </c>
      <c r="C113" s="515">
        <v>85</v>
      </c>
      <c r="D113" s="540">
        <f t="shared" ref="D113:O117" si="22">D99*D41</f>
        <v>1218484.8420819137</v>
      </c>
      <c r="E113" s="540">
        <f t="shared" si="22"/>
        <v>1489189.8543917376</v>
      </c>
      <c r="F113" s="540">
        <f t="shared" si="22"/>
        <v>1904197.0892808351</v>
      </c>
      <c r="G113" s="540">
        <f t="shared" si="22"/>
        <v>1940470.9707291806</v>
      </c>
      <c r="H113" s="540">
        <f t="shared" si="22"/>
        <v>1697340.2513617724</v>
      </c>
      <c r="I113" s="540">
        <f t="shared" si="22"/>
        <v>1659826.7290720108</v>
      </c>
      <c r="J113" s="540">
        <f t="shared" si="22"/>
        <v>1311423.090156123</v>
      </c>
      <c r="K113" s="540">
        <f t="shared" si="22"/>
        <v>1008207.6502039114</v>
      </c>
      <c r="L113" s="540">
        <f t="shared" si="22"/>
        <v>715281.07515259995</v>
      </c>
      <c r="M113" s="540">
        <f t="shared" si="22"/>
        <v>684020.19099999999</v>
      </c>
      <c r="N113" s="540">
        <f t="shared" si="22"/>
        <v>657180.80900000001</v>
      </c>
      <c r="O113" s="540">
        <f t="shared" si="22"/>
        <v>554907.1</v>
      </c>
      <c r="P113" s="540">
        <f t="shared" si="19"/>
        <v>14840529.652430085</v>
      </c>
      <c r="Q113" s="81"/>
    </row>
    <row r="114" spans="1:17" x14ac:dyDescent="0.25">
      <c r="A114" s="515"/>
      <c r="B114" s="515" t="s">
        <v>76</v>
      </c>
      <c r="C114" s="515">
        <v>86</v>
      </c>
      <c r="D114" s="540">
        <f t="shared" si="22"/>
        <v>743861.45251040522</v>
      </c>
      <c r="E114" s="540">
        <f t="shared" si="22"/>
        <v>966419.76669902436</v>
      </c>
      <c r="F114" s="540">
        <f t="shared" si="22"/>
        <v>1315741.9090195147</v>
      </c>
      <c r="G114" s="540">
        <f t="shared" si="22"/>
        <v>1309923.897578872</v>
      </c>
      <c r="H114" s="540">
        <f t="shared" si="22"/>
        <v>1144145.0106707911</v>
      </c>
      <c r="I114" s="540">
        <f t="shared" si="22"/>
        <v>1053613.4636191577</v>
      </c>
      <c r="J114" s="540">
        <f t="shared" si="22"/>
        <v>783286.50591012079</v>
      </c>
      <c r="K114" s="540">
        <f t="shared" si="22"/>
        <v>546479.61854779941</v>
      </c>
      <c r="L114" s="540">
        <f t="shared" si="22"/>
        <v>333071.15767074865</v>
      </c>
      <c r="M114" s="540">
        <f t="shared" si="22"/>
        <v>211648.10800000001</v>
      </c>
      <c r="N114" s="540">
        <f t="shared" si="22"/>
        <v>200004.37</v>
      </c>
      <c r="O114" s="540">
        <f t="shared" si="22"/>
        <v>306381.02164825227</v>
      </c>
      <c r="P114" s="540">
        <f t="shared" si="19"/>
        <v>8914576.2818746865</v>
      </c>
      <c r="Q114" s="81"/>
    </row>
    <row r="115" spans="1:17" x14ac:dyDescent="0.25">
      <c r="A115" s="515"/>
      <c r="B115" s="527" t="s">
        <v>96</v>
      </c>
      <c r="C115" s="527">
        <v>87</v>
      </c>
      <c r="D115" s="540">
        <f t="shared" si="22"/>
        <v>1783005.5198973159</v>
      </c>
      <c r="E115" s="540">
        <f t="shared" si="22"/>
        <v>2169788.4389378601</v>
      </c>
      <c r="F115" s="540">
        <f t="shared" si="22"/>
        <v>2634966.4202814219</v>
      </c>
      <c r="G115" s="540">
        <f t="shared" si="22"/>
        <v>2767396.5748746935</v>
      </c>
      <c r="H115" s="540">
        <f t="shared" si="22"/>
        <v>2358297.7551173652</v>
      </c>
      <c r="I115" s="540">
        <f t="shared" si="22"/>
        <v>2307308.7777378084</v>
      </c>
      <c r="J115" s="540">
        <f t="shared" si="22"/>
        <v>1974438.6183024768</v>
      </c>
      <c r="K115" s="540">
        <f t="shared" si="22"/>
        <v>1690595.6710034262</v>
      </c>
      <c r="L115" s="540">
        <f t="shared" si="22"/>
        <v>1372126.3689999999</v>
      </c>
      <c r="M115" s="540">
        <f t="shared" si="22"/>
        <v>1364669.4919999996</v>
      </c>
      <c r="N115" s="540">
        <f t="shared" si="22"/>
        <v>1339088.034</v>
      </c>
      <c r="O115" s="540">
        <f t="shared" si="22"/>
        <v>1445559.585</v>
      </c>
      <c r="P115" s="540">
        <f t="shared" si="19"/>
        <v>23207241.256152369</v>
      </c>
      <c r="Q115" s="81"/>
    </row>
    <row r="116" spans="1:17" x14ac:dyDescent="0.25">
      <c r="A116" s="515"/>
      <c r="B116" s="515" t="s">
        <v>78</v>
      </c>
      <c r="C116" s="515">
        <v>31</v>
      </c>
      <c r="D116" s="540">
        <f t="shared" si="22"/>
        <v>1080691.0478978793</v>
      </c>
      <c r="E116" s="540">
        <f t="shared" si="22"/>
        <v>1345754.6983487448</v>
      </c>
      <c r="F116" s="540">
        <f t="shared" si="22"/>
        <v>2200254.1803201549</v>
      </c>
      <c r="G116" s="540">
        <f t="shared" si="22"/>
        <v>2176262.5750934905</v>
      </c>
      <c r="H116" s="540">
        <f t="shared" si="22"/>
        <v>1842409.8861487138</v>
      </c>
      <c r="I116" s="540">
        <f t="shared" si="22"/>
        <v>1586226.1448361345</v>
      </c>
      <c r="J116" s="540">
        <f t="shared" si="22"/>
        <v>1162077.0647068345</v>
      </c>
      <c r="K116" s="540">
        <f t="shared" si="22"/>
        <v>796728.92829009471</v>
      </c>
      <c r="L116" s="540">
        <f t="shared" si="22"/>
        <v>559926.00714697852</v>
      </c>
      <c r="M116" s="540">
        <f t="shared" si="22"/>
        <v>602768.13263276825</v>
      </c>
      <c r="N116" s="540">
        <f t="shared" si="22"/>
        <v>427025.05599999998</v>
      </c>
      <c r="O116" s="540">
        <f t="shared" si="22"/>
        <v>524346.25299087213</v>
      </c>
      <c r="P116" s="540">
        <f t="shared" si="19"/>
        <v>14304469.974412665</v>
      </c>
      <c r="Q116" s="81"/>
    </row>
    <row r="117" spans="1:17" x14ac:dyDescent="0.25">
      <c r="A117" s="515"/>
      <c r="B117" s="527" t="s">
        <v>79</v>
      </c>
      <c r="C117" s="527">
        <v>41</v>
      </c>
      <c r="D117" s="540">
        <f t="shared" si="22"/>
        <v>1033920.252744206</v>
      </c>
      <c r="E117" s="540">
        <f t="shared" si="22"/>
        <v>1071510.0633528901</v>
      </c>
      <c r="F117" s="540">
        <f t="shared" si="22"/>
        <v>1062051.9207348831</v>
      </c>
      <c r="G117" s="540">
        <f t="shared" si="22"/>
        <v>1081602.1493029753</v>
      </c>
      <c r="H117" s="540">
        <f t="shared" si="22"/>
        <v>975220.57891506236</v>
      </c>
      <c r="I117" s="540">
        <f t="shared" si="22"/>
        <v>1030644.5668152418</v>
      </c>
      <c r="J117" s="540">
        <f t="shared" si="22"/>
        <v>917890.41987647675</v>
      </c>
      <c r="K117" s="540">
        <f t="shared" si="22"/>
        <v>838453.29095282196</v>
      </c>
      <c r="L117" s="540">
        <f t="shared" si="22"/>
        <v>751541.83400000003</v>
      </c>
      <c r="M117" s="540">
        <f t="shared" si="22"/>
        <v>726665.20600000001</v>
      </c>
      <c r="N117" s="540">
        <f t="shared" si="22"/>
        <v>754256.90800000005</v>
      </c>
      <c r="O117" s="540">
        <f t="shared" si="22"/>
        <v>772506.21100000013</v>
      </c>
      <c r="P117" s="540">
        <f t="shared" si="19"/>
        <v>11016263.401694559</v>
      </c>
      <c r="Q117" s="81"/>
    </row>
    <row r="118" spans="1:17" s="69" customFormat="1" ht="14.4" x14ac:dyDescent="0.3">
      <c r="A118" s="546"/>
      <c r="B118" s="535" t="s">
        <v>90</v>
      </c>
      <c r="C118" s="547" t="s">
        <v>146</v>
      </c>
      <c r="D118" s="548">
        <f t="shared" ref="D118:O118" si="23">D104*D56</f>
        <v>2960363.4231745768</v>
      </c>
      <c r="E118" s="548">
        <f t="shared" si="23"/>
        <v>3659240.4380761129</v>
      </c>
      <c r="F118" s="548">
        <f t="shared" si="23"/>
        <v>4140039.3961633835</v>
      </c>
      <c r="G118" s="548">
        <f t="shared" si="23"/>
        <v>4254282.4897181559</v>
      </c>
      <c r="H118" s="548">
        <f t="shared" si="23"/>
        <v>3835272.6831158805</v>
      </c>
      <c r="I118" s="548">
        <f t="shared" si="23"/>
        <v>3958849.7475021491</v>
      </c>
      <c r="J118" s="548">
        <f t="shared" si="23"/>
        <v>3216091.2117320397</v>
      </c>
      <c r="K118" s="548">
        <f t="shared" si="23"/>
        <v>2703471.9384583728</v>
      </c>
      <c r="L118" s="548">
        <f t="shared" si="23"/>
        <v>2260554.2958159456</v>
      </c>
      <c r="M118" s="548">
        <f t="shared" si="23"/>
        <v>1956143.7000000002</v>
      </c>
      <c r="N118" s="548">
        <f t="shared" si="23"/>
        <v>1845610.5</v>
      </c>
      <c r="O118" s="548">
        <f t="shared" si="23"/>
        <v>2007639.913122396</v>
      </c>
      <c r="P118" s="548">
        <f t="shared" si="19"/>
        <v>36797559.736879006</v>
      </c>
      <c r="Q118" s="71"/>
    </row>
    <row r="119" spans="1:17" x14ac:dyDescent="0.25">
      <c r="A119" s="515"/>
      <c r="B119" s="515" t="s">
        <v>105</v>
      </c>
      <c r="C119" s="533"/>
      <c r="D119" s="555">
        <f t="shared" ref="D119:P119" si="24">SUM(D107:D118)</f>
        <v>75066585.793986261</v>
      </c>
      <c r="E119" s="555">
        <f t="shared" si="24"/>
        <v>105127498.06971969</v>
      </c>
      <c r="F119" s="555">
        <f t="shared" si="24"/>
        <v>152625605.90868914</v>
      </c>
      <c r="G119" s="555">
        <f t="shared" si="24"/>
        <v>147025393.78617382</v>
      </c>
      <c r="H119" s="555">
        <f t="shared" si="24"/>
        <v>123732326.71297881</v>
      </c>
      <c r="I119" s="555">
        <f t="shared" si="24"/>
        <v>109875990.15920523</v>
      </c>
      <c r="J119" s="555">
        <f t="shared" si="24"/>
        <v>79089486.96952337</v>
      </c>
      <c r="K119" s="555">
        <f t="shared" si="24"/>
        <v>56813305.369874455</v>
      </c>
      <c r="L119" s="555">
        <f t="shared" si="24"/>
        <v>40900727.194390029</v>
      </c>
      <c r="M119" s="555">
        <f t="shared" si="24"/>
        <v>34394727.2890049</v>
      </c>
      <c r="N119" s="555">
        <f t="shared" si="24"/>
        <v>32113134.234999999</v>
      </c>
      <c r="O119" s="555">
        <f t="shared" si="24"/>
        <v>40172446.733765781</v>
      </c>
      <c r="P119" s="555">
        <f t="shared" si="24"/>
        <v>996937228.22231162</v>
      </c>
      <c r="Q119" s="71"/>
    </row>
    <row r="120" spans="1:17" x14ac:dyDescent="0.25">
      <c r="A120" s="515"/>
      <c r="B120" s="515"/>
      <c r="C120" s="533"/>
      <c r="D120" s="540"/>
      <c r="E120" s="540"/>
      <c r="F120" s="540"/>
      <c r="G120" s="540"/>
      <c r="H120" s="540"/>
      <c r="I120" s="540"/>
      <c r="J120" s="540"/>
      <c r="K120" s="540"/>
      <c r="L120" s="540"/>
      <c r="M120" s="540"/>
      <c r="N120" s="540"/>
      <c r="O120" s="540"/>
      <c r="P120" s="540"/>
      <c r="Q120" s="81"/>
    </row>
    <row r="121" spans="1:17" s="77" customFormat="1" x14ac:dyDescent="0.25">
      <c r="A121" s="527"/>
      <c r="B121" s="556" t="s">
        <v>106</v>
      </c>
      <c r="C121" s="527"/>
      <c r="D121" s="531"/>
      <c r="E121" s="531"/>
      <c r="F121" s="531"/>
      <c r="G121" s="531"/>
      <c r="H121" s="531"/>
      <c r="I121" s="531"/>
      <c r="J121" s="531"/>
      <c r="K121" s="531"/>
      <c r="L121" s="531"/>
      <c r="M121" s="531"/>
      <c r="N121" s="531"/>
      <c r="O121" s="531"/>
      <c r="P121" s="531"/>
      <c r="Q121" s="78"/>
    </row>
    <row r="122" spans="1:17" s="77" customFormat="1" x14ac:dyDescent="0.25">
      <c r="A122" s="527"/>
      <c r="B122" s="515" t="s">
        <v>0</v>
      </c>
      <c r="C122" s="545">
        <v>23</v>
      </c>
      <c r="D122" s="531">
        <f t="shared" ref="D122:O122" si="25">D107-D10</f>
        <v>9636932.6642129943</v>
      </c>
      <c r="E122" s="531">
        <f t="shared" si="25"/>
        <v>-4549170.966617763</v>
      </c>
      <c r="F122" s="531">
        <f t="shared" si="25"/>
        <v>5301558.1363616437</v>
      </c>
      <c r="G122" s="531">
        <f t="shared" si="25"/>
        <v>5645593.7780033052</v>
      </c>
      <c r="H122" s="531">
        <f t="shared" si="25"/>
        <v>12110303.437869892</v>
      </c>
      <c r="I122" s="531">
        <f t="shared" si="25"/>
        <v>7650735.0612127259</v>
      </c>
      <c r="J122" s="531">
        <f t="shared" si="25"/>
        <v>12453813.109892201</v>
      </c>
      <c r="K122" s="531">
        <f t="shared" si="25"/>
        <v>6867801.3540766239</v>
      </c>
      <c r="L122" s="531">
        <f t="shared" si="25"/>
        <v>1705655.2790108919</v>
      </c>
      <c r="M122" s="531">
        <f t="shared" si="25"/>
        <v>1158985.1993721314</v>
      </c>
      <c r="N122" s="531">
        <f t="shared" si="25"/>
        <v>0</v>
      </c>
      <c r="O122" s="531">
        <f t="shared" si="25"/>
        <v>163089.13307087123</v>
      </c>
      <c r="P122" s="531">
        <f t="shared" ref="P122:P133" si="26">SUM(D122:O122)</f>
        <v>58145296.186465517</v>
      </c>
      <c r="Q122" s="78"/>
    </row>
    <row r="123" spans="1:17" s="77" customFormat="1" x14ac:dyDescent="0.25">
      <c r="A123" s="527"/>
      <c r="B123" s="528" t="s">
        <v>73</v>
      </c>
      <c r="C123" s="533">
        <v>31</v>
      </c>
      <c r="D123" s="531">
        <f t="shared" ref="D123:O124" si="27">D108-D12</f>
        <v>2132361.874531636</v>
      </c>
      <c r="E123" s="531">
        <f t="shared" si="27"/>
        <v>-1184112.4879966788</v>
      </c>
      <c r="F123" s="531">
        <f t="shared" si="27"/>
        <v>1427467.5194860734</v>
      </c>
      <c r="G123" s="531">
        <f t="shared" si="27"/>
        <v>1577104.1283253096</v>
      </c>
      <c r="H123" s="531">
        <f t="shared" si="27"/>
        <v>3170281.5534205921</v>
      </c>
      <c r="I123" s="531">
        <f t="shared" si="27"/>
        <v>1995051.4785936959</v>
      </c>
      <c r="J123" s="531">
        <f t="shared" si="27"/>
        <v>3045991.751164658</v>
      </c>
      <c r="K123" s="531">
        <f t="shared" si="27"/>
        <v>1594703.046086831</v>
      </c>
      <c r="L123" s="531">
        <f t="shared" si="27"/>
        <v>310331.76351108402</v>
      </c>
      <c r="M123" s="531">
        <f t="shared" si="27"/>
        <v>0</v>
      </c>
      <c r="N123" s="531">
        <f t="shared" si="27"/>
        <v>0</v>
      </c>
      <c r="O123" s="531">
        <f t="shared" si="27"/>
        <v>25994.468241011724</v>
      </c>
      <c r="P123" s="531">
        <f t="shared" si="26"/>
        <v>14095175.095364213</v>
      </c>
      <c r="Q123" s="78"/>
    </row>
    <row r="124" spans="1:17" s="77" customFormat="1" x14ac:dyDescent="0.25">
      <c r="A124" s="527"/>
      <c r="B124" s="528" t="s">
        <v>74</v>
      </c>
      <c r="C124" s="527">
        <v>41</v>
      </c>
      <c r="D124" s="531">
        <f t="shared" si="27"/>
        <v>467300.94772723224</v>
      </c>
      <c r="E124" s="531">
        <f t="shared" si="27"/>
        <v>-225052.16138562839</v>
      </c>
      <c r="F124" s="531">
        <f t="shared" si="27"/>
        <v>258323.29175991938</v>
      </c>
      <c r="G124" s="531">
        <f t="shared" si="27"/>
        <v>287860.32834596373</v>
      </c>
      <c r="H124" s="531">
        <f t="shared" si="27"/>
        <v>583126.09483507089</v>
      </c>
      <c r="I124" s="531">
        <f t="shared" si="27"/>
        <v>408340.9376749415</v>
      </c>
      <c r="J124" s="531">
        <f t="shared" si="27"/>
        <v>656028.54616516549</v>
      </c>
      <c r="K124" s="531">
        <f t="shared" si="27"/>
        <v>405389.11810096633</v>
      </c>
      <c r="L124" s="531">
        <f t="shared" si="27"/>
        <v>113111.90955747431</v>
      </c>
      <c r="M124" s="531">
        <f t="shared" si="27"/>
        <v>0</v>
      </c>
      <c r="N124" s="531">
        <f t="shared" si="27"/>
        <v>0</v>
      </c>
      <c r="O124" s="531">
        <f t="shared" si="27"/>
        <v>5869.4176923795603</v>
      </c>
      <c r="P124" s="531">
        <f t="shared" si="26"/>
        <v>2960298.430473485</v>
      </c>
      <c r="Q124" s="78"/>
    </row>
    <row r="125" spans="1:17" s="77" customFormat="1" ht="14.4" x14ac:dyDescent="0.3">
      <c r="A125" s="527"/>
      <c r="B125" s="515" t="s">
        <v>83</v>
      </c>
      <c r="C125" s="533" t="s">
        <v>62</v>
      </c>
      <c r="D125" s="557">
        <f t="shared" ref="D125:O127" si="28">D110-D23</f>
        <v>37339.889544170001</v>
      </c>
      <c r="E125" s="557">
        <f t="shared" si="28"/>
        <v>-16259.46888986649</v>
      </c>
      <c r="F125" s="557">
        <f t="shared" si="28"/>
        <v>20054.982731250464</v>
      </c>
      <c r="G125" s="557">
        <f t="shared" si="28"/>
        <v>21916.148586119292</v>
      </c>
      <c r="H125" s="557">
        <f t="shared" si="28"/>
        <v>42345.580598824425</v>
      </c>
      <c r="I125" s="557">
        <f t="shared" si="28"/>
        <v>34810.751624719007</v>
      </c>
      <c r="J125" s="557">
        <f t="shared" si="28"/>
        <v>53080.364382460364</v>
      </c>
      <c r="K125" s="557">
        <f t="shared" si="28"/>
        <v>16653.59001817368</v>
      </c>
      <c r="L125" s="557">
        <f t="shared" si="28"/>
        <v>0</v>
      </c>
      <c r="M125" s="557">
        <f t="shared" si="28"/>
        <v>0</v>
      </c>
      <c r="N125" s="557">
        <f t="shared" si="28"/>
        <v>0</v>
      </c>
      <c r="O125" s="557">
        <f t="shared" si="28"/>
        <v>0</v>
      </c>
      <c r="P125" s="531">
        <f t="shared" si="26"/>
        <v>209941.83859585074</v>
      </c>
      <c r="Q125" s="78"/>
    </row>
    <row r="126" spans="1:17" s="77" customFormat="1" ht="14.4" x14ac:dyDescent="0.3">
      <c r="A126" s="527"/>
      <c r="B126" s="515" t="s">
        <v>84</v>
      </c>
      <c r="C126" s="533" t="s">
        <v>63</v>
      </c>
      <c r="D126" s="557">
        <f t="shared" si="28"/>
        <v>90441.431951404316</v>
      </c>
      <c r="E126" s="557">
        <f t="shared" si="28"/>
        <v>-37663.018508533482</v>
      </c>
      <c r="F126" s="557">
        <f t="shared" si="28"/>
        <v>47223.364805870224</v>
      </c>
      <c r="G126" s="557">
        <f t="shared" si="28"/>
        <v>50889.480261450633</v>
      </c>
      <c r="H126" s="557">
        <f t="shared" si="28"/>
        <v>77022.02761938842</v>
      </c>
      <c r="I126" s="557">
        <f t="shared" si="28"/>
        <v>68193.224344789982</v>
      </c>
      <c r="J126" s="557">
        <f t="shared" si="28"/>
        <v>116891.4601133666</v>
      </c>
      <c r="K126" s="557">
        <f t="shared" si="28"/>
        <v>84383.198723779991</v>
      </c>
      <c r="L126" s="557">
        <f t="shared" si="28"/>
        <v>22565.808524304768</v>
      </c>
      <c r="M126" s="557">
        <f t="shared" si="28"/>
        <v>0</v>
      </c>
      <c r="N126" s="557">
        <f t="shared" si="28"/>
        <v>0</v>
      </c>
      <c r="O126" s="557">
        <f t="shared" si="28"/>
        <v>0</v>
      </c>
      <c r="P126" s="531">
        <f t="shared" si="26"/>
        <v>519946.97783582145</v>
      </c>
      <c r="Q126" s="78"/>
    </row>
    <row r="127" spans="1:17" s="77" customFormat="1" x14ac:dyDescent="0.25">
      <c r="A127" s="527"/>
      <c r="B127" s="515" t="s">
        <v>85</v>
      </c>
      <c r="C127" s="533" t="s">
        <v>65</v>
      </c>
      <c r="D127" s="531">
        <f t="shared" si="28"/>
        <v>153222.33571252692</v>
      </c>
      <c r="E127" s="531">
        <f t="shared" si="28"/>
        <v>-79177.421688204166</v>
      </c>
      <c r="F127" s="531">
        <f t="shared" si="28"/>
        <v>82258.268744240049</v>
      </c>
      <c r="G127" s="531">
        <f t="shared" si="28"/>
        <v>107041.77535428898</v>
      </c>
      <c r="H127" s="531">
        <f t="shared" si="28"/>
        <v>217806.95830545342</v>
      </c>
      <c r="I127" s="531">
        <f t="shared" si="28"/>
        <v>126550.46317187464</v>
      </c>
      <c r="J127" s="531">
        <f t="shared" si="28"/>
        <v>224646.38812145987</v>
      </c>
      <c r="K127" s="531">
        <f t="shared" si="28"/>
        <v>161028.3754116504</v>
      </c>
      <c r="L127" s="531">
        <f t="shared" si="28"/>
        <v>0</v>
      </c>
      <c r="M127" s="531">
        <f t="shared" si="28"/>
        <v>0</v>
      </c>
      <c r="N127" s="531">
        <f t="shared" si="28"/>
        <v>0</v>
      </c>
      <c r="O127" s="531">
        <f t="shared" si="28"/>
        <v>0</v>
      </c>
      <c r="P127" s="531">
        <f t="shared" si="26"/>
        <v>993377.14313329011</v>
      </c>
      <c r="Q127" s="78"/>
    </row>
    <row r="128" spans="1:17" s="77" customFormat="1" x14ac:dyDescent="0.25">
      <c r="A128" s="527"/>
      <c r="B128" s="527" t="s">
        <v>75</v>
      </c>
      <c r="C128" s="527">
        <v>85</v>
      </c>
      <c r="D128" s="531">
        <f t="shared" ref="D128:O132" si="29">D113-D15</f>
        <v>113886.30408191378</v>
      </c>
      <c r="E128" s="531">
        <f t="shared" si="29"/>
        <v>-55171.345608262345</v>
      </c>
      <c r="F128" s="531">
        <f t="shared" si="29"/>
        <v>62882.897280835314</v>
      </c>
      <c r="G128" s="531">
        <f t="shared" si="29"/>
        <v>75548.410729180556</v>
      </c>
      <c r="H128" s="531">
        <f t="shared" si="29"/>
        <v>146123.90236177249</v>
      </c>
      <c r="I128" s="531">
        <f t="shared" si="29"/>
        <v>108700.67007201095</v>
      </c>
      <c r="J128" s="531">
        <f t="shared" si="29"/>
        <v>196555.99015612295</v>
      </c>
      <c r="K128" s="531">
        <f t="shared" si="29"/>
        <v>120138.20920391125</v>
      </c>
      <c r="L128" s="531">
        <f t="shared" si="29"/>
        <v>21780.603152599884</v>
      </c>
      <c r="M128" s="531">
        <f t="shared" si="29"/>
        <v>0</v>
      </c>
      <c r="N128" s="531">
        <f t="shared" si="29"/>
        <v>0</v>
      </c>
      <c r="O128" s="531">
        <f t="shared" si="29"/>
        <v>0</v>
      </c>
      <c r="P128" s="531">
        <f t="shared" si="26"/>
        <v>790445.64143008483</v>
      </c>
      <c r="Q128" s="78"/>
    </row>
    <row r="129" spans="1:17" s="77" customFormat="1" x14ac:dyDescent="0.25">
      <c r="A129" s="527"/>
      <c r="B129" s="527" t="s">
        <v>76</v>
      </c>
      <c r="C129" s="527">
        <v>86</v>
      </c>
      <c r="D129" s="531">
        <f t="shared" si="29"/>
        <v>159220.38051040529</v>
      </c>
      <c r="E129" s="531">
        <f t="shared" si="29"/>
        <v>-68800.565300975693</v>
      </c>
      <c r="F129" s="531">
        <f t="shared" si="29"/>
        <v>71428.045019514626</v>
      </c>
      <c r="G129" s="531">
        <f t="shared" si="29"/>
        <v>80172.15657887212</v>
      </c>
      <c r="H129" s="531">
        <f t="shared" si="29"/>
        <v>173881.02767079114</v>
      </c>
      <c r="I129" s="531">
        <f t="shared" si="29"/>
        <v>119323.20561915776</v>
      </c>
      <c r="J129" s="531">
        <f t="shared" si="29"/>
        <v>213653.07291012083</v>
      </c>
      <c r="K129" s="531">
        <f t="shared" si="29"/>
        <v>137182.38754779939</v>
      </c>
      <c r="L129" s="531">
        <f t="shared" si="29"/>
        <v>34975.423670748656</v>
      </c>
      <c r="M129" s="531">
        <f t="shared" si="29"/>
        <v>0</v>
      </c>
      <c r="N129" s="531">
        <f t="shared" si="29"/>
        <v>0</v>
      </c>
      <c r="O129" s="531">
        <f t="shared" si="29"/>
        <v>2511.9126482522697</v>
      </c>
      <c r="P129" s="531">
        <f t="shared" si="26"/>
        <v>923547.04687468638</v>
      </c>
      <c r="Q129" s="78"/>
    </row>
    <row r="130" spans="1:17" s="77" customFormat="1" x14ac:dyDescent="0.25">
      <c r="A130" s="527"/>
      <c r="B130" s="527" t="s">
        <v>96</v>
      </c>
      <c r="C130" s="527">
        <v>87</v>
      </c>
      <c r="D130" s="531">
        <f t="shared" si="29"/>
        <v>147308.4138973162</v>
      </c>
      <c r="E130" s="531">
        <f t="shared" si="29"/>
        <v>-75014.649062139913</v>
      </c>
      <c r="F130" s="531">
        <f t="shared" si="29"/>
        <v>85966.000281421933</v>
      </c>
      <c r="G130" s="531">
        <f t="shared" si="29"/>
        <v>93513.908874693327</v>
      </c>
      <c r="H130" s="531">
        <f t="shared" si="29"/>
        <v>169677.33411736507</v>
      </c>
      <c r="I130" s="531">
        <f t="shared" si="29"/>
        <v>114076.61273780838</v>
      </c>
      <c r="J130" s="531">
        <f t="shared" si="29"/>
        <v>221275.80730247684</v>
      </c>
      <c r="K130" s="531">
        <f t="shared" si="29"/>
        <v>119114.54000342614</v>
      </c>
      <c r="L130" s="531">
        <f t="shared" si="29"/>
        <v>0</v>
      </c>
      <c r="M130" s="531">
        <f t="shared" si="29"/>
        <v>0</v>
      </c>
      <c r="N130" s="531">
        <f t="shared" si="29"/>
        <v>0</v>
      </c>
      <c r="O130" s="531">
        <f t="shared" si="29"/>
        <v>0</v>
      </c>
      <c r="P130" s="531">
        <f t="shared" si="26"/>
        <v>875917.96815236798</v>
      </c>
      <c r="Q130" s="78"/>
    </row>
    <row r="131" spans="1:17" s="77" customFormat="1" x14ac:dyDescent="0.25">
      <c r="A131" s="527"/>
      <c r="B131" s="527" t="s">
        <v>78</v>
      </c>
      <c r="C131" s="527">
        <v>31</v>
      </c>
      <c r="D131" s="531">
        <f t="shared" si="29"/>
        <v>283217.35289787932</v>
      </c>
      <c r="E131" s="531">
        <f t="shared" si="29"/>
        <v>-118897.1756512553</v>
      </c>
      <c r="F131" s="531">
        <f t="shared" si="29"/>
        <v>135280.01432015491</v>
      </c>
      <c r="G131" s="531">
        <f t="shared" si="29"/>
        <v>150959.3410934906</v>
      </c>
      <c r="H131" s="531">
        <f t="shared" si="29"/>
        <v>321829.7571487138</v>
      </c>
      <c r="I131" s="531">
        <f t="shared" si="29"/>
        <v>205275.46483613458</v>
      </c>
      <c r="J131" s="531">
        <f t="shared" si="29"/>
        <v>352076.28070683451</v>
      </c>
      <c r="K131" s="531">
        <f t="shared" si="29"/>
        <v>246650.86929009471</v>
      </c>
      <c r="L131" s="531">
        <f t="shared" si="29"/>
        <v>103513.10714697849</v>
      </c>
      <c r="M131" s="531">
        <f t="shared" si="29"/>
        <v>184130.60063276824</v>
      </c>
      <c r="N131" s="531">
        <f t="shared" si="29"/>
        <v>0</v>
      </c>
      <c r="O131" s="531">
        <f t="shared" si="29"/>
        <v>10845.818990872125</v>
      </c>
      <c r="P131" s="531">
        <f t="shared" si="26"/>
        <v>1874881.4314126661</v>
      </c>
      <c r="Q131" s="78"/>
    </row>
    <row r="132" spans="1:17" s="77" customFormat="1" x14ac:dyDescent="0.25">
      <c r="A132" s="527"/>
      <c r="B132" s="527" t="s">
        <v>79</v>
      </c>
      <c r="C132" s="527">
        <v>41</v>
      </c>
      <c r="D132" s="531">
        <f t="shared" si="29"/>
        <v>44505.069744206034</v>
      </c>
      <c r="E132" s="531">
        <f t="shared" si="29"/>
        <v>-15258.763647109969</v>
      </c>
      <c r="F132" s="531">
        <f t="shared" si="29"/>
        <v>14777.442734882934</v>
      </c>
      <c r="G132" s="531">
        <f t="shared" si="29"/>
        <v>18660.061302975286</v>
      </c>
      <c r="H132" s="531">
        <f t="shared" si="29"/>
        <v>33764.54291506228</v>
      </c>
      <c r="I132" s="531">
        <f t="shared" si="29"/>
        <v>31594.779815241811</v>
      </c>
      <c r="J132" s="531">
        <f t="shared" si="29"/>
        <v>47310.272876476869</v>
      </c>
      <c r="K132" s="531">
        <f t="shared" si="29"/>
        <v>27620.036952822004</v>
      </c>
      <c r="L132" s="531">
        <f t="shared" si="29"/>
        <v>0</v>
      </c>
      <c r="M132" s="531">
        <f t="shared" si="29"/>
        <v>0</v>
      </c>
      <c r="N132" s="531">
        <f t="shared" si="29"/>
        <v>0</v>
      </c>
      <c r="O132" s="531">
        <f t="shared" si="29"/>
        <v>0</v>
      </c>
      <c r="P132" s="531">
        <f t="shared" si="26"/>
        <v>202973.44269455725</v>
      </c>
      <c r="Q132" s="78"/>
    </row>
    <row r="133" spans="1:17" s="76" customFormat="1" ht="14.4" x14ac:dyDescent="0.3">
      <c r="A133" s="535"/>
      <c r="B133" s="535" t="s">
        <v>90</v>
      </c>
      <c r="C133" s="547" t="s">
        <v>146</v>
      </c>
      <c r="D133" s="538">
        <f t="shared" ref="D133:O133" si="30">D118-D30</f>
        <v>354086.37317457702</v>
      </c>
      <c r="E133" s="538">
        <f t="shared" si="30"/>
        <v>-155682.63192388695</v>
      </c>
      <c r="F133" s="538">
        <f t="shared" si="30"/>
        <v>155359.99616338313</v>
      </c>
      <c r="G133" s="538">
        <f t="shared" si="30"/>
        <v>198805.26971815573</v>
      </c>
      <c r="H133" s="538">
        <f t="shared" si="30"/>
        <v>414115.01311588055</v>
      </c>
      <c r="I133" s="538">
        <f t="shared" si="30"/>
        <v>270876.29750214936</v>
      </c>
      <c r="J133" s="538">
        <f t="shared" si="30"/>
        <v>506065.60173203982</v>
      </c>
      <c r="K133" s="538">
        <f t="shared" si="30"/>
        <v>303004.94845837262</v>
      </c>
      <c r="L133" s="538">
        <f t="shared" si="30"/>
        <v>94956.275815945584</v>
      </c>
      <c r="M133" s="538">
        <f t="shared" si="30"/>
        <v>0</v>
      </c>
      <c r="N133" s="538">
        <f t="shared" si="30"/>
        <v>0</v>
      </c>
      <c r="O133" s="538">
        <f t="shared" si="30"/>
        <v>5798.1331223959569</v>
      </c>
      <c r="P133" s="538">
        <f t="shared" si="26"/>
        <v>2147385.2768790126</v>
      </c>
      <c r="Q133" s="73"/>
    </row>
    <row r="134" spans="1:17" s="77" customFormat="1" x14ac:dyDescent="0.25">
      <c r="A134" s="527"/>
      <c r="B134" s="527" t="s">
        <v>107</v>
      </c>
      <c r="C134" s="545"/>
      <c r="D134" s="539">
        <f t="shared" ref="D134:P134" si="31">SUM(D122:D133)</f>
        <v>13619823.03798626</v>
      </c>
      <c r="E134" s="539">
        <f t="shared" si="31"/>
        <v>-6580260.6562803052</v>
      </c>
      <c r="F134" s="539">
        <f t="shared" si="31"/>
        <v>7662579.9596891906</v>
      </c>
      <c r="G134" s="539">
        <f t="shared" si="31"/>
        <v>8308064.7871738058</v>
      </c>
      <c r="H134" s="539">
        <f t="shared" si="31"/>
        <v>17460277.229978804</v>
      </c>
      <c r="I134" s="539">
        <f t="shared" si="31"/>
        <v>11133528.947205249</v>
      </c>
      <c r="J134" s="539">
        <f t="shared" si="31"/>
        <v>18087388.645523384</v>
      </c>
      <c r="K134" s="539">
        <f t="shared" si="31"/>
        <v>10083669.673874449</v>
      </c>
      <c r="L134" s="539">
        <f t="shared" si="31"/>
        <v>2406890.1703900276</v>
      </c>
      <c r="M134" s="539">
        <f t="shared" si="31"/>
        <v>1343115.8000048995</v>
      </c>
      <c r="N134" s="539">
        <f t="shared" si="31"/>
        <v>0</v>
      </c>
      <c r="O134" s="539">
        <f t="shared" si="31"/>
        <v>214108.88376578287</v>
      </c>
      <c r="P134" s="539">
        <f t="shared" si="31"/>
        <v>83739186.479311556</v>
      </c>
      <c r="Q134" s="73"/>
    </row>
    <row r="135" spans="1:17" s="77" customFormat="1" x14ac:dyDescent="0.25">
      <c r="A135" s="527"/>
      <c r="B135" s="527" t="s">
        <v>108</v>
      </c>
      <c r="C135" s="545"/>
      <c r="D135" s="186">
        <f t="shared" ref="D135:P135" si="32">D134/D31</f>
        <v>0.18621724975884255</v>
      </c>
      <c r="E135" s="186">
        <f t="shared" si="32"/>
        <v>-5.3445253748859944E-2</v>
      </c>
      <c r="F135" s="186">
        <f t="shared" si="32"/>
        <v>4.8809467566217096E-2</v>
      </c>
      <c r="G135" s="186">
        <f t="shared" si="32"/>
        <v>5.4924860433220479E-2</v>
      </c>
      <c r="H135" s="186">
        <f t="shared" si="32"/>
        <v>0.14745790847474918</v>
      </c>
      <c r="I135" s="186">
        <f t="shared" si="32"/>
        <v>9.90859545549089E-2</v>
      </c>
      <c r="J135" s="186">
        <f t="shared" si="32"/>
        <v>0.25041412643956196</v>
      </c>
      <c r="K135" s="186">
        <f t="shared" si="32"/>
        <v>0.16897701551473585</v>
      </c>
      <c r="L135" s="186">
        <f t="shared" si="32"/>
        <v>4.7622679308420957E-2</v>
      </c>
      <c r="M135" s="186">
        <f t="shared" si="32"/>
        <v>2.9562855384443074E-2</v>
      </c>
      <c r="N135" s="186">
        <f t="shared" si="32"/>
        <v>0</v>
      </c>
      <c r="O135" s="186">
        <f t="shared" si="32"/>
        <v>4.1292668673684994E-3</v>
      </c>
      <c r="P135" s="186">
        <f t="shared" si="32"/>
        <v>7.9033062329507825E-2</v>
      </c>
      <c r="Q135" s="52"/>
    </row>
    <row r="136" spans="1:17" s="77" customFormat="1" x14ac:dyDescent="0.25">
      <c r="A136" s="527"/>
      <c r="B136" s="527"/>
      <c r="C136" s="545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52"/>
    </row>
    <row r="137" spans="1:17" s="77" customFormat="1" x14ac:dyDescent="0.25">
      <c r="A137" s="527"/>
      <c r="B137" s="556" t="s">
        <v>109</v>
      </c>
      <c r="C137" s="545"/>
      <c r="D137" s="186"/>
      <c r="E137" s="186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52"/>
    </row>
    <row r="138" spans="1:17" s="77" customFormat="1" x14ac:dyDescent="0.25">
      <c r="A138" s="527"/>
      <c r="B138" s="527" t="s">
        <v>110</v>
      </c>
      <c r="C138" s="545"/>
      <c r="D138" s="549">
        <v>12148863.725298055</v>
      </c>
      <c r="E138" s="549">
        <v>-7881686.8359686136</v>
      </c>
      <c r="F138" s="549">
        <v>7754147.2566944957</v>
      </c>
      <c r="G138" s="549">
        <v>7944521.1156883389</v>
      </c>
      <c r="H138" s="549">
        <v>18046954.4638585</v>
      </c>
      <c r="I138" s="549">
        <v>9842265.645223707</v>
      </c>
      <c r="J138" s="549">
        <v>17137062.902741119</v>
      </c>
      <c r="K138" s="549">
        <v>7761112.5802306011</v>
      </c>
      <c r="L138" s="549">
        <v>1943672.9213544726</v>
      </c>
      <c r="M138" s="558">
        <v>569994.62818130106</v>
      </c>
      <c r="N138" s="558">
        <v>0</v>
      </c>
      <c r="O138" s="558">
        <v>189775.76492331922</v>
      </c>
      <c r="P138" s="531">
        <f>SUM(D138:O138)</f>
        <v>75456684.168225303</v>
      </c>
      <c r="Q138" s="78"/>
    </row>
    <row r="139" spans="1:17" s="77" customFormat="1" x14ac:dyDescent="0.25">
      <c r="A139" s="527"/>
      <c r="B139" s="527" t="s">
        <v>66</v>
      </c>
      <c r="C139" s="545"/>
      <c r="D139" s="549">
        <v>551321.66289387271</v>
      </c>
      <c r="E139" s="549">
        <v>-199242.28554718941</v>
      </c>
      <c r="F139" s="549">
        <v>247390.08273323253</v>
      </c>
      <c r="G139" s="549">
        <v>282564.73190936819</v>
      </c>
      <c r="H139" s="549">
        <v>623100.15235260036</v>
      </c>
      <c r="I139" s="549">
        <v>366887.85811734106</v>
      </c>
      <c r="J139" s="549">
        <v>638792.87753445283</v>
      </c>
      <c r="K139" s="549">
        <v>307618.74424583651</v>
      </c>
      <c r="L139" s="549">
        <v>86551.776930646505</v>
      </c>
      <c r="M139" s="558">
        <v>0</v>
      </c>
      <c r="N139" s="558">
        <v>0</v>
      </c>
      <c r="O139" s="558">
        <v>7404.6950648305938</v>
      </c>
      <c r="P139" s="531">
        <f>SUM(D139:O139)</f>
        <v>2912390.2962349919</v>
      </c>
      <c r="Q139" s="78"/>
    </row>
    <row r="140" spans="1:17" s="77" customFormat="1" x14ac:dyDescent="0.25">
      <c r="A140" s="527"/>
      <c r="B140" s="527" t="s">
        <v>67</v>
      </c>
      <c r="C140" s="545"/>
      <c r="D140" s="549">
        <v>810115.83947385475</v>
      </c>
      <c r="E140" s="549">
        <v>-328784.8731677942</v>
      </c>
      <c r="F140" s="549">
        <v>328799.42443291098</v>
      </c>
      <c r="G140" s="549">
        <v>406422.68344572186</v>
      </c>
      <c r="H140" s="549">
        <v>940398.80625609681</v>
      </c>
      <c r="I140" s="549">
        <v>647358.25962749869</v>
      </c>
      <c r="J140" s="549">
        <v>1150219.7388309985</v>
      </c>
      <c r="K140" s="549">
        <v>556981.75905134901</v>
      </c>
      <c r="L140" s="549">
        <v>103511.73255916685</v>
      </c>
      <c r="M140" s="558">
        <v>0</v>
      </c>
      <c r="N140" s="558">
        <v>0</v>
      </c>
      <c r="O140" s="558">
        <v>20380.977430921048</v>
      </c>
      <c r="P140" s="531">
        <f>SUM(D140:O140)</f>
        <v>4635404.3479407243</v>
      </c>
      <c r="Q140" s="78"/>
    </row>
    <row r="141" spans="1:17" s="77" customFormat="1" x14ac:dyDescent="0.25">
      <c r="A141" s="527"/>
      <c r="B141" s="527" t="s">
        <v>107</v>
      </c>
      <c r="C141" s="545"/>
      <c r="D141" s="539">
        <f t="shared" ref="D141:P141" si="33">SUM(D138:D140)</f>
        <v>13510301.227665782</v>
      </c>
      <c r="E141" s="539">
        <f t="shared" si="33"/>
        <v>-8409713.9946835972</v>
      </c>
      <c r="F141" s="539">
        <f t="shared" si="33"/>
        <v>8330336.7638606392</v>
      </c>
      <c r="G141" s="539">
        <f t="shared" si="33"/>
        <v>8633508.5310434289</v>
      </c>
      <c r="H141" s="539">
        <f t="shared" si="33"/>
        <v>19610453.422467198</v>
      </c>
      <c r="I141" s="539">
        <f t="shared" si="33"/>
        <v>10856511.762968548</v>
      </c>
      <c r="J141" s="539">
        <f t="shared" si="33"/>
        <v>18926075.519106571</v>
      </c>
      <c r="K141" s="539">
        <f t="shared" si="33"/>
        <v>8625713.0835277867</v>
      </c>
      <c r="L141" s="539">
        <f t="shared" si="33"/>
        <v>2133736.430844286</v>
      </c>
      <c r="M141" s="539">
        <f t="shared" si="33"/>
        <v>569994.62818130106</v>
      </c>
      <c r="N141" s="539">
        <f t="shared" si="33"/>
        <v>0</v>
      </c>
      <c r="O141" s="539">
        <f t="shared" si="33"/>
        <v>217561.43741907086</v>
      </c>
      <c r="P141" s="539">
        <f t="shared" si="33"/>
        <v>83004478.812401026</v>
      </c>
      <c r="Q141" s="73"/>
    </row>
    <row r="142" spans="1:17" s="77" customFormat="1" x14ac:dyDescent="0.25">
      <c r="A142" s="527"/>
      <c r="B142" s="527"/>
      <c r="C142" s="545"/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52"/>
    </row>
    <row r="143" spans="1:17" s="77" customFormat="1" x14ac:dyDescent="0.25">
      <c r="A143" s="527"/>
      <c r="B143" s="556" t="s">
        <v>111</v>
      </c>
      <c r="C143" s="545"/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52"/>
    </row>
    <row r="144" spans="1:17" s="77" customFormat="1" x14ac:dyDescent="0.25">
      <c r="A144" s="527"/>
      <c r="B144" s="515" t="s">
        <v>0</v>
      </c>
      <c r="C144" s="545">
        <v>23</v>
      </c>
      <c r="D144" s="531">
        <f t="shared" ref="D144:O146" si="34">ROUND(IF(SUM(D$122:D$124,D$131:D$132)&lt;&gt;0,D$138*D122/SUM(D$122:D$124,D$131:D$132),0),0)</f>
        <v>9318276</v>
      </c>
      <c r="E144" s="531">
        <f t="shared" si="34"/>
        <v>-5885136</v>
      </c>
      <c r="F144" s="531">
        <f t="shared" si="34"/>
        <v>5759664</v>
      </c>
      <c r="G144" s="531">
        <f t="shared" si="34"/>
        <v>5839909</v>
      </c>
      <c r="H144" s="531">
        <f t="shared" si="34"/>
        <v>13474936</v>
      </c>
      <c r="I144" s="531">
        <f t="shared" si="34"/>
        <v>7317130</v>
      </c>
      <c r="J144" s="531">
        <f t="shared" si="34"/>
        <v>12891510</v>
      </c>
      <c r="K144" s="531">
        <f t="shared" si="34"/>
        <v>5830324</v>
      </c>
      <c r="L144" s="531">
        <f t="shared" si="34"/>
        <v>1484914</v>
      </c>
      <c r="M144" s="531">
        <f t="shared" si="34"/>
        <v>491853</v>
      </c>
      <c r="N144" s="531">
        <f t="shared" si="34"/>
        <v>0</v>
      </c>
      <c r="O144" s="531">
        <f t="shared" si="34"/>
        <v>150391</v>
      </c>
      <c r="P144" s="531">
        <f t="shared" ref="P144:P155" si="35">SUM(D144:O144)</f>
        <v>56673771</v>
      </c>
      <c r="Q144" s="78"/>
    </row>
    <row r="145" spans="1:43" s="77" customFormat="1" x14ac:dyDescent="0.25">
      <c r="A145" s="527"/>
      <c r="B145" s="528" t="s">
        <v>73</v>
      </c>
      <c r="C145" s="533">
        <v>31</v>
      </c>
      <c r="D145" s="531">
        <f t="shared" si="34"/>
        <v>2061853</v>
      </c>
      <c r="E145" s="531">
        <f t="shared" si="34"/>
        <v>-1531853</v>
      </c>
      <c r="F145" s="531">
        <f t="shared" si="34"/>
        <v>1550815</v>
      </c>
      <c r="G145" s="531">
        <f t="shared" si="34"/>
        <v>1631386</v>
      </c>
      <c r="H145" s="531">
        <f t="shared" si="34"/>
        <v>3527520</v>
      </c>
      <c r="I145" s="531">
        <f t="shared" si="34"/>
        <v>1908059</v>
      </c>
      <c r="J145" s="531">
        <f t="shared" si="34"/>
        <v>3153045</v>
      </c>
      <c r="K145" s="531">
        <f t="shared" si="34"/>
        <v>1353801</v>
      </c>
      <c r="L145" s="531">
        <f t="shared" si="34"/>
        <v>270169</v>
      </c>
      <c r="M145" s="531">
        <f t="shared" si="34"/>
        <v>0</v>
      </c>
      <c r="N145" s="531">
        <f t="shared" si="34"/>
        <v>0</v>
      </c>
      <c r="O145" s="531">
        <f t="shared" si="34"/>
        <v>23971</v>
      </c>
      <c r="P145" s="531">
        <f t="shared" si="35"/>
        <v>13948766</v>
      </c>
      <c r="Q145" s="78"/>
    </row>
    <row r="146" spans="1:43" s="77" customFormat="1" x14ac:dyDescent="0.25">
      <c r="A146" s="527"/>
      <c r="B146" s="528" t="s">
        <v>74</v>
      </c>
      <c r="C146" s="527">
        <v>41</v>
      </c>
      <c r="D146" s="531">
        <f t="shared" si="34"/>
        <v>451849</v>
      </c>
      <c r="E146" s="531">
        <f t="shared" si="34"/>
        <v>-291144</v>
      </c>
      <c r="F146" s="531">
        <f t="shared" si="34"/>
        <v>280645</v>
      </c>
      <c r="G146" s="531">
        <f t="shared" si="34"/>
        <v>297768</v>
      </c>
      <c r="H146" s="531">
        <f t="shared" si="34"/>
        <v>648835</v>
      </c>
      <c r="I146" s="531">
        <f t="shared" si="34"/>
        <v>390536</v>
      </c>
      <c r="J146" s="531">
        <f t="shared" si="34"/>
        <v>679085</v>
      </c>
      <c r="K146" s="531">
        <f t="shared" si="34"/>
        <v>344149</v>
      </c>
      <c r="L146" s="531">
        <f t="shared" si="34"/>
        <v>98473</v>
      </c>
      <c r="M146" s="531">
        <f t="shared" si="34"/>
        <v>0</v>
      </c>
      <c r="N146" s="531">
        <f t="shared" si="34"/>
        <v>0</v>
      </c>
      <c r="O146" s="531">
        <f t="shared" si="34"/>
        <v>5412</v>
      </c>
      <c r="P146" s="531">
        <f t="shared" si="35"/>
        <v>2905608</v>
      </c>
      <c r="Q146" s="78"/>
    </row>
    <row r="147" spans="1:43" s="77" customFormat="1" ht="14.4" x14ac:dyDescent="0.3">
      <c r="A147" s="559"/>
      <c r="B147" s="515" t="s">
        <v>83</v>
      </c>
      <c r="C147" s="533" t="s">
        <v>62</v>
      </c>
      <c r="D147" s="557">
        <f t="shared" ref="D147:O149" si="36">ROUND(IF(SUM(D$125:D$127,D$133)&lt;&gt;0,D$140*D125/SUM(D$125:D$127,D$133),0),0)</f>
        <v>47630</v>
      </c>
      <c r="E147" s="557">
        <f t="shared" si="36"/>
        <v>-18512</v>
      </c>
      <c r="F147" s="557">
        <f t="shared" si="36"/>
        <v>21627</v>
      </c>
      <c r="G147" s="557">
        <f t="shared" si="36"/>
        <v>23523</v>
      </c>
      <c r="H147" s="557">
        <f t="shared" si="36"/>
        <v>53005</v>
      </c>
      <c r="I147" s="557">
        <f t="shared" si="36"/>
        <v>45031</v>
      </c>
      <c r="J147" s="557">
        <f t="shared" si="36"/>
        <v>67786</v>
      </c>
      <c r="K147" s="557">
        <f t="shared" si="36"/>
        <v>16415</v>
      </c>
      <c r="L147" s="557">
        <f t="shared" si="36"/>
        <v>0</v>
      </c>
      <c r="M147" s="557">
        <f t="shared" si="36"/>
        <v>0</v>
      </c>
      <c r="N147" s="557">
        <f t="shared" si="36"/>
        <v>0</v>
      </c>
      <c r="O147" s="557">
        <f t="shared" si="36"/>
        <v>0</v>
      </c>
      <c r="P147" s="557">
        <f t="shared" si="35"/>
        <v>256505</v>
      </c>
    </row>
    <row r="148" spans="1:43" s="77" customFormat="1" ht="14.4" x14ac:dyDescent="0.3">
      <c r="A148" s="559"/>
      <c r="B148" s="515" t="s">
        <v>84</v>
      </c>
      <c r="C148" s="533" t="s">
        <v>63</v>
      </c>
      <c r="D148" s="557">
        <f t="shared" si="36"/>
        <v>115366</v>
      </c>
      <c r="E148" s="557">
        <f t="shared" si="36"/>
        <v>-42880</v>
      </c>
      <c r="F148" s="557">
        <f t="shared" si="36"/>
        <v>50926</v>
      </c>
      <c r="G148" s="557">
        <f t="shared" si="36"/>
        <v>54622</v>
      </c>
      <c r="H148" s="557">
        <f t="shared" si="36"/>
        <v>96409</v>
      </c>
      <c r="I148" s="557">
        <f t="shared" si="36"/>
        <v>88215</v>
      </c>
      <c r="J148" s="557">
        <f t="shared" si="36"/>
        <v>149276</v>
      </c>
      <c r="K148" s="557">
        <f t="shared" si="36"/>
        <v>83175</v>
      </c>
      <c r="L148" s="557">
        <f t="shared" si="36"/>
        <v>19876</v>
      </c>
      <c r="M148" s="557">
        <f t="shared" si="36"/>
        <v>0</v>
      </c>
      <c r="N148" s="557">
        <f t="shared" si="36"/>
        <v>0</v>
      </c>
      <c r="O148" s="557">
        <f t="shared" si="36"/>
        <v>0</v>
      </c>
      <c r="P148" s="557">
        <f t="shared" si="35"/>
        <v>614985</v>
      </c>
    </row>
    <row r="149" spans="1:43" s="77" customFormat="1" ht="14.4" x14ac:dyDescent="0.3">
      <c r="A149" s="527"/>
      <c r="B149" s="515" t="s">
        <v>85</v>
      </c>
      <c r="C149" s="533" t="s">
        <v>65</v>
      </c>
      <c r="D149" s="557">
        <f t="shared" si="36"/>
        <v>195449</v>
      </c>
      <c r="E149" s="557">
        <f t="shared" si="36"/>
        <v>-90145</v>
      </c>
      <c r="F149" s="557">
        <f t="shared" si="36"/>
        <v>88707</v>
      </c>
      <c r="G149" s="557">
        <f t="shared" si="36"/>
        <v>114892</v>
      </c>
      <c r="H149" s="557">
        <f t="shared" si="36"/>
        <v>272632</v>
      </c>
      <c r="I149" s="557">
        <f t="shared" si="36"/>
        <v>163706</v>
      </c>
      <c r="J149" s="557">
        <f t="shared" si="36"/>
        <v>286885</v>
      </c>
      <c r="K149" s="557">
        <f t="shared" si="36"/>
        <v>158723</v>
      </c>
      <c r="L149" s="557">
        <f t="shared" si="36"/>
        <v>0</v>
      </c>
      <c r="M149" s="557">
        <f t="shared" si="36"/>
        <v>0</v>
      </c>
      <c r="N149" s="557">
        <f t="shared" si="36"/>
        <v>0</v>
      </c>
      <c r="O149" s="557">
        <f t="shared" si="36"/>
        <v>0</v>
      </c>
      <c r="P149" s="531">
        <f t="shared" si="35"/>
        <v>1190849</v>
      </c>
      <c r="Q149" s="78"/>
    </row>
    <row r="150" spans="1:43" s="77" customFormat="1" x14ac:dyDescent="0.25">
      <c r="A150" s="527"/>
      <c r="B150" s="527" t="s">
        <v>75</v>
      </c>
      <c r="C150" s="527">
        <v>85</v>
      </c>
      <c r="D150" s="531">
        <f t="shared" ref="D150:L150" si="37">ROUND(IF(SUM(D$128:D$130)&lt;&gt;0,D$139*D128/SUM(D$128:D$130),0),0)</f>
        <v>149348</v>
      </c>
      <c r="E150" s="531">
        <f t="shared" si="37"/>
        <v>-55242</v>
      </c>
      <c r="F150" s="531">
        <f t="shared" si="37"/>
        <v>70623</v>
      </c>
      <c r="G150" s="531">
        <f t="shared" si="37"/>
        <v>85652</v>
      </c>
      <c r="H150" s="531">
        <f t="shared" si="37"/>
        <v>185937</v>
      </c>
      <c r="I150" s="531">
        <f t="shared" si="37"/>
        <v>116577</v>
      </c>
      <c r="J150" s="531">
        <f t="shared" si="37"/>
        <v>198831</v>
      </c>
      <c r="K150" s="531">
        <f t="shared" si="37"/>
        <v>98176</v>
      </c>
      <c r="L150" s="531">
        <f t="shared" si="37"/>
        <v>33215</v>
      </c>
      <c r="M150" s="531">
        <f t="shared" ref="M150:O152" si="38">ROUND(IF(SUM(M$128:M$130)&lt;&gt;0,M$139*M128/SUM(M$128:M$130),0),0)</f>
        <v>0</v>
      </c>
      <c r="N150" s="531">
        <f t="shared" si="38"/>
        <v>0</v>
      </c>
      <c r="O150" s="531">
        <f t="shared" si="38"/>
        <v>0</v>
      </c>
      <c r="P150" s="531">
        <f t="shared" si="35"/>
        <v>883117</v>
      </c>
      <c r="Q150" s="78"/>
    </row>
    <row r="151" spans="1:43" s="77" customFormat="1" x14ac:dyDescent="0.25">
      <c r="A151" s="527"/>
      <c r="B151" s="527" t="s">
        <v>76</v>
      </c>
      <c r="C151" s="527">
        <v>86</v>
      </c>
      <c r="D151" s="531">
        <f t="shared" ref="D151:L152" si="39">ROUND(IF(SUM(D$128:D$130)&lt;&gt;0,D$139*D129/SUM(D$128:D$130),0),0)</f>
        <v>208798</v>
      </c>
      <c r="E151" s="531">
        <f t="shared" si="39"/>
        <v>-68889</v>
      </c>
      <c r="F151" s="531">
        <f t="shared" si="39"/>
        <v>80220</v>
      </c>
      <c r="G151" s="531">
        <f t="shared" si="39"/>
        <v>90894</v>
      </c>
      <c r="H151" s="531">
        <f t="shared" si="39"/>
        <v>221256</v>
      </c>
      <c r="I151" s="531">
        <f t="shared" si="39"/>
        <v>127969</v>
      </c>
      <c r="J151" s="531">
        <f t="shared" si="39"/>
        <v>216126</v>
      </c>
      <c r="K151" s="531">
        <f t="shared" si="39"/>
        <v>112104</v>
      </c>
      <c r="L151" s="531">
        <f t="shared" si="39"/>
        <v>53337</v>
      </c>
      <c r="M151" s="531">
        <f t="shared" si="38"/>
        <v>0</v>
      </c>
      <c r="N151" s="531">
        <f t="shared" si="38"/>
        <v>0</v>
      </c>
      <c r="O151" s="531">
        <f t="shared" si="38"/>
        <v>7405</v>
      </c>
      <c r="P151" s="531">
        <f t="shared" si="35"/>
        <v>1049220</v>
      </c>
      <c r="Q151" s="78"/>
    </row>
    <row r="152" spans="1:43" s="77" customFormat="1" x14ac:dyDescent="0.25">
      <c r="A152" s="527"/>
      <c r="B152" s="527" t="s">
        <v>96</v>
      </c>
      <c r="C152" s="527">
        <v>87</v>
      </c>
      <c r="D152" s="531">
        <f t="shared" si="39"/>
        <v>193177</v>
      </c>
      <c r="E152" s="531">
        <f t="shared" si="39"/>
        <v>-75111</v>
      </c>
      <c r="F152" s="531">
        <f t="shared" si="39"/>
        <v>96547</v>
      </c>
      <c r="G152" s="531">
        <f t="shared" si="39"/>
        <v>106020</v>
      </c>
      <c r="H152" s="531">
        <f t="shared" si="39"/>
        <v>215907</v>
      </c>
      <c r="I152" s="531">
        <f t="shared" si="39"/>
        <v>122342</v>
      </c>
      <c r="J152" s="531">
        <f t="shared" si="39"/>
        <v>223837</v>
      </c>
      <c r="K152" s="531">
        <f t="shared" si="39"/>
        <v>97339</v>
      </c>
      <c r="L152" s="531">
        <f t="shared" si="39"/>
        <v>0</v>
      </c>
      <c r="M152" s="531">
        <f t="shared" si="38"/>
        <v>0</v>
      </c>
      <c r="N152" s="531">
        <f t="shared" si="38"/>
        <v>0</v>
      </c>
      <c r="O152" s="531">
        <f t="shared" si="38"/>
        <v>0</v>
      </c>
      <c r="P152" s="531">
        <f t="shared" si="35"/>
        <v>980058</v>
      </c>
      <c r="Q152" s="78"/>
    </row>
    <row r="153" spans="1:43" s="77" customFormat="1" x14ac:dyDescent="0.25">
      <c r="A153" s="527"/>
      <c r="B153" s="527" t="s">
        <v>78</v>
      </c>
      <c r="C153" s="527">
        <v>31</v>
      </c>
      <c r="D153" s="531">
        <f t="shared" ref="D153:O154" si="40">ROUND(IF(SUM(D$122:D$124,D$131:D$132)&lt;&gt;0,D$138*D131/SUM(D$122:D$124,D$131:D$132),0),0)</f>
        <v>273852</v>
      </c>
      <c r="E153" s="531">
        <f t="shared" si="40"/>
        <v>-153814</v>
      </c>
      <c r="F153" s="531">
        <f t="shared" si="40"/>
        <v>146970</v>
      </c>
      <c r="G153" s="531">
        <f t="shared" si="40"/>
        <v>156155</v>
      </c>
      <c r="H153" s="531">
        <f t="shared" si="40"/>
        <v>358095</v>
      </c>
      <c r="I153" s="531">
        <f t="shared" si="40"/>
        <v>196325</v>
      </c>
      <c r="J153" s="531">
        <f t="shared" si="40"/>
        <v>364450</v>
      </c>
      <c r="K153" s="531">
        <f t="shared" si="40"/>
        <v>209391</v>
      </c>
      <c r="L153" s="531">
        <f t="shared" si="40"/>
        <v>90117</v>
      </c>
      <c r="M153" s="531">
        <f t="shared" si="40"/>
        <v>78142</v>
      </c>
      <c r="N153" s="531">
        <f t="shared" si="40"/>
        <v>0</v>
      </c>
      <c r="O153" s="531">
        <f t="shared" si="40"/>
        <v>10001</v>
      </c>
      <c r="P153" s="531">
        <f t="shared" si="35"/>
        <v>1729684</v>
      </c>
      <c r="Q153" s="78"/>
    </row>
    <row r="154" spans="1:43" s="77" customFormat="1" x14ac:dyDescent="0.25">
      <c r="A154" s="527"/>
      <c r="B154" s="527" t="s">
        <v>79</v>
      </c>
      <c r="C154" s="527">
        <v>41</v>
      </c>
      <c r="D154" s="531">
        <f t="shared" si="40"/>
        <v>43033</v>
      </c>
      <c r="E154" s="531">
        <f t="shared" si="40"/>
        <v>-19740</v>
      </c>
      <c r="F154" s="531">
        <f t="shared" si="40"/>
        <v>16054</v>
      </c>
      <c r="G154" s="531">
        <f t="shared" si="40"/>
        <v>19302</v>
      </c>
      <c r="H154" s="531">
        <f t="shared" si="40"/>
        <v>37569</v>
      </c>
      <c r="I154" s="531">
        <f t="shared" si="40"/>
        <v>30217</v>
      </c>
      <c r="J154" s="531">
        <f t="shared" si="40"/>
        <v>48973</v>
      </c>
      <c r="K154" s="531">
        <f t="shared" si="40"/>
        <v>23448</v>
      </c>
      <c r="L154" s="531">
        <f t="shared" si="40"/>
        <v>0</v>
      </c>
      <c r="M154" s="531">
        <f t="shared" si="40"/>
        <v>0</v>
      </c>
      <c r="N154" s="531">
        <f t="shared" si="40"/>
        <v>0</v>
      </c>
      <c r="O154" s="531">
        <f t="shared" si="40"/>
        <v>0</v>
      </c>
      <c r="P154" s="531">
        <f t="shared" si="35"/>
        <v>198856</v>
      </c>
      <c r="Q154" s="78"/>
    </row>
    <row r="155" spans="1:43" s="76" customFormat="1" ht="14.4" x14ac:dyDescent="0.3">
      <c r="A155" s="535"/>
      <c r="B155" s="535" t="s">
        <v>90</v>
      </c>
      <c r="C155" s="547" t="s">
        <v>146</v>
      </c>
      <c r="D155" s="538">
        <f t="shared" ref="D155:O155" si="41">ROUND(IF(SUM(D$125:D$127,D$133)&lt;&gt;0,D$140*D133/SUM(D$125:D$127,D$133),0),0)</f>
        <v>451670</v>
      </c>
      <c r="E155" s="538">
        <f t="shared" si="41"/>
        <v>-177248</v>
      </c>
      <c r="F155" s="538">
        <f t="shared" si="41"/>
        <v>167540</v>
      </c>
      <c r="G155" s="538">
        <f t="shared" si="41"/>
        <v>213385</v>
      </c>
      <c r="H155" s="538">
        <f t="shared" si="41"/>
        <v>518353</v>
      </c>
      <c r="I155" s="538">
        <f t="shared" si="41"/>
        <v>350406</v>
      </c>
      <c r="J155" s="538">
        <f t="shared" si="41"/>
        <v>646272</v>
      </c>
      <c r="K155" s="538">
        <f t="shared" si="41"/>
        <v>298668</v>
      </c>
      <c r="L155" s="538">
        <f t="shared" si="41"/>
        <v>83636</v>
      </c>
      <c r="M155" s="538">
        <f t="shared" si="41"/>
        <v>0</v>
      </c>
      <c r="N155" s="538">
        <f t="shared" si="41"/>
        <v>0</v>
      </c>
      <c r="O155" s="538">
        <f t="shared" si="41"/>
        <v>20381</v>
      </c>
      <c r="P155" s="538">
        <f t="shared" si="35"/>
        <v>2573063</v>
      </c>
      <c r="Q155" s="73"/>
    </row>
    <row r="156" spans="1:43" s="77" customFormat="1" x14ac:dyDescent="0.25">
      <c r="A156" s="527"/>
      <c r="B156" s="527" t="s">
        <v>107</v>
      </c>
      <c r="C156" s="545"/>
      <c r="D156" s="539">
        <f t="shared" ref="D156:P156" si="42">SUM(D144:D155)</f>
        <v>13510301</v>
      </c>
      <c r="E156" s="539">
        <f t="shared" si="42"/>
        <v>-8409714</v>
      </c>
      <c r="F156" s="539">
        <f t="shared" si="42"/>
        <v>8330338</v>
      </c>
      <c r="G156" s="539">
        <f t="shared" si="42"/>
        <v>8633508</v>
      </c>
      <c r="H156" s="539">
        <f t="shared" si="42"/>
        <v>19610454</v>
      </c>
      <c r="I156" s="539">
        <f t="shared" si="42"/>
        <v>10856513</v>
      </c>
      <c r="J156" s="539">
        <f t="shared" si="42"/>
        <v>18926076</v>
      </c>
      <c r="K156" s="539">
        <f t="shared" si="42"/>
        <v>8625713</v>
      </c>
      <c r="L156" s="539">
        <f t="shared" si="42"/>
        <v>2133737</v>
      </c>
      <c r="M156" s="539">
        <f t="shared" si="42"/>
        <v>569995</v>
      </c>
      <c r="N156" s="539">
        <f t="shared" si="42"/>
        <v>0</v>
      </c>
      <c r="O156" s="539">
        <f t="shared" si="42"/>
        <v>217561</v>
      </c>
      <c r="P156" s="539">
        <f t="shared" si="42"/>
        <v>83004482</v>
      </c>
      <c r="Q156" s="73"/>
    </row>
    <row r="157" spans="1:43" s="77" customFormat="1" x14ac:dyDescent="0.25">
      <c r="A157" s="527"/>
      <c r="B157" s="527" t="s">
        <v>108</v>
      </c>
      <c r="C157" s="545"/>
      <c r="D157" s="560">
        <f t="shared" ref="D157:P157" si="43">D156/D31</f>
        <v>0.1847198079312283</v>
      </c>
      <c r="E157" s="560">
        <f t="shared" si="43"/>
        <v>-6.8304178536813559E-2</v>
      </c>
      <c r="F157" s="560">
        <f t="shared" si="43"/>
        <v>5.3062984603832866E-2</v>
      </c>
      <c r="G157" s="560">
        <f t="shared" si="43"/>
        <v>5.7076375076078503E-2</v>
      </c>
      <c r="H157" s="560">
        <f t="shared" si="43"/>
        <v>0.16561687383263787</v>
      </c>
      <c r="I157" s="560">
        <f t="shared" si="43"/>
        <v>9.662057366032252E-2</v>
      </c>
      <c r="J157" s="560">
        <f t="shared" si="43"/>
        <v>0.26202548534510239</v>
      </c>
      <c r="K157" s="560">
        <f t="shared" si="43"/>
        <v>0.14454531798111006</v>
      </c>
      <c r="L157" s="560">
        <f t="shared" si="43"/>
        <v>4.2218076308420005E-2</v>
      </c>
      <c r="M157" s="560">
        <f t="shared" si="43"/>
        <v>1.2545961974979491E-2</v>
      </c>
      <c r="N157" s="560">
        <f t="shared" si="43"/>
        <v>0</v>
      </c>
      <c r="O157" s="560">
        <f t="shared" si="43"/>
        <v>4.1958437834569099E-3</v>
      </c>
      <c r="P157" s="560">
        <f t="shared" si="43"/>
        <v>7.8339648082863034E-2</v>
      </c>
      <c r="Q157" s="61"/>
    </row>
    <row r="158" spans="1:43" s="77" customFormat="1" x14ac:dyDescent="0.25">
      <c r="A158" s="527"/>
      <c r="B158" s="527"/>
      <c r="C158" s="545"/>
      <c r="D158" s="560"/>
      <c r="E158" s="560"/>
      <c r="F158" s="560"/>
      <c r="G158" s="560"/>
      <c r="H158" s="560"/>
      <c r="I158" s="560"/>
      <c r="J158" s="560"/>
      <c r="K158" s="560"/>
      <c r="L158" s="560"/>
      <c r="M158" s="560"/>
      <c r="N158" s="560"/>
      <c r="O158" s="560"/>
      <c r="P158" s="560"/>
      <c r="Q158" s="73"/>
    </row>
    <row r="159" spans="1:43" s="77" customFormat="1" x14ac:dyDescent="0.25">
      <c r="A159" s="527"/>
      <c r="B159" s="556" t="s">
        <v>112</v>
      </c>
      <c r="C159" s="545"/>
      <c r="D159" s="561"/>
      <c r="E159" s="561"/>
      <c r="F159" s="561"/>
      <c r="G159" s="561"/>
      <c r="H159" s="561"/>
      <c r="I159" s="561"/>
      <c r="J159" s="561"/>
      <c r="K159" s="561"/>
      <c r="L159" s="561"/>
      <c r="M159" s="561"/>
      <c r="N159" s="561"/>
      <c r="O159" s="561"/>
      <c r="P159" s="561"/>
      <c r="Q159" s="73"/>
    </row>
    <row r="160" spans="1:43" s="77" customFormat="1" x14ac:dyDescent="0.25">
      <c r="A160" s="527"/>
      <c r="B160" s="527" t="s">
        <v>0</v>
      </c>
      <c r="C160" s="545">
        <v>23</v>
      </c>
      <c r="D160" s="531">
        <f t="shared" ref="D160:O160" si="44">D10+D144</f>
        <v>42897331.461000003</v>
      </c>
      <c r="E160" s="531">
        <f t="shared" si="44"/>
        <v>62231323.408999994</v>
      </c>
      <c r="F160" s="531">
        <f t="shared" si="44"/>
        <v>96653307.501000002</v>
      </c>
      <c r="G160" s="531">
        <f t="shared" si="44"/>
        <v>91595598.991999999</v>
      </c>
      <c r="H160" s="531">
        <f t="shared" si="44"/>
        <v>77635007.008000001</v>
      </c>
      <c r="I160" s="531">
        <f t="shared" si="44"/>
        <v>65304168.060000002</v>
      </c>
      <c r="J160" s="531">
        <f t="shared" si="44"/>
        <v>45772321.185000002</v>
      </c>
      <c r="K160" s="531">
        <f t="shared" si="44"/>
        <v>28825584.690000001</v>
      </c>
      <c r="L160" s="531">
        <f t="shared" si="44"/>
        <v>19259250.386999998</v>
      </c>
      <c r="M160" s="531">
        <f t="shared" si="44"/>
        <v>14539363.1</v>
      </c>
      <c r="N160" s="531">
        <f t="shared" si="44"/>
        <v>13454917.184</v>
      </c>
      <c r="O160" s="531">
        <f t="shared" si="44"/>
        <v>19362978.105999999</v>
      </c>
      <c r="P160" s="531">
        <f t="shared" ref="P160:P171" si="45">SUM(D160:O160)</f>
        <v>577531151.08299994</v>
      </c>
      <c r="Q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</row>
    <row r="161" spans="1:43" s="77" customFormat="1" x14ac:dyDescent="0.25">
      <c r="A161" s="527"/>
      <c r="B161" s="528" t="s">
        <v>73</v>
      </c>
      <c r="C161" s="533">
        <v>31</v>
      </c>
      <c r="D161" s="531">
        <f t="shared" ref="D161:O162" si="46">D12+D145</f>
        <v>14337785.007999999</v>
      </c>
      <c r="E161" s="531">
        <f t="shared" si="46"/>
        <v>20134386.640999999</v>
      </c>
      <c r="F161" s="531">
        <f t="shared" si="46"/>
        <v>30436097.739999998</v>
      </c>
      <c r="G161" s="531">
        <f t="shared" si="46"/>
        <v>29591261.298999999</v>
      </c>
      <c r="H161" s="531">
        <f t="shared" si="46"/>
        <v>24843475.631999999</v>
      </c>
      <c r="I161" s="531">
        <f t="shared" si="46"/>
        <v>21624883.713</v>
      </c>
      <c r="J161" s="531">
        <f t="shared" si="46"/>
        <v>15575922.878</v>
      </c>
      <c r="K161" s="531">
        <f t="shared" si="46"/>
        <v>11230900.365</v>
      </c>
      <c r="L161" s="531">
        <f t="shared" si="46"/>
        <v>8756016.8690000009</v>
      </c>
      <c r="M161" s="531">
        <f t="shared" si="46"/>
        <v>7677067.9900000002</v>
      </c>
      <c r="N161" s="531">
        <f t="shared" si="46"/>
        <v>7480555.2740000002</v>
      </c>
      <c r="O161" s="531">
        <f t="shared" si="46"/>
        <v>8716597.341</v>
      </c>
      <c r="P161" s="531">
        <f t="shared" si="45"/>
        <v>200404950.74999997</v>
      </c>
      <c r="Q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</row>
    <row r="162" spans="1:43" s="77" customFormat="1" x14ac:dyDescent="0.25">
      <c r="A162" s="527"/>
      <c r="B162" s="528" t="s">
        <v>74</v>
      </c>
      <c r="C162" s="527">
        <v>41</v>
      </c>
      <c r="D162" s="531">
        <f t="shared" si="46"/>
        <v>4241810.8130000001</v>
      </c>
      <c r="E162" s="531">
        <f t="shared" si="46"/>
        <v>5384406.6449999996</v>
      </c>
      <c r="F162" s="531">
        <f t="shared" si="46"/>
        <v>7185727.438000001</v>
      </c>
      <c r="G162" s="531">
        <f t="shared" si="46"/>
        <v>7082361.9689999996</v>
      </c>
      <c r="H162" s="531">
        <f t="shared" si="46"/>
        <v>6208005.3450000007</v>
      </c>
      <c r="I162" s="531">
        <f t="shared" si="46"/>
        <v>5847432.0899999999</v>
      </c>
      <c r="J162" s="531">
        <f t="shared" si="46"/>
        <v>4583899.4060000004</v>
      </c>
      <c r="K162" s="531">
        <f t="shared" si="46"/>
        <v>3677961.4049999998</v>
      </c>
      <c r="L162" s="531">
        <f t="shared" si="46"/>
        <v>2943456.4589999998</v>
      </c>
      <c r="M162" s="531">
        <f t="shared" si="46"/>
        <v>2501770.79</v>
      </c>
      <c r="N162" s="531">
        <f t="shared" si="46"/>
        <v>2440093.7200000002</v>
      </c>
      <c r="O162" s="531">
        <f t="shared" si="46"/>
        <v>2881578.1740000001</v>
      </c>
      <c r="P162" s="531">
        <f t="shared" si="45"/>
        <v>54978504.254000001</v>
      </c>
      <c r="Q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</row>
    <row r="163" spans="1:43" s="77" customFormat="1" ht="14.4" x14ac:dyDescent="0.3">
      <c r="A163" s="559"/>
      <c r="B163" s="515" t="s">
        <v>83</v>
      </c>
      <c r="C163" s="533" t="s">
        <v>62</v>
      </c>
      <c r="D163" s="557">
        <f t="shared" ref="D163:O165" si="47">D23+D147</f>
        <v>814694.14</v>
      </c>
      <c r="E163" s="557">
        <f t="shared" si="47"/>
        <v>924955.16</v>
      </c>
      <c r="F163" s="557">
        <f t="shared" si="47"/>
        <v>1025062.48</v>
      </c>
      <c r="G163" s="557">
        <f t="shared" si="47"/>
        <v>1025091.48</v>
      </c>
      <c r="H163" s="557">
        <f t="shared" si="47"/>
        <v>936347.76</v>
      </c>
      <c r="I163" s="557">
        <f t="shared" si="47"/>
        <v>999981.85</v>
      </c>
      <c r="J163" s="557">
        <f t="shared" si="47"/>
        <v>860573.08000000007</v>
      </c>
      <c r="K163" s="557">
        <f t="shared" si="47"/>
        <v>801403.08</v>
      </c>
      <c r="L163" s="557">
        <f t="shared" si="47"/>
        <v>780207.87000000011</v>
      </c>
      <c r="M163" s="557">
        <f t="shared" si="47"/>
        <v>718890.81</v>
      </c>
      <c r="N163" s="557">
        <f t="shared" si="47"/>
        <v>759239.24</v>
      </c>
      <c r="O163" s="557">
        <f t="shared" si="47"/>
        <v>738568.31</v>
      </c>
      <c r="P163" s="557">
        <f t="shared" si="45"/>
        <v>10385015.260000002</v>
      </c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</row>
    <row r="164" spans="1:43" s="77" customFormat="1" ht="14.4" x14ac:dyDescent="0.3">
      <c r="A164" s="559"/>
      <c r="B164" s="515" t="s">
        <v>84</v>
      </c>
      <c r="C164" s="533" t="s">
        <v>63</v>
      </c>
      <c r="D164" s="557">
        <f t="shared" si="47"/>
        <v>2030729.9500000002</v>
      </c>
      <c r="E164" s="557">
        <f t="shared" si="47"/>
        <v>2164784.48</v>
      </c>
      <c r="F164" s="557">
        <f t="shared" si="47"/>
        <v>2425237.4899999998</v>
      </c>
      <c r="G164" s="557">
        <f t="shared" si="47"/>
        <v>2301684.56</v>
      </c>
      <c r="H164" s="557">
        <f t="shared" si="47"/>
        <v>2075860.96</v>
      </c>
      <c r="I164" s="557">
        <f t="shared" si="47"/>
        <v>2133345.71</v>
      </c>
      <c r="J164" s="557">
        <f t="shared" si="47"/>
        <v>1945606.36</v>
      </c>
      <c r="K164" s="557">
        <f t="shared" si="47"/>
        <v>1917454.94</v>
      </c>
      <c r="L164" s="557">
        <f t="shared" si="47"/>
        <v>1739315.7100000002</v>
      </c>
      <c r="M164" s="557">
        <f t="shared" si="47"/>
        <v>1652962.88</v>
      </c>
      <c r="N164" s="557">
        <f t="shared" si="47"/>
        <v>1701215.62</v>
      </c>
      <c r="O164" s="557">
        <f t="shared" si="47"/>
        <v>1750044.56</v>
      </c>
      <c r="P164" s="557">
        <f t="shared" si="45"/>
        <v>23838243.220000003</v>
      </c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</row>
    <row r="165" spans="1:43" s="77" customFormat="1" x14ac:dyDescent="0.25">
      <c r="A165" s="527"/>
      <c r="B165" s="515" t="s">
        <v>85</v>
      </c>
      <c r="C165" s="533" t="s">
        <v>65</v>
      </c>
      <c r="D165" s="531">
        <f t="shared" si="47"/>
        <v>1596731.74</v>
      </c>
      <c r="E165" s="531">
        <f t="shared" si="47"/>
        <v>1817504</v>
      </c>
      <c r="F165" s="531">
        <f t="shared" si="47"/>
        <v>2258420.7799999998</v>
      </c>
      <c r="G165" s="531">
        <f t="shared" si="47"/>
        <v>2171151.19</v>
      </c>
      <c r="H165" s="531">
        <f t="shared" si="47"/>
        <v>2053395.19</v>
      </c>
      <c r="I165" s="531">
        <f t="shared" si="47"/>
        <v>1998704.3900000001</v>
      </c>
      <c r="J165" s="531">
        <f t="shared" si="47"/>
        <v>1663092.53</v>
      </c>
      <c r="K165" s="531">
        <f t="shared" si="47"/>
        <v>1432692.11</v>
      </c>
      <c r="L165" s="531">
        <f t="shared" si="47"/>
        <v>1151746.3999999999</v>
      </c>
      <c r="M165" s="531">
        <f t="shared" si="47"/>
        <v>1091624.69</v>
      </c>
      <c r="N165" s="531">
        <f t="shared" si="47"/>
        <v>1053947.52</v>
      </c>
      <c r="O165" s="531">
        <f t="shared" si="47"/>
        <v>1096161.1400000001</v>
      </c>
      <c r="P165" s="531">
        <f t="shared" si="45"/>
        <v>19385171.68</v>
      </c>
      <c r="Q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</row>
    <row r="166" spans="1:43" s="77" customFormat="1" x14ac:dyDescent="0.25">
      <c r="A166" s="527"/>
      <c r="B166" s="527" t="s">
        <v>75</v>
      </c>
      <c r="C166" s="527">
        <v>85</v>
      </c>
      <c r="D166" s="531">
        <f t="shared" ref="D166:O170" si="48">D15+D150</f>
        <v>1253946.5379999999</v>
      </c>
      <c r="E166" s="531">
        <f t="shared" si="48"/>
        <v>1489119.2</v>
      </c>
      <c r="F166" s="531">
        <f t="shared" si="48"/>
        <v>1911937.1919999998</v>
      </c>
      <c r="G166" s="531">
        <f t="shared" si="48"/>
        <v>1950574.56</v>
      </c>
      <c r="H166" s="531">
        <f t="shared" si="48"/>
        <v>1737153.3489999999</v>
      </c>
      <c r="I166" s="531">
        <f t="shared" si="48"/>
        <v>1667703.0589999999</v>
      </c>
      <c r="J166" s="531">
        <f t="shared" si="48"/>
        <v>1313698.1000000001</v>
      </c>
      <c r="K166" s="531">
        <f t="shared" si="48"/>
        <v>986245.44100000011</v>
      </c>
      <c r="L166" s="531">
        <f t="shared" si="48"/>
        <v>726715.47200000007</v>
      </c>
      <c r="M166" s="531">
        <f t="shared" si="48"/>
        <v>684020.19099999999</v>
      </c>
      <c r="N166" s="531">
        <f t="shared" si="48"/>
        <v>657180.80900000001</v>
      </c>
      <c r="O166" s="531">
        <f t="shared" si="48"/>
        <v>554907.1</v>
      </c>
      <c r="P166" s="531">
        <f t="shared" si="45"/>
        <v>14933201.010999998</v>
      </c>
      <c r="Q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</row>
    <row r="167" spans="1:43" s="77" customFormat="1" x14ac:dyDescent="0.25">
      <c r="A167" s="527"/>
      <c r="B167" s="527" t="s">
        <v>76</v>
      </c>
      <c r="C167" s="527">
        <v>86</v>
      </c>
      <c r="D167" s="531">
        <f t="shared" si="48"/>
        <v>793439.07199999993</v>
      </c>
      <c r="E167" s="531">
        <f t="shared" si="48"/>
        <v>966331.33200000005</v>
      </c>
      <c r="F167" s="531">
        <f t="shared" si="48"/>
        <v>1324533.8640000001</v>
      </c>
      <c r="G167" s="531">
        <f t="shared" si="48"/>
        <v>1320645.7409999999</v>
      </c>
      <c r="H167" s="531">
        <f t="shared" si="48"/>
        <v>1191519.983</v>
      </c>
      <c r="I167" s="531">
        <f t="shared" si="48"/>
        <v>1062259.2579999999</v>
      </c>
      <c r="J167" s="531">
        <f t="shared" si="48"/>
        <v>785759.43299999996</v>
      </c>
      <c r="K167" s="531">
        <f t="shared" si="48"/>
        <v>521401.23100000003</v>
      </c>
      <c r="L167" s="531">
        <f t="shared" si="48"/>
        <v>351432.734</v>
      </c>
      <c r="M167" s="531">
        <f t="shared" si="48"/>
        <v>211648.10800000001</v>
      </c>
      <c r="N167" s="531">
        <f t="shared" si="48"/>
        <v>200004.37</v>
      </c>
      <c r="O167" s="531">
        <f t="shared" si="48"/>
        <v>311274.109</v>
      </c>
      <c r="P167" s="531">
        <f t="shared" si="45"/>
        <v>9040249.2349999994</v>
      </c>
      <c r="Q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</row>
    <row r="168" spans="1:43" s="77" customFormat="1" x14ac:dyDescent="0.25">
      <c r="A168" s="527"/>
      <c r="B168" s="527" t="s">
        <v>96</v>
      </c>
      <c r="C168" s="527">
        <v>87</v>
      </c>
      <c r="D168" s="531">
        <f t="shared" si="48"/>
        <v>1828874.1059999997</v>
      </c>
      <c r="E168" s="531">
        <f t="shared" si="48"/>
        <v>2169692.088</v>
      </c>
      <c r="F168" s="531">
        <f t="shared" si="48"/>
        <v>2645547.42</v>
      </c>
      <c r="G168" s="531">
        <f t="shared" si="48"/>
        <v>2779902.6660000002</v>
      </c>
      <c r="H168" s="531">
        <f t="shared" si="48"/>
        <v>2404527.4210000001</v>
      </c>
      <c r="I168" s="531">
        <f t="shared" si="48"/>
        <v>2315574.165</v>
      </c>
      <c r="J168" s="531">
        <f t="shared" si="48"/>
        <v>1976999.811</v>
      </c>
      <c r="K168" s="531">
        <f t="shared" si="48"/>
        <v>1668820.1310000001</v>
      </c>
      <c r="L168" s="531">
        <f t="shared" si="48"/>
        <v>1372126.3689999999</v>
      </c>
      <c r="M168" s="531">
        <f t="shared" si="48"/>
        <v>1364669.4919999999</v>
      </c>
      <c r="N168" s="531">
        <f t="shared" si="48"/>
        <v>1339088.034</v>
      </c>
      <c r="O168" s="531">
        <f t="shared" si="48"/>
        <v>1445559.585</v>
      </c>
      <c r="P168" s="531">
        <f t="shared" si="45"/>
        <v>23311381.288000003</v>
      </c>
      <c r="Q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</row>
    <row r="169" spans="1:43" s="77" customFormat="1" x14ac:dyDescent="0.25">
      <c r="A169" s="527"/>
      <c r="B169" s="527" t="s">
        <v>78</v>
      </c>
      <c r="C169" s="527">
        <v>31</v>
      </c>
      <c r="D169" s="531">
        <f t="shared" si="48"/>
        <v>1071325.6949999998</v>
      </c>
      <c r="E169" s="531">
        <f t="shared" si="48"/>
        <v>1310837.8740000001</v>
      </c>
      <c r="F169" s="531">
        <f t="shared" si="48"/>
        <v>2211944.1660000002</v>
      </c>
      <c r="G169" s="531">
        <f t="shared" si="48"/>
        <v>2181458.2340000002</v>
      </c>
      <c r="H169" s="531">
        <f t="shared" si="48"/>
        <v>1878675.129</v>
      </c>
      <c r="I169" s="531">
        <f t="shared" si="48"/>
        <v>1577275.68</v>
      </c>
      <c r="J169" s="531">
        <f t="shared" si="48"/>
        <v>1174450.784</v>
      </c>
      <c r="K169" s="531">
        <f t="shared" si="48"/>
        <v>759469.05900000001</v>
      </c>
      <c r="L169" s="531">
        <f t="shared" si="48"/>
        <v>546529.9</v>
      </c>
      <c r="M169" s="531">
        <f t="shared" si="48"/>
        <v>496779.53200000001</v>
      </c>
      <c r="N169" s="531">
        <f t="shared" si="48"/>
        <v>427025.05599999998</v>
      </c>
      <c r="O169" s="531">
        <f t="shared" si="48"/>
        <v>523501.43400000001</v>
      </c>
      <c r="P169" s="531">
        <f t="shared" si="45"/>
        <v>14159272.543000001</v>
      </c>
      <c r="Q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</row>
    <row r="170" spans="1:43" s="77" customFormat="1" x14ac:dyDescent="0.25">
      <c r="A170" s="527"/>
      <c r="B170" s="527" t="s">
        <v>79</v>
      </c>
      <c r="C170" s="527">
        <v>41</v>
      </c>
      <c r="D170" s="531">
        <f t="shared" si="48"/>
        <v>1032448.183</v>
      </c>
      <c r="E170" s="531">
        <f t="shared" si="48"/>
        <v>1067028.827</v>
      </c>
      <c r="F170" s="531">
        <f t="shared" si="48"/>
        <v>1063328.4780000001</v>
      </c>
      <c r="G170" s="531">
        <f t="shared" si="48"/>
        <v>1082244.088</v>
      </c>
      <c r="H170" s="531">
        <f t="shared" si="48"/>
        <v>979025.03600000008</v>
      </c>
      <c r="I170" s="531">
        <f t="shared" si="48"/>
        <v>1029266.787</v>
      </c>
      <c r="J170" s="531">
        <f t="shared" si="48"/>
        <v>919553.14699999988</v>
      </c>
      <c r="K170" s="531">
        <f t="shared" si="48"/>
        <v>834281.25399999996</v>
      </c>
      <c r="L170" s="531">
        <f t="shared" si="48"/>
        <v>751541.83400000003</v>
      </c>
      <c r="M170" s="531">
        <f t="shared" si="48"/>
        <v>726665.20600000001</v>
      </c>
      <c r="N170" s="531">
        <f t="shared" si="48"/>
        <v>754256.90800000005</v>
      </c>
      <c r="O170" s="531">
        <f t="shared" si="48"/>
        <v>772506.21100000001</v>
      </c>
      <c r="P170" s="531">
        <f t="shared" si="45"/>
        <v>11012145.958999999</v>
      </c>
      <c r="Q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</row>
    <row r="171" spans="1:43" s="76" customFormat="1" ht="14.4" x14ac:dyDescent="0.3">
      <c r="A171" s="535"/>
      <c r="B171" s="535" t="s">
        <v>90</v>
      </c>
      <c r="C171" s="547" t="s">
        <v>146</v>
      </c>
      <c r="D171" s="538">
        <f t="shared" ref="D171:O171" si="49">D30+D155</f>
        <v>3057947.05</v>
      </c>
      <c r="E171" s="538">
        <f t="shared" si="49"/>
        <v>3637675.07</v>
      </c>
      <c r="F171" s="538">
        <f t="shared" si="49"/>
        <v>4152219.4000000004</v>
      </c>
      <c r="G171" s="538">
        <f t="shared" si="49"/>
        <v>4268862.2200000007</v>
      </c>
      <c r="H171" s="538">
        <f t="shared" si="49"/>
        <v>3939510.67</v>
      </c>
      <c r="I171" s="538">
        <f t="shared" si="49"/>
        <v>4038379.4499999997</v>
      </c>
      <c r="J171" s="538">
        <f t="shared" si="49"/>
        <v>3356297.61</v>
      </c>
      <c r="K171" s="538">
        <f t="shared" si="49"/>
        <v>2699134.99</v>
      </c>
      <c r="L171" s="538">
        <f t="shared" si="49"/>
        <v>2249234.02</v>
      </c>
      <c r="M171" s="538">
        <f t="shared" si="49"/>
        <v>1956143.7000000002</v>
      </c>
      <c r="N171" s="538">
        <f t="shared" si="49"/>
        <v>1845610.4999999998</v>
      </c>
      <c r="O171" s="538">
        <f t="shared" si="49"/>
        <v>2022222.78</v>
      </c>
      <c r="P171" s="538">
        <f t="shared" si="45"/>
        <v>37223237.460000001</v>
      </c>
      <c r="Q171" s="73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</row>
    <row r="172" spans="1:43" s="77" customFormat="1" x14ac:dyDescent="0.25">
      <c r="A172" s="527"/>
      <c r="B172" s="527" t="s">
        <v>105</v>
      </c>
      <c r="C172" s="545"/>
      <c r="D172" s="539">
        <f t="shared" ref="D172:P172" si="50">SUM(D160:D171)</f>
        <v>74957063.755999997</v>
      </c>
      <c r="E172" s="539">
        <f t="shared" si="50"/>
        <v>103298044.726</v>
      </c>
      <c r="F172" s="539">
        <f t="shared" si="50"/>
        <v>153293363.94899997</v>
      </c>
      <c r="G172" s="539">
        <f t="shared" si="50"/>
        <v>147350836.99899998</v>
      </c>
      <c r="H172" s="539">
        <f t="shared" si="50"/>
        <v>125882503.483</v>
      </c>
      <c r="I172" s="539">
        <f t="shared" si="50"/>
        <v>109598974.21200001</v>
      </c>
      <c r="J172" s="539">
        <f t="shared" si="50"/>
        <v>79928174.324000001</v>
      </c>
      <c r="K172" s="539">
        <f t="shared" si="50"/>
        <v>55355348.695999995</v>
      </c>
      <c r="L172" s="539">
        <f t="shared" si="50"/>
        <v>40627574.024000004</v>
      </c>
      <c r="M172" s="539">
        <f t="shared" si="50"/>
        <v>33621606.489</v>
      </c>
      <c r="N172" s="539">
        <f t="shared" si="50"/>
        <v>32113134.234999999</v>
      </c>
      <c r="O172" s="539">
        <f t="shared" si="50"/>
        <v>40175898.849999994</v>
      </c>
      <c r="P172" s="539">
        <f t="shared" si="50"/>
        <v>996202523.74299991</v>
      </c>
      <c r="Q172" s="73"/>
    </row>
    <row r="173" spans="1:43" s="77" customFormat="1" x14ac:dyDescent="0.25">
      <c r="A173" s="527"/>
      <c r="B173" s="527"/>
      <c r="C173" s="527"/>
      <c r="D173" s="531"/>
      <c r="E173" s="531"/>
      <c r="F173" s="531"/>
      <c r="G173" s="531"/>
      <c r="H173" s="531"/>
      <c r="I173" s="531"/>
      <c r="J173" s="531"/>
      <c r="K173" s="531"/>
      <c r="L173" s="531"/>
      <c r="M173" s="531"/>
      <c r="N173" s="531"/>
      <c r="O173" s="531"/>
      <c r="P173" s="531"/>
      <c r="Q173" s="78"/>
    </row>
    <row r="174" spans="1:43" s="77" customFormat="1" x14ac:dyDescent="0.25">
      <c r="A174" s="527"/>
      <c r="B174" s="528" t="s">
        <v>113</v>
      </c>
      <c r="C174" s="527">
        <v>16</v>
      </c>
      <c r="D174" s="531">
        <f t="shared" ref="D174:O174" si="51">D9</f>
        <v>843.66700000000003</v>
      </c>
      <c r="E174" s="531">
        <f t="shared" si="51"/>
        <v>830.59199999999998</v>
      </c>
      <c r="F174" s="531">
        <f t="shared" si="51"/>
        <v>807.86599999999999</v>
      </c>
      <c r="G174" s="531">
        <f t="shared" si="51"/>
        <v>789.01199999999994</v>
      </c>
      <c r="H174" s="531">
        <f t="shared" si="51"/>
        <v>758.72900000000004</v>
      </c>
      <c r="I174" s="531">
        <f t="shared" si="51"/>
        <v>801.57600000000002</v>
      </c>
      <c r="J174" s="531">
        <f t="shared" si="51"/>
        <v>808.22799999999984</v>
      </c>
      <c r="K174" s="531">
        <f t="shared" si="51"/>
        <v>828.98500000000001</v>
      </c>
      <c r="L174" s="531">
        <f t="shared" si="51"/>
        <v>769.97599999999989</v>
      </c>
      <c r="M174" s="531">
        <f t="shared" si="51"/>
        <v>824.70100000000002</v>
      </c>
      <c r="N174" s="531">
        <f t="shared" si="51"/>
        <v>824.07</v>
      </c>
      <c r="O174" s="531">
        <f t="shared" si="51"/>
        <v>802.58699999999999</v>
      </c>
      <c r="P174" s="531">
        <f t="shared" ref="P174:P183" si="52">SUM(D174:O174)</f>
        <v>9689.9889999999996</v>
      </c>
      <c r="Q174" s="78"/>
    </row>
    <row r="175" spans="1:43" s="77" customFormat="1" x14ac:dyDescent="0.25">
      <c r="A175" s="527"/>
      <c r="B175" s="527" t="str">
        <f t="shared" ref="B175:O175" si="53">B11</f>
        <v>Propane</v>
      </c>
      <c r="C175" s="545">
        <f t="shared" si="53"/>
        <v>53</v>
      </c>
      <c r="D175" s="531">
        <f t="shared" si="53"/>
        <v>18.731000000000002</v>
      </c>
      <c r="E175" s="531">
        <f t="shared" si="53"/>
        <v>24.811</v>
      </c>
      <c r="F175" s="531">
        <f t="shared" si="53"/>
        <v>33.003999999999998</v>
      </c>
      <c r="G175" s="531">
        <f t="shared" si="53"/>
        <v>33.353999999999999</v>
      </c>
      <c r="H175" s="531">
        <f t="shared" si="53"/>
        <v>30.581</v>
      </c>
      <c r="I175" s="531">
        <f t="shared" si="53"/>
        <v>31.948</v>
      </c>
      <c r="J175" s="531">
        <f t="shared" si="53"/>
        <v>24.841000000000001</v>
      </c>
      <c r="K175" s="531">
        <f t="shared" si="53"/>
        <v>21.797000000000001</v>
      </c>
      <c r="L175" s="531">
        <f t="shared" si="53"/>
        <v>17.646999999999998</v>
      </c>
      <c r="M175" s="531">
        <f t="shared" si="53"/>
        <v>5.0419999999999998</v>
      </c>
      <c r="N175" s="531">
        <f t="shared" si="53"/>
        <v>3.782</v>
      </c>
      <c r="O175" s="531">
        <f t="shared" si="53"/>
        <v>3.867</v>
      </c>
      <c r="P175" s="531">
        <f t="shared" si="52"/>
        <v>249.405</v>
      </c>
      <c r="Q175" s="78"/>
    </row>
    <row r="176" spans="1:43" s="77" customFormat="1" x14ac:dyDescent="0.25">
      <c r="A176" s="527"/>
      <c r="B176" s="527" t="str">
        <f t="shared" ref="B176:O178" si="54">B20</f>
        <v>Interruptible with firm option - ind</v>
      </c>
      <c r="C176" s="545">
        <f t="shared" si="54"/>
        <v>85</v>
      </c>
      <c r="D176" s="531">
        <f t="shared" si="54"/>
        <v>81949.656999999992</v>
      </c>
      <c r="E176" s="531">
        <f t="shared" si="54"/>
        <v>184534.97</v>
      </c>
      <c r="F176" s="531">
        <f t="shared" si="54"/>
        <v>231301.13099999999</v>
      </c>
      <c r="G176" s="531">
        <f t="shared" si="54"/>
        <v>197826.00600000002</v>
      </c>
      <c r="H176" s="531">
        <f t="shared" si="54"/>
        <v>174933.33900000001</v>
      </c>
      <c r="I176" s="531">
        <f t="shared" si="54"/>
        <v>205732.81099999999</v>
      </c>
      <c r="J176" s="531">
        <f t="shared" si="54"/>
        <v>220761.351</v>
      </c>
      <c r="K176" s="531">
        <f t="shared" si="54"/>
        <v>201525.47</v>
      </c>
      <c r="L176" s="531">
        <f t="shared" si="54"/>
        <v>188026.69</v>
      </c>
      <c r="M176" s="531">
        <f t="shared" si="54"/>
        <v>165855.402</v>
      </c>
      <c r="N176" s="531">
        <f t="shared" si="54"/>
        <v>192964.42200000002</v>
      </c>
      <c r="O176" s="531">
        <f t="shared" si="54"/>
        <v>161183.179</v>
      </c>
      <c r="P176" s="531">
        <f t="shared" si="52"/>
        <v>2206594.4279999998</v>
      </c>
      <c r="Q176" s="78"/>
    </row>
    <row r="177" spans="1:17" s="77" customFormat="1" x14ac:dyDescent="0.25">
      <c r="A177" s="527"/>
      <c r="B177" s="527" t="str">
        <f t="shared" si="54"/>
        <v>Limited interrupt w/ firm option - ind</v>
      </c>
      <c r="C177" s="545">
        <f t="shared" si="54"/>
        <v>86</v>
      </c>
      <c r="D177" s="531">
        <f t="shared" si="54"/>
        <v>13156.929</v>
      </c>
      <c r="E177" s="531">
        <f t="shared" si="54"/>
        <v>26184.205999999998</v>
      </c>
      <c r="F177" s="531">
        <f t="shared" si="54"/>
        <v>103222.136</v>
      </c>
      <c r="G177" s="531">
        <f t="shared" si="54"/>
        <v>219171.81599999999</v>
      </c>
      <c r="H177" s="531">
        <f t="shared" si="54"/>
        <v>199241.50599999999</v>
      </c>
      <c r="I177" s="531">
        <f t="shared" si="54"/>
        <v>78072.238000000012</v>
      </c>
      <c r="J177" s="531">
        <f t="shared" si="54"/>
        <v>10374.351000000001</v>
      </c>
      <c r="K177" s="531">
        <f t="shared" si="54"/>
        <v>9224.107</v>
      </c>
      <c r="L177" s="531">
        <f t="shared" si="54"/>
        <v>7884.28</v>
      </c>
      <c r="M177" s="531">
        <f t="shared" si="54"/>
        <v>32836.861000000004</v>
      </c>
      <c r="N177" s="531">
        <f t="shared" si="54"/>
        <v>90805.736999999994</v>
      </c>
      <c r="O177" s="531">
        <f t="shared" si="54"/>
        <v>95606.127999999997</v>
      </c>
      <c r="P177" s="531">
        <f t="shared" si="52"/>
        <v>885780.29500000004</v>
      </c>
      <c r="Q177" s="78"/>
    </row>
    <row r="178" spans="1:17" s="77" customFormat="1" x14ac:dyDescent="0.25">
      <c r="A178" s="527"/>
      <c r="B178" s="527" t="str">
        <f t="shared" si="54"/>
        <v>Non-excl interrupt w/ firm option - ind</v>
      </c>
      <c r="C178" s="545">
        <f t="shared" si="54"/>
        <v>87</v>
      </c>
      <c r="D178" s="531">
        <f t="shared" si="54"/>
        <v>0</v>
      </c>
      <c r="E178" s="531">
        <f t="shared" si="54"/>
        <v>0</v>
      </c>
      <c r="F178" s="531">
        <f t="shared" si="54"/>
        <v>0</v>
      </c>
      <c r="G178" s="531">
        <f t="shared" si="54"/>
        <v>0</v>
      </c>
      <c r="H178" s="531">
        <f t="shared" si="54"/>
        <v>0</v>
      </c>
      <c r="I178" s="531">
        <f t="shared" si="54"/>
        <v>0</v>
      </c>
      <c r="J178" s="531">
        <f t="shared" si="54"/>
        <v>0</v>
      </c>
      <c r="K178" s="531">
        <f t="shared" si="54"/>
        <v>0</v>
      </c>
      <c r="L178" s="531">
        <f t="shared" si="54"/>
        <v>0</v>
      </c>
      <c r="M178" s="531">
        <f t="shared" si="54"/>
        <v>0</v>
      </c>
      <c r="N178" s="531">
        <f t="shared" si="54"/>
        <v>0</v>
      </c>
      <c r="O178" s="531">
        <f t="shared" si="54"/>
        <v>0</v>
      </c>
      <c r="P178" s="531">
        <f t="shared" si="52"/>
        <v>0</v>
      </c>
      <c r="Q178" s="78"/>
    </row>
    <row r="179" spans="1:17" s="77" customFormat="1" x14ac:dyDescent="0.25">
      <c r="A179" s="527"/>
      <c r="B179" s="515" t="s">
        <v>198</v>
      </c>
      <c r="C179" s="533" t="s">
        <v>197</v>
      </c>
      <c r="D179" s="531">
        <f t="shared" ref="D179:O179" si="55">D14</f>
        <v>690.24</v>
      </c>
      <c r="E179" s="531">
        <f t="shared" si="55"/>
        <v>2638.01</v>
      </c>
      <c r="F179" s="531">
        <f t="shared" si="55"/>
        <v>3281.49</v>
      </c>
      <c r="G179" s="531">
        <f t="shared" si="55"/>
        <v>3247.94</v>
      </c>
      <c r="H179" s="531">
        <f t="shared" si="55"/>
        <v>2197.9499999999998</v>
      </c>
      <c r="I179" s="531">
        <f t="shared" si="55"/>
        <v>2214.73</v>
      </c>
      <c r="J179" s="531">
        <f t="shared" si="55"/>
        <v>1548.25</v>
      </c>
      <c r="K179" s="531">
        <f t="shared" si="55"/>
        <v>1312.89</v>
      </c>
      <c r="L179" s="531">
        <f t="shared" si="55"/>
        <v>1142.98</v>
      </c>
      <c r="M179" s="531">
        <f t="shared" si="55"/>
        <v>1219.27</v>
      </c>
      <c r="N179" s="531">
        <f t="shared" si="55"/>
        <v>1595.52</v>
      </c>
      <c r="O179" s="531">
        <f t="shared" si="55"/>
        <v>1791.66</v>
      </c>
      <c r="P179" s="531">
        <f t="shared" si="52"/>
        <v>22880.93</v>
      </c>
      <c r="Q179" s="78"/>
    </row>
    <row r="180" spans="1:17" s="77" customFormat="1" x14ac:dyDescent="0.25">
      <c r="A180" s="527"/>
      <c r="B180" s="515" t="s">
        <v>86</v>
      </c>
      <c r="C180" s="533" t="s">
        <v>62</v>
      </c>
      <c r="D180" s="531">
        <f t="shared" ref="D180:O183" si="56">D26</f>
        <v>590896.19999999995</v>
      </c>
      <c r="E180" s="531">
        <f t="shared" si="56"/>
        <v>650215.21</v>
      </c>
      <c r="F180" s="531">
        <f t="shared" si="56"/>
        <v>607735.98</v>
      </c>
      <c r="G180" s="531">
        <f t="shared" si="56"/>
        <v>652958.76</v>
      </c>
      <c r="H180" s="531">
        <f t="shared" si="56"/>
        <v>625003.16</v>
      </c>
      <c r="I180" s="531">
        <f t="shared" si="56"/>
        <v>675244.76699999999</v>
      </c>
      <c r="J180" s="531">
        <f t="shared" si="56"/>
        <v>596640.41299999994</v>
      </c>
      <c r="K180" s="531">
        <f t="shared" si="56"/>
        <v>594169.22</v>
      </c>
      <c r="L180" s="531">
        <f t="shared" si="56"/>
        <v>611192.76</v>
      </c>
      <c r="M180" s="531">
        <f t="shared" si="56"/>
        <v>520337.70999999996</v>
      </c>
      <c r="N180" s="531">
        <f t="shared" si="56"/>
        <v>619539.37</v>
      </c>
      <c r="O180" s="531">
        <f t="shared" si="56"/>
        <v>573177.07999999996</v>
      </c>
      <c r="P180" s="531">
        <f t="shared" si="52"/>
        <v>7317110.6299999999</v>
      </c>
      <c r="Q180" s="78"/>
    </row>
    <row r="181" spans="1:17" s="77" customFormat="1" x14ac:dyDescent="0.25">
      <c r="A181" s="527"/>
      <c r="B181" s="515" t="s">
        <v>87</v>
      </c>
      <c r="C181" s="533" t="s">
        <v>63</v>
      </c>
      <c r="D181" s="531">
        <f t="shared" si="56"/>
        <v>4759933.55</v>
      </c>
      <c r="E181" s="531">
        <f t="shared" si="56"/>
        <v>4767378.17</v>
      </c>
      <c r="F181" s="531">
        <f t="shared" si="56"/>
        <v>4774497.8</v>
      </c>
      <c r="G181" s="531">
        <f t="shared" si="56"/>
        <v>4451195.75</v>
      </c>
      <c r="H181" s="531">
        <f t="shared" si="56"/>
        <v>4669535.33</v>
      </c>
      <c r="I181" s="531">
        <f t="shared" si="56"/>
        <v>4929303.6300000008</v>
      </c>
      <c r="J181" s="531">
        <f t="shared" si="56"/>
        <v>4618158.37</v>
      </c>
      <c r="K181" s="531">
        <f t="shared" si="56"/>
        <v>4488942.9000000004</v>
      </c>
      <c r="L181" s="531">
        <f t="shared" si="56"/>
        <v>4611129.16</v>
      </c>
      <c r="M181" s="531">
        <f t="shared" si="56"/>
        <v>4157279.38</v>
      </c>
      <c r="N181" s="531">
        <f t="shared" si="56"/>
        <v>4682857.68</v>
      </c>
      <c r="O181" s="531">
        <f t="shared" si="56"/>
        <v>4731610.32</v>
      </c>
      <c r="P181" s="531">
        <f t="shared" si="52"/>
        <v>55641822.040000014</v>
      </c>
      <c r="Q181" s="78"/>
    </row>
    <row r="182" spans="1:17" s="77" customFormat="1" x14ac:dyDescent="0.25">
      <c r="A182" s="527"/>
      <c r="B182" s="534" t="s">
        <v>88</v>
      </c>
      <c r="C182" s="533" t="s">
        <v>64</v>
      </c>
      <c r="D182" s="531">
        <f t="shared" si="56"/>
        <v>13447.95</v>
      </c>
      <c r="E182" s="531">
        <f t="shared" si="56"/>
        <v>37939.4</v>
      </c>
      <c r="F182" s="531">
        <f t="shared" si="56"/>
        <v>36106.870000000003</v>
      </c>
      <c r="G182" s="531">
        <f t="shared" si="56"/>
        <v>34461.18</v>
      </c>
      <c r="H182" s="531">
        <f t="shared" si="56"/>
        <v>37271.33</v>
      </c>
      <c r="I182" s="531">
        <f t="shared" si="56"/>
        <v>41746.400000000001</v>
      </c>
      <c r="J182" s="531">
        <f t="shared" si="56"/>
        <v>26449.07</v>
      </c>
      <c r="K182" s="531">
        <f t="shared" si="56"/>
        <v>23620.18</v>
      </c>
      <c r="L182" s="531">
        <f t="shared" si="56"/>
        <v>33317.79</v>
      </c>
      <c r="M182" s="531">
        <f t="shared" si="56"/>
        <v>33609.93</v>
      </c>
      <c r="N182" s="531">
        <f t="shared" si="56"/>
        <v>34642.509999999995</v>
      </c>
      <c r="O182" s="531">
        <f t="shared" si="56"/>
        <v>20021.689999999999</v>
      </c>
      <c r="P182" s="531">
        <f t="shared" si="52"/>
        <v>372634.3</v>
      </c>
      <c r="Q182" s="78"/>
    </row>
    <row r="183" spans="1:17" s="77" customFormat="1" x14ac:dyDescent="0.25">
      <c r="A183" s="527"/>
      <c r="B183" s="515" t="s">
        <v>89</v>
      </c>
      <c r="C183" s="533" t="s">
        <v>65</v>
      </c>
      <c r="D183" s="531">
        <f t="shared" si="56"/>
        <v>6231727.8200000003</v>
      </c>
      <c r="E183" s="531">
        <f t="shared" si="56"/>
        <v>5744011.75</v>
      </c>
      <c r="F183" s="531">
        <f t="shared" si="56"/>
        <v>6269611.75</v>
      </c>
      <c r="G183" s="531">
        <f t="shared" si="56"/>
        <v>6985361.2999999998</v>
      </c>
      <c r="H183" s="531">
        <f t="shared" si="56"/>
        <v>6427529.2800000003</v>
      </c>
      <c r="I183" s="531">
        <f t="shared" si="56"/>
        <v>7686722.9399999995</v>
      </c>
      <c r="J183" s="531">
        <f t="shared" si="56"/>
        <v>5753042.1299999999</v>
      </c>
      <c r="K183" s="531">
        <f t="shared" si="56"/>
        <v>7625519.1600000001</v>
      </c>
      <c r="L183" s="531">
        <f t="shared" si="56"/>
        <v>6593520.75</v>
      </c>
      <c r="M183" s="531">
        <f t="shared" si="56"/>
        <v>7468966.6500000004</v>
      </c>
      <c r="N183" s="531">
        <f t="shared" si="56"/>
        <v>6796438.9900000002</v>
      </c>
      <c r="O183" s="531">
        <f t="shared" si="56"/>
        <v>6309014.75</v>
      </c>
      <c r="P183" s="531">
        <f t="shared" si="52"/>
        <v>79891467.270000011</v>
      </c>
      <c r="Q183" s="78"/>
    </row>
    <row r="184" spans="1:17" s="77" customFormat="1" x14ac:dyDescent="0.25">
      <c r="A184" s="527"/>
      <c r="B184" s="527" t="s">
        <v>114</v>
      </c>
      <c r="C184" s="545"/>
      <c r="D184" s="539">
        <f t="shared" ref="D184:P184" si="57">SUM(D174:D183)</f>
        <v>11692664.743999999</v>
      </c>
      <c r="E184" s="539">
        <f t="shared" si="57"/>
        <v>11413757.118999999</v>
      </c>
      <c r="F184" s="539">
        <f t="shared" si="57"/>
        <v>12026598.026999999</v>
      </c>
      <c r="G184" s="539">
        <f t="shared" si="57"/>
        <v>12545045.118000001</v>
      </c>
      <c r="H184" s="539">
        <f t="shared" si="57"/>
        <v>12136501.205000002</v>
      </c>
      <c r="I184" s="539">
        <f t="shared" si="57"/>
        <v>13619871.040000001</v>
      </c>
      <c r="J184" s="539">
        <f t="shared" si="57"/>
        <v>11227807.004000001</v>
      </c>
      <c r="K184" s="539">
        <f t="shared" si="57"/>
        <v>12945164.709000001</v>
      </c>
      <c r="L184" s="539">
        <f t="shared" si="57"/>
        <v>12047002.033</v>
      </c>
      <c r="M184" s="539">
        <f t="shared" si="57"/>
        <v>12380934.945999999</v>
      </c>
      <c r="N184" s="539">
        <f t="shared" si="57"/>
        <v>12419672.081</v>
      </c>
      <c r="O184" s="539">
        <f t="shared" si="57"/>
        <v>11893211.261</v>
      </c>
      <c r="P184" s="539">
        <f t="shared" si="57"/>
        <v>146348229.28700003</v>
      </c>
      <c r="Q184" s="73"/>
    </row>
    <row r="185" spans="1:17" s="77" customFormat="1" x14ac:dyDescent="0.25">
      <c r="A185" s="527"/>
      <c r="B185" s="527" t="s">
        <v>115</v>
      </c>
      <c r="C185" s="545"/>
      <c r="D185" s="539">
        <f t="shared" ref="D185:P185" si="58">D172+D184</f>
        <v>86649728.5</v>
      </c>
      <c r="E185" s="539">
        <f t="shared" si="58"/>
        <v>114711801.845</v>
      </c>
      <c r="F185" s="539">
        <f t="shared" si="58"/>
        <v>165319961.97599998</v>
      </c>
      <c r="G185" s="539">
        <f t="shared" si="58"/>
        <v>159895882.11699998</v>
      </c>
      <c r="H185" s="539">
        <f t="shared" si="58"/>
        <v>138019004.68799999</v>
      </c>
      <c r="I185" s="539">
        <f t="shared" si="58"/>
        <v>123218845.25200002</v>
      </c>
      <c r="J185" s="539">
        <f t="shared" si="58"/>
        <v>91155981.328000009</v>
      </c>
      <c r="K185" s="539">
        <f t="shared" si="58"/>
        <v>68300513.405000001</v>
      </c>
      <c r="L185" s="539">
        <f t="shared" si="58"/>
        <v>52674576.057000004</v>
      </c>
      <c r="M185" s="539">
        <f t="shared" si="58"/>
        <v>46002541.435000002</v>
      </c>
      <c r="N185" s="539">
        <f t="shared" si="58"/>
        <v>44532806.316</v>
      </c>
      <c r="O185" s="539">
        <f t="shared" si="58"/>
        <v>52069110.110999994</v>
      </c>
      <c r="P185" s="539">
        <f t="shared" si="58"/>
        <v>1142550753.03</v>
      </c>
      <c r="Q185" s="73"/>
    </row>
    <row r="186" spans="1:17" x14ac:dyDescent="0.25">
      <c r="A186" s="515"/>
      <c r="B186" s="515"/>
      <c r="C186" s="533"/>
      <c r="D186" s="548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O186" s="548"/>
      <c r="P186" s="548"/>
      <c r="Q186" s="71"/>
    </row>
    <row r="187" spans="1:17" x14ac:dyDescent="0.25">
      <c r="A187" s="515"/>
      <c r="B187" s="556" t="s">
        <v>116</v>
      </c>
      <c r="C187" s="533"/>
      <c r="D187" s="548"/>
      <c r="E187" s="548"/>
      <c r="F187" s="548"/>
      <c r="G187" s="548"/>
      <c r="H187" s="548"/>
      <c r="I187" s="548"/>
      <c r="J187" s="548"/>
      <c r="K187" s="548"/>
      <c r="L187" s="548"/>
      <c r="M187" s="548"/>
      <c r="N187" s="548"/>
      <c r="O187" s="548"/>
      <c r="P187" s="548"/>
      <c r="Q187" s="71"/>
    </row>
    <row r="188" spans="1:17" x14ac:dyDescent="0.25">
      <c r="A188" s="515"/>
      <c r="B188" s="562" t="s">
        <v>117</v>
      </c>
      <c r="C188" s="533"/>
      <c r="D188" s="548">
        <v>0</v>
      </c>
      <c r="E188" s="548">
        <v>0</v>
      </c>
      <c r="F188" s="548">
        <v>0</v>
      </c>
      <c r="G188" s="548">
        <v>0</v>
      </c>
      <c r="H188" s="548">
        <v>0</v>
      </c>
      <c r="I188" s="548">
        <v>0</v>
      </c>
      <c r="J188" s="548">
        <v>0</v>
      </c>
      <c r="K188" s="548">
        <v>0</v>
      </c>
      <c r="L188" s="548">
        <v>0</v>
      </c>
      <c r="M188" s="548">
        <v>0</v>
      </c>
      <c r="N188" s="548">
        <v>0</v>
      </c>
      <c r="O188" s="548">
        <v>0</v>
      </c>
      <c r="P188" s="540">
        <f t="shared" ref="P188:P202" si="59">SUM(D188:O188)</f>
        <v>0</v>
      </c>
      <c r="Q188" s="81"/>
    </row>
    <row r="189" spans="1:17" x14ac:dyDescent="0.25">
      <c r="A189" s="515"/>
      <c r="B189" s="562" t="s">
        <v>118</v>
      </c>
      <c r="C189" s="533"/>
      <c r="D189" s="548">
        <f t="shared" ref="D189:O189" si="60">D144</f>
        <v>9318276</v>
      </c>
      <c r="E189" s="548">
        <f t="shared" si="60"/>
        <v>-5885136</v>
      </c>
      <c r="F189" s="548">
        <f t="shared" si="60"/>
        <v>5759664</v>
      </c>
      <c r="G189" s="548">
        <f t="shared" si="60"/>
        <v>5839909</v>
      </c>
      <c r="H189" s="548">
        <f t="shared" si="60"/>
        <v>13474936</v>
      </c>
      <c r="I189" s="548">
        <f t="shared" si="60"/>
        <v>7317130</v>
      </c>
      <c r="J189" s="548">
        <f t="shared" si="60"/>
        <v>12891510</v>
      </c>
      <c r="K189" s="548">
        <f t="shared" si="60"/>
        <v>5830324</v>
      </c>
      <c r="L189" s="548">
        <f t="shared" si="60"/>
        <v>1484914</v>
      </c>
      <c r="M189" s="548">
        <f t="shared" si="60"/>
        <v>491853</v>
      </c>
      <c r="N189" s="548">
        <f t="shared" si="60"/>
        <v>0</v>
      </c>
      <c r="O189" s="548">
        <f t="shared" si="60"/>
        <v>150391</v>
      </c>
      <c r="P189" s="540">
        <f t="shared" si="59"/>
        <v>56673771</v>
      </c>
      <c r="Q189" s="81"/>
    </row>
    <row r="190" spans="1:17" x14ac:dyDescent="0.25">
      <c r="A190" s="515"/>
      <c r="B190" s="563" t="s">
        <v>119</v>
      </c>
      <c r="C190" s="533"/>
      <c r="D190" s="548">
        <f t="shared" ref="D190:L190" si="61">SUM(D145:D145)+D153</f>
        <v>2335705</v>
      </c>
      <c r="E190" s="548">
        <f t="shared" si="61"/>
        <v>-1685667</v>
      </c>
      <c r="F190" s="548">
        <f t="shared" si="61"/>
        <v>1697785</v>
      </c>
      <c r="G190" s="548">
        <f t="shared" si="61"/>
        <v>1787541</v>
      </c>
      <c r="H190" s="548">
        <f t="shared" si="61"/>
        <v>3885615</v>
      </c>
      <c r="I190" s="548">
        <f t="shared" si="61"/>
        <v>2104384</v>
      </c>
      <c r="J190" s="548">
        <f t="shared" si="61"/>
        <v>3517495</v>
      </c>
      <c r="K190" s="548">
        <f t="shared" si="61"/>
        <v>1563192</v>
      </c>
      <c r="L190" s="548">
        <f t="shared" si="61"/>
        <v>360286</v>
      </c>
      <c r="M190" s="548">
        <f t="shared" ref="M190:O190" si="62">SUM(M145:M145)+M153</f>
        <v>78142</v>
      </c>
      <c r="N190" s="548">
        <f t="shared" si="62"/>
        <v>0</v>
      </c>
      <c r="O190" s="548">
        <f t="shared" si="62"/>
        <v>33972</v>
      </c>
      <c r="P190" s="540">
        <f t="shared" si="59"/>
        <v>15678450</v>
      </c>
      <c r="Q190" s="81"/>
    </row>
    <row r="191" spans="1:17" x14ac:dyDescent="0.25">
      <c r="A191" s="515"/>
      <c r="B191" s="562" t="s">
        <v>120</v>
      </c>
      <c r="C191" s="533"/>
      <c r="D191" s="548">
        <f t="shared" ref="D191:O191" si="63">SUM(D146:D146)+D154</f>
        <v>494882</v>
      </c>
      <c r="E191" s="548">
        <f t="shared" si="63"/>
        <v>-310884</v>
      </c>
      <c r="F191" s="548">
        <f t="shared" si="63"/>
        <v>296699</v>
      </c>
      <c r="G191" s="548">
        <f t="shared" si="63"/>
        <v>317070</v>
      </c>
      <c r="H191" s="548">
        <f t="shared" si="63"/>
        <v>686404</v>
      </c>
      <c r="I191" s="548">
        <f t="shared" si="63"/>
        <v>420753</v>
      </c>
      <c r="J191" s="548">
        <f t="shared" si="63"/>
        <v>728058</v>
      </c>
      <c r="K191" s="548">
        <f t="shared" si="63"/>
        <v>367597</v>
      </c>
      <c r="L191" s="548">
        <f t="shared" si="63"/>
        <v>98473</v>
      </c>
      <c r="M191" s="548">
        <f t="shared" si="63"/>
        <v>0</v>
      </c>
      <c r="N191" s="548">
        <f t="shared" si="63"/>
        <v>0</v>
      </c>
      <c r="O191" s="548">
        <f t="shared" si="63"/>
        <v>5412</v>
      </c>
      <c r="P191" s="540">
        <f t="shared" si="59"/>
        <v>3104464</v>
      </c>
      <c r="Q191" s="81"/>
    </row>
    <row r="192" spans="1:17" x14ac:dyDescent="0.25">
      <c r="A192" s="515"/>
      <c r="B192" s="562" t="s">
        <v>121</v>
      </c>
      <c r="C192" s="533"/>
      <c r="D192" s="548">
        <v>0</v>
      </c>
      <c r="E192" s="548">
        <v>0</v>
      </c>
      <c r="F192" s="548">
        <v>0</v>
      </c>
      <c r="G192" s="548">
        <v>0</v>
      </c>
      <c r="H192" s="548">
        <v>0</v>
      </c>
      <c r="I192" s="548">
        <v>0</v>
      </c>
      <c r="J192" s="548">
        <v>0</v>
      </c>
      <c r="K192" s="548">
        <v>0</v>
      </c>
      <c r="L192" s="548">
        <v>0</v>
      </c>
      <c r="M192" s="548">
        <v>0</v>
      </c>
      <c r="N192" s="548">
        <v>0</v>
      </c>
      <c r="O192" s="548">
        <v>0</v>
      </c>
      <c r="P192" s="540">
        <f t="shared" si="59"/>
        <v>0</v>
      </c>
      <c r="Q192" s="81"/>
    </row>
    <row r="193" spans="1:17" x14ac:dyDescent="0.25">
      <c r="A193" s="515"/>
      <c r="B193" s="562" t="s">
        <v>122</v>
      </c>
      <c r="C193" s="533"/>
      <c r="D193" s="548">
        <v>0</v>
      </c>
      <c r="E193" s="548">
        <v>0</v>
      </c>
      <c r="F193" s="548">
        <v>0</v>
      </c>
      <c r="G193" s="548">
        <v>0</v>
      </c>
      <c r="H193" s="548">
        <v>0</v>
      </c>
      <c r="I193" s="548">
        <v>0</v>
      </c>
      <c r="J193" s="548">
        <v>0</v>
      </c>
      <c r="K193" s="548">
        <v>0</v>
      </c>
      <c r="L193" s="548">
        <v>0</v>
      </c>
      <c r="M193" s="548">
        <v>0</v>
      </c>
      <c r="N193" s="548">
        <v>0</v>
      </c>
      <c r="O193" s="548">
        <v>0</v>
      </c>
      <c r="P193" s="540">
        <f t="shared" si="59"/>
        <v>0</v>
      </c>
      <c r="Q193" s="81"/>
    </row>
    <row r="194" spans="1:17" x14ac:dyDescent="0.25">
      <c r="A194" s="515"/>
      <c r="B194" s="562" t="s">
        <v>123</v>
      </c>
      <c r="C194" s="533"/>
      <c r="D194" s="548">
        <f t="shared" ref="D194:O196" si="64">D150</f>
        <v>149348</v>
      </c>
      <c r="E194" s="548">
        <f t="shared" si="64"/>
        <v>-55242</v>
      </c>
      <c r="F194" s="548">
        <f t="shared" si="64"/>
        <v>70623</v>
      </c>
      <c r="G194" s="548">
        <f t="shared" si="64"/>
        <v>85652</v>
      </c>
      <c r="H194" s="548">
        <f t="shared" si="64"/>
        <v>185937</v>
      </c>
      <c r="I194" s="548">
        <f t="shared" si="64"/>
        <v>116577</v>
      </c>
      <c r="J194" s="548">
        <f t="shared" si="64"/>
        <v>198831</v>
      </c>
      <c r="K194" s="548">
        <f t="shared" si="64"/>
        <v>98176</v>
      </c>
      <c r="L194" s="548">
        <f t="shared" si="64"/>
        <v>33215</v>
      </c>
      <c r="M194" s="548">
        <f t="shared" si="64"/>
        <v>0</v>
      </c>
      <c r="N194" s="548">
        <f t="shared" si="64"/>
        <v>0</v>
      </c>
      <c r="O194" s="548">
        <f t="shared" si="64"/>
        <v>0</v>
      </c>
      <c r="P194" s="540">
        <f t="shared" si="59"/>
        <v>883117</v>
      </c>
      <c r="Q194" s="81"/>
    </row>
    <row r="195" spans="1:17" x14ac:dyDescent="0.25">
      <c r="A195" s="515"/>
      <c r="B195" s="562" t="s">
        <v>124</v>
      </c>
      <c r="C195" s="533"/>
      <c r="D195" s="548">
        <f t="shared" si="64"/>
        <v>208798</v>
      </c>
      <c r="E195" s="548">
        <f t="shared" si="64"/>
        <v>-68889</v>
      </c>
      <c r="F195" s="548">
        <f t="shared" si="64"/>
        <v>80220</v>
      </c>
      <c r="G195" s="548">
        <f t="shared" si="64"/>
        <v>90894</v>
      </c>
      <c r="H195" s="548">
        <f t="shared" si="64"/>
        <v>221256</v>
      </c>
      <c r="I195" s="548">
        <f t="shared" si="64"/>
        <v>127969</v>
      </c>
      <c r="J195" s="548">
        <f t="shared" si="64"/>
        <v>216126</v>
      </c>
      <c r="K195" s="548">
        <f t="shared" si="64"/>
        <v>112104</v>
      </c>
      <c r="L195" s="548">
        <f t="shared" si="64"/>
        <v>53337</v>
      </c>
      <c r="M195" s="548">
        <f t="shared" si="64"/>
        <v>0</v>
      </c>
      <c r="N195" s="548">
        <f t="shared" si="64"/>
        <v>0</v>
      </c>
      <c r="O195" s="548">
        <f t="shared" si="64"/>
        <v>7405</v>
      </c>
      <c r="P195" s="540">
        <f t="shared" si="59"/>
        <v>1049220</v>
      </c>
      <c r="Q195" s="81"/>
    </row>
    <row r="196" spans="1:17" x14ac:dyDescent="0.25">
      <c r="A196" s="515"/>
      <c r="B196" s="562" t="s">
        <v>125</v>
      </c>
      <c r="C196" s="533"/>
      <c r="D196" s="548">
        <f t="shared" si="64"/>
        <v>193177</v>
      </c>
      <c r="E196" s="548">
        <f t="shared" si="64"/>
        <v>-75111</v>
      </c>
      <c r="F196" s="548">
        <f t="shared" si="64"/>
        <v>96547</v>
      </c>
      <c r="G196" s="548">
        <f t="shared" si="64"/>
        <v>106020</v>
      </c>
      <c r="H196" s="548">
        <f t="shared" si="64"/>
        <v>215907</v>
      </c>
      <c r="I196" s="548">
        <f t="shared" si="64"/>
        <v>122342</v>
      </c>
      <c r="J196" s="548">
        <f t="shared" si="64"/>
        <v>223837</v>
      </c>
      <c r="K196" s="548">
        <f t="shared" si="64"/>
        <v>97339</v>
      </c>
      <c r="L196" s="548">
        <f t="shared" si="64"/>
        <v>0</v>
      </c>
      <c r="M196" s="548">
        <f t="shared" si="64"/>
        <v>0</v>
      </c>
      <c r="N196" s="548">
        <f t="shared" si="64"/>
        <v>0</v>
      </c>
      <c r="O196" s="548">
        <f t="shared" si="64"/>
        <v>0</v>
      </c>
      <c r="P196" s="540">
        <f t="shared" si="59"/>
        <v>980058</v>
      </c>
      <c r="Q196" s="81"/>
    </row>
    <row r="197" spans="1:17" ht="14.4" x14ac:dyDescent="0.3">
      <c r="A197"/>
      <c r="B197" s="515" t="s">
        <v>199</v>
      </c>
      <c r="C197" s="564"/>
      <c r="D197" s="512">
        <v>0</v>
      </c>
      <c r="E197" s="512">
        <v>0</v>
      </c>
      <c r="F197" s="512">
        <v>0</v>
      </c>
      <c r="G197" s="512">
        <v>0</v>
      </c>
      <c r="H197" s="512">
        <v>0</v>
      </c>
      <c r="I197" s="512">
        <v>0</v>
      </c>
      <c r="J197" s="512">
        <v>0</v>
      </c>
      <c r="K197" s="512">
        <v>0</v>
      </c>
      <c r="L197" s="512">
        <v>0</v>
      </c>
      <c r="M197" s="512">
        <v>0</v>
      </c>
      <c r="N197" s="512">
        <v>0</v>
      </c>
      <c r="O197" s="512">
        <v>0</v>
      </c>
      <c r="P197" s="51">
        <f t="shared" si="59"/>
        <v>0</v>
      </c>
    </row>
    <row r="198" spans="1:17" x14ac:dyDescent="0.25">
      <c r="A198" s="515"/>
      <c r="B198" s="515" t="s">
        <v>126</v>
      </c>
      <c r="C198" s="533"/>
      <c r="D198" s="548">
        <f t="shared" ref="D198:O199" si="65">D147</f>
        <v>47630</v>
      </c>
      <c r="E198" s="548">
        <f t="shared" si="65"/>
        <v>-18512</v>
      </c>
      <c r="F198" s="548">
        <f t="shared" si="65"/>
        <v>21627</v>
      </c>
      <c r="G198" s="548">
        <f t="shared" si="65"/>
        <v>23523</v>
      </c>
      <c r="H198" s="548">
        <f t="shared" si="65"/>
        <v>53005</v>
      </c>
      <c r="I198" s="548">
        <f t="shared" si="65"/>
        <v>45031</v>
      </c>
      <c r="J198" s="548">
        <f t="shared" si="65"/>
        <v>67786</v>
      </c>
      <c r="K198" s="548">
        <f t="shared" si="65"/>
        <v>16415</v>
      </c>
      <c r="L198" s="548">
        <f t="shared" si="65"/>
        <v>0</v>
      </c>
      <c r="M198" s="548">
        <f t="shared" si="65"/>
        <v>0</v>
      </c>
      <c r="N198" s="548">
        <f t="shared" si="65"/>
        <v>0</v>
      </c>
      <c r="O198" s="548">
        <f t="shared" si="65"/>
        <v>0</v>
      </c>
      <c r="P198" s="540">
        <f t="shared" si="59"/>
        <v>256505</v>
      </c>
      <c r="Q198" s="81"/>
    </row>
    <row r="199" spans="1:17" x14ac:dyDescent="0.25">
      <c r="A199" s="515"/>
      <c r="B199" s="515" t="s">
        <v>127</v>
      </c>
      <c r="C199" s="533"/>
      <c r="D199" s="548">
        <f t="shared" si="65"/>
        <v>115366</v>
      </c>
      <c r="E199" s="548">
        <f t="shared" si="65"/>
        <v>-42880</v>
      </c>
      <c r="F199" s="548">
        <f t="shared" si="65"/>
        <v>50926</v>
      </c>
      <c r="G199" s="548">
        <f t="shared" si="65"/>
        <v>54622</v>
      </c>
      <c r="H199" s="548">
        <f t="shared" si="65"/>
        <v>96409</v>
      </c>
      <c r="I199" s="548">
        <f t="shared" si="65"/>
        <v>88215</v>
      </c>
      <c r="J199" s="548">
        <f t="shared" si="65"/>
        <v>149276</v>
      </c>
      <c r="K199" s="548">
        <f t="shared" si="65"/>
        <v>83175</v>
      </c>
      <c r="L199" s="548">
        <f t="shared" si="65"/>
        <v>19876</v>
      </c>
      <c r="M199" s="548">
        <f t="shared" si="65"/>
        <v>0</v>
      </c>
      <c r="N199" s="548">
        <f t="shared" si="65"/>
        <v>0</v>
      </c>
      <c r="O199" s="548">
        <f t="shared" si="65"/>
        <v>0</v>
      </c>
      <c r="P199" s="540">
        <f t="shared" si="59"/>
        <v>614985</v>
      </c>
      <c r="Q199" s="81"/>
    </row>
    <row r="200" spans="1:17" x14ac:dyDescent="0.25">
      <c r="A200" s="515"/>
      <c r="B200" s="534" t="s">
        <v>128</v>
      </c>
      <c r="C200" s="533"/>
      <c r="D200" s="548">
        <v>0</v>
      </c>
      <c r="E200" s="548">
        <v>0</v>
      </c>
      <c r="F200" s="548">
        <v>0</v>
      </c>
      <c r="G200" s="548">
        <v>0</v>
      </c>
      <c r="H200" s="548">
        <v>0</v>
      </c>
      <c r="I200" s="548">
        <v>0</v>
      </c>
      <c r="J200" s="548">
        <v>0</v>
      </c>
      <c r="K200" s="548">
        <v>0</v>
      </c>
      <c r="L200" s="548">
        <v>0</v>
      </c>
      <c r="M200" s="548">
        <v>0</v>
      </c>
      <c r="N200" s="548">
        <v>0</v>
      </c>
      <c r="O200" s="548">
        <v>0</v>
      </c>
      <c r="P200" s="540">
        <f t="shared" si="59"/>
        <v>0</v>
      </c>
      <c r="Q200" s="81"/>
    </row>
    <row r="201" spans="1:17" x14ac:dyDescent="0.25">
      <c r="A201" s="515"/>
      <c r="B201" s="515" t="s">
        <v>129</v>
      </c>
      <c r="C201" s="533"/>
      <c r="D201" s="548">
        <f t="shared" ref="D201:O201" si="66">D149</f>
        <v>195449</v>
      </c>
      <c r="E201" s="548">
        <f t="shared" si="66"/>
        <v>-90145</v>
      </c>
      <c r="F201" s="548">
        <f t="shared" si="66"/>
        <v>88707</v>
      </c>
      <c r="G201" s="548">
        <f t="shared" si="66"/>
        <v>114892</v>
      </c>
      <c r="H201" s="548">
        <f t="shared" si="66"/>
        <v>272632</v>
      </c>
      <c r="I201" s="548">
        <f t="shared" si="66"/>
        <v>163706</v>
      </c>
      <c r="J201" s="548">
        <f t="shared" si="66"/>
        <v>286885</v>
      </c>
      <c r="K201" s="548">
        <f t="shared" si="66"/>
        <v>158723</v>
      </c>
      <c r="L201" s="548">
        <f t="shared" si="66"/>
        <v>0</v>
      </c>
      <c r="M201" s="548">
        <f t="shared" si="66"/>
        <v>0</v>
      </c>
      <c r="N201" s="548">
        <f t="shared" si="66"/>
        <v>0</v>
      </c>
      <c r="O201" s="548">
        <f t="shared" si="66"/>
        <v>0</v>
      </c>
      <c r="P201" s="540">
        <f t="shared" si="59"/>
        <v>1190849</v>
      </c>
      <c r="Q201" s="81"/>
    </row>
    <row r="202" spans="1:17" s="69" customFormat="1" x14ac:dyDescent="0.25">
      <c r="A202" s="546"/>
      <c r="B202" s="565" t="s">
        <v>61</v>
      </c>
      <c r="C202" s="566"/>
      <c r="D202" s="548">
        <f t="shared" ref="D202:O202" si="67">D155</f>
        <v>451670</v>
      </c>
      <c r="E202" s="548">
        <f t="shared" si="67"/>
        <v>-177248</v>
      </c>
      <c r="F202" s="548">
        <f t="shared" si="67"/>
        <v>167540</v>
      </c>
      <c r="G202" s="548">
        <f t="shared" si="67"/>
        <v>213385</v>
      </c>
      <c r="H202" s="548">
        <f t="shared" si="67"/>
        <v>518353</v>
      </c>
      <c r="I202" s="548">
        <f t="shared" si="67"/>
        <v>350406</v>
      </c>
      <c r="J202" s="548">
        <f t="shared" si="67"/>
        <v>646272</v>
      </c>
      <c r="K202" s="548">
        <f t="shared" si="67"/>
        <v>298668</v>
      </c>
      <c r="L202" s="548">
        <f t="shared" si="67"/>
        <v>83636</v>
      </c>
      <c r="M202" s="548">
        <f t="shared" si="67"/>
        <v>0</v>
      </c>
      <c r="N202" s="548">
        <f t="shared" si="67"/>
        <v>0</v>
      </c>
      <c r="O202" s="548">
        <f t="shared" si="67"/>
        <v>20381</v>
      </c>
      <c r="P202" s="548">
        <f t="shared" si="59"/>
        <v>2573063</v>
      </c>
      <c r="Q202" s="71"/>
    </row>
    <row r="203" spans="1:17" x14ac:dyDescent="0.25">
      <c r="A203" s="515"/>
      <c r="B203" s="562" t="s">
        <v>107</v>
      </c>
      <c r="C203" s="533"/>
      <c r="D203" s="555">
        <f t="shared" ref="D203:P203" si="68">SUM(D188:D202)</f>
        <v>13510301</v>
      </c>
      <c r="E203" s="555">
        <f t="shared" si="68"/>
        <v>-8409714</v>
      </c>
      <c r="F203" s="555">
        <f t="shared" si="68"/>
        <v>8330338</v>
      </c>
      <c r="G203" s="555">
        <f t="shared" si="68"/>
        <v>8633508</v>
      </c>
      <c r="H203" s="555">
        <f t="shared" si="68"/>
        <v>19610454</v>
      </c>
      <c r="I203" s="555">
        <f t="shared" si="68"/>
        <v>10856513</v>
      </c>
      <c r="J203" s="555">
        <f t="shared" si="68"/>
        <v>18926076</v>
      </c>
      <c r="K203" s="555">
        <f t="shared" si="68"/>
        <v>8625713</v>
      </c>
      <c r="L203" s="555">
        <f t="shared" si="68"/>
        <v>2133737</v>
      </c>
      <c r="M203" s="555">
        <f t="shared" si="68"/>
        <v>569995</v>
      </c>
      <c r="N203" s="555">
        <f t="shared" si="68"/>
        <v>0</v>
      </c>
      <c r="O203" s="555">
        <f t="shared" si="68"/>
        <v>217561</v>
      </c>
      <c r="P203" s="555">
        <f t="shared" si="68"/>
        <v>83004482</v>
      </c>
      <c r="Q203" s="71"/>
    </row>
    <row r="204" spans="1:17" x14ac:dyDescent="0.25">
      <c r="A204" s="515"/>
      <c r="B204" s="562" t="s">
        <v>58</v>
      </c>
      <c r="C204" s="533"/>
      <c r="D204" s="548">
        <f t="shared" ref="D204:P204" si="69">D203-D156</f>
        <v>0</v>
      </c>
      <c r="E204" s="548">
        <f t="shared" si="69"/>
        <v>0</v>
      </c>
      <c r="F204" s="548">
        <f t="shared" si="69"/>
        <v>0</v>
      </c>
      <c r="G204" s="548">
        <f t="shared" si="69"/>
        <v>0</v>
      </c>
      <c r="H204" s="548">
        <f t="shared" si="69"/>
        <v>0</v>
      </c>
      <c r="I204" s="548">
        <f t="shared" si="69"/>
        <v>0</v>
      </c>
      <c r="J204" s="548">
        <f t="shared" si="69"/>
        <v>0</v>
      </c>
      <c r="K204" s="548">
        <f t="shared" si="69"/>
        <v>0</v>
      </c>
      <c r="L204" s="548">
        <f t="shared" si="69"/>
        <v>0</v>
      </c>
      <c r="M204" s="548">
        <f t="shared" si="69"/>
        <v>0</v>
      </c>
      <c r="N204" s="548">
        <f t="shared" si="69"/>
        <v>0</v>
      </c>
      <c r="O204" s="548">
        <f t="shared" si="69"/>
        <v>0</v>
      </c>
      <c r="P204" s="548">
        <f t="shared" si="69"/>
        <v>0</v>
      </c>
      <c r="Q204" s="71"/>
    </row>
    <row r="205" spans="1:17" x14ac:dyDescent="0.25">
      <c r="A205" s="515"/>
      <c r="B205" s="515"/>
      <c r="C205" s="533"/>
      <c r="D205" s="548"/>
      <c r="E205" s="548"/>
      <c r="F205" s="548"/>
      <c r="G205" s="548"/>
      <c r="H205" s="548"/>
      <c r="I205" s="548"/>
      <c r="J205" s="548"/>
      <c r="K205" s="548"/>
      <c r="L205" s="548"/>
      <c r="M205" s="548"/>
      <c r="N205" s="548"/>
      <c r="O205" s="548"/>
      <c r="P205" s="548"/>
      <c r="Q205" s="71"/>
    </row>
    <row r="206" spans="1:17" x14ac:dyDescent="0.25">
      <c r="A206" s="515"/>
      <c r="B206" s="556" t="s">
        <v>130</v>
      </c>
      <c r="C206" s="533"/>
      <c r="D206" s="548"/>
      <c r="E206" s="548"/>
      <c r="F206" s="548"/>
      <c r="G206" s="548"/>
      <c r="H206" s="548"/>
      <c r="I206" s="548"/>
      <c r="J206" s="548"/>
      <c r="K206" s="548"/>
      <c r="L206" s="548"/>
      <c r="M206" s="548"/>
      <c r="N206" s="548"/>
      <c r="O206" s="548"/>
      <c r="P206" s="548"/>
      <c r="Q206" s="71"/>
    </row>
    <row r="207" spans="1:17" x14ac:dyDescent="0.25">
      <c r="A207" s="515"/>
      <c r="B207" s="562" t="s">
        <v>117</v>
      </c>
      <c r="C207" s="533"/>
      <c r="D207" s="548">
        <f t="shared" ref="D207:O207" si="70">D174</f>
        <v>843.66700000000003</v>
      </c>
      <c r="E207" s="548">
        <f t="shared" si="70"/>
        <v>830.59199999999998</v>
      </c>
      <c r="F207" s="548">
        <f t="shared" si="70"/>
        <v>807.86599999999999</v>
      </c>
      <c r="G207" s="548">
        <f t="shared" si="70"/>
        <v>789.01199999999994</v>
      </c>
      <c r="H207" s="548">
        <f t="shared" si="70"/>
        <v>758.72900000000004</v>
      </c>
      <c r="I207" s="548">
        <f t="shared" si="70"/>
        <v>801.57600000000002</v>
      </c>
      <c r="J207" s="548">
        <f t="shared" si="70"/>
        <v>808.22799999999984</v>
      </c>
      <c r="K207" s="548">
        <f t="shared" si="70"/>
        <v>828.98500000000001</v>
      </c>
      <c r="L207" s="548">
        <f t="shared" si="70"/>
        <v>769.97599999999989</v>
      </c>
      <c r="M207" s="548">
        <f t="shared" si="70"/>
        <v>824.70100000000002</v>
      </c>
      <c r="N207" s="548">
        <f t="shared" si="70"/>
        <v>824.07</v>
      </c>
      <c r="O207" s="548">
        <f t="shared" si="70"/>
        <v>802.58699999999999</v>
      </c>
      <c r="P207" s="540">
        <f t="shared" ref="P207:P218" si="71">SUM(D207:O207)</f>
        <v>9689.9889999999996</v>
      </c>
      <c r="Q207" s="81"/>
    </row>
    <row r="208" spans="1:17" x14ac:dyDescent="0.25">
      <c r="A208" s="515"/>
      <c r="B208" s="562" t="s">
        <v>118</v>
      </c>
      <c r="C208" s="533"/>
      <c r="D208" s="548">
        <f t="shared" ref="D208:O208" si="72">D160+D175</f>
        <v>42897350.192000002</v>
      </c>
      <c r="E208" s="548">
        <f t="shared" si="72"/>
        <v>62231348.219999991</v>
      </c>
      <c r="F208" s="548">
        <f t="shared" si="72"/>
        <v>96653340.504999995</v>
      </c>
      <c r="G208" s="548">
        <f t="shared" si="72"/>
        <v>91595632.346000001</v>
      </c>
      <c r="H208" s="548">
        <f t="shared" si="72"/>
        <v>77635037.589000002</v>
      </c>
      <c r="I208" s="548">
        <f t="shared" si="72"/>
        <v>65304200.008000001</v>
      </c>
      <c r="J208" s="548">
        <f t="shared" si="72"/>
        <v>45772346.026000001</v>
      </c>
      <c r="K208" s="548">
        <f t="shared" si="72"/>
        <v>28825606.487</v>
      </c>
      <c r="L208" s="548">
        <f t="shared" si="72"/>
        <v>19259268.033999998</v>
      </c>
      <c r="M208" s="548">
        <f t="shared" si="72"/>
        <v>14539368.141999999</v>
      </c>
      <c r="N208" s="548">
        <f t="shared" si="72"/>
        <v>13454920.966</v>
      </c>
      <c r="O208" s="548">
        <f t="shared" si="72"/>
        <v>19362981.972999997</v>
      </c>
      <c r="P208" s="540">
        <f t="shared" si="71"/>
        <v>577531400.48800004</v>
      </c>
      <c r="Q208" s="81"/>
    </row>
    <row r="209" spans="1:17" x14ac:dyDescent="0.25">
      <c r="A209" s="515"/>
      <c r="B209" s="563" t="s">
        <v>119</v>
      </c>
      <c r="C209" s="533"/>
      <c r="D209" s="548">
        <f t="shared" ref="D209:O209" si="73">SUM(D161:D161)+D169</f>
        <v>15409110.703</v>
      </c>
      <c r="E209" s="548">
        <f t="shared" si="73"/>
        <v>21445224.515000001</v>
      </c>
      <c r="F209" s="548">
        <f t="shared" si="73"/>
        <v>32648041.905999999</v>
      </c>
      <c r="G209" s="548">
        <f t="shared" si="73"/>
        <v>31772719.533</v>
      </c>
      <c r="H209" s="548">
        <f t="shared" si="73"/>
        <v>26722150.761</v>
      </c>
      <c r="I209" s="548">
        <f t="shared" si="73"/>
        <v>23202159.392999999</v>
      </c>
      <c r="J209" s="548">
        <f t="shared" si="73"/>
        <v>16750373.662</v>
      </c>
      <c r="K209" s="548">
        <f t="shared" si="73"/>
        <v>11990369.424000001</v>
      </c>
      <c r="L209" s="548">
        <f t="shared" si="73"/>
        <v>9302546.7690000013</v>
      </c>
      <c r="M209" s="548">
        <f t="shared" si="73"/>
        <v>8173847.5219999999</v>
      </c>
      <c r="N209" s="548">
        <f t="shared" si="73"/>
        <v>7907580.3300000001</v>
      </c>
      <c r="O209" s="548">
        <f t="shared" si="73"/>
        <v>9240098.7750000004</v>
      </c>
      <c r="P209" s="540">
        <f t="shared" si="71"/>
        <v>214564223.29300004</v>
      </c>
      <c r="Q209" s="81"/>
    </row>
    <row r="210" spans="1:17" x14ac:dyDescent="0.25">
      <c r="A210" s="515"/>
      <c r="B210" s="562" t="s">
        <v>120</v>
      </c>
      <c r="C210" s="533"/>
      <c r="D210" s="548">
        <f t="shared" ref="D210:O210" si="74">D162+D170</f>
        <v>5274258.9960000003</v>
      </c>
      <c r="E210" s="548">
        <f t="shared" si="74"/>
        <v>6451435.4719999991</v>
      </c>
      <c r="F210" s="548">
        <f t="shared" si="74"/>
        <v>8249055.9160000011</v>
      </c>
      <c r="G210" s="548">
        <f t="shared" si="74"/>
        <v>8164606.057</v>
      </c>
      <c r="H210" s="548">
        <f t="shared" si="74"/>
        <v>7187030.381000001</v>
      </c>
      <c r="I210" s="548">
        <f t="shared" si="74"/>
        <v>6876698.8770000003</v>
      </c>
      <c r="J210" s="548">
        <f t="shared" si="74"/>
        <v>5503452.5530000003</v>
      </c>
      <c r="K210" s="548">
        <f t="shared" si="74"/>
        <v>4512242.659</v>
      </c>
      <c r="L210" s="548">
        <f t="shared" si="74"/>
        <v>3694998.2929999996</v>
      </c>
      <c r="M210" s="548">
        <f t="shared" si="74"/>
        <v>3228435.9960000003</v>
      </c>
      <c r="N210" s="548">
        <f t="shared" si="74"/>
        <v>3194350.6280000005</v>
      </c>
      <c r="O210" s="548">
        <f t="shared" si="74"/>
        <v>3654084.3850000002</v>
      </c>
      <c r="P210" s="540">
        <f t="shared" si="71"/>
        <v>65990650.213</v>
      </c>
      <c r="Q210" s="81"/>
    </row>
    <row r="211" spans="1:17" x14ac:dyDescent="0.25">
      <c r="A211" s="515"/>
      <c r="B211" s="562" t="s">
        <v>123</v>
      </c>
      <c r="C211" s="533"/>
      <c r="D211" s="548">
        <f t="shared" ref="D211:O213" si="75">D166+D176</f>
        <v>1335896.1949999998</v>
      </c>
      <c r="E211" s="548">
        <f t="shared" si="75"/>
        <v>1673654.17</v>
      </c>
      <c r="F211" s="548">
        <f t="shared" si="75"/>
        <v>2143238.3229999999</v>
      </c>
      <c r="G211" s="548">
        <f t="shared" si="75"/>
        <v>2148400.5660000001</v>
      </c>
      <c r="H211" s="548">
        <f t="shared" si="75"/>
        <v>1912086.6879999998</v>
      </c>
      <c r="I211" s="548">
        <f t="shared" si="75"/>
        <v>1873435.8699999999</v>
      </c>
      <c r="J211" s="548">
        <f t="shared" si="75"/>
        <v>1534459.4510000001</v>
      </c>
      <c r="K211" s="548">
        <f t="shared" si="75"/>
        <v>1187770.9110000001</v>
      </c>
      <c r="L211" s="548">
        <f t="shared" si="75"/>
        <v>914742.16200000001</v>
      </c>
      <c r="M211" s="548">
        <f t="shared" si="75"/>
        <v>849875.59299999999</v>
      </c>
      <c r="N211" s="548">
        <f t="shared" si="75"/>
        <v>850145.23100000003</v>
      </c>
      <c r="O211" s="548">
        <f t="shared" si="75"/>
        <v>716090.27899999998</v>
      </c>
      <c r="P211" s="540">
        <f t="shared" si="71"/>
        <v>17139795.438999999</v>
      </c>
      <c r="Q211" s="81"/>
    </row>
    <row r="212" spans="1:17" x14ac:dyDescent="0.25">
      <c r="A212" s="515"/>
      <c r="B212" s="562" t="s">
        <v>124</v>
      </c>
      <c r="C212" s="533"/>
      <c r="D212" s="548">
        <f t="shared" si="75"/>
        <v>806596.00099999993</v>
      </c>
      <c r="E212" s="548">
        <f t="shared" si="75"/>
        <v>992515.53800000006</v>
      </c>
      <c r="F212" s="548">
        <f t="shared" si="75"/>
        <v>1427756</v>
      </c>
      <c r="G212" s="548">
        <f t="shared" si="75"/>
        <v>1539817.557</v>
      </c>
      <c r="H212" s="548">
        <f t="shared" si="75"/>
        <v>1390761.4890000001</v>
      </c>
      <c r="I212" s="548">
        <f t="shared" si="75"/>
        <v>1140331.4959999998</v>
      </c>
      <c r="J212" s="548">
        <f t="shared" si="75"/>
        <v>796133.78399999999</v>
      </c>
      <c r="K212" s="548">
        <f t="shared" si="75"/>
        <v>530625.33799999999</v>
      </c>
      <c r="L212" s="548">
        <f t="shared" si="75"/>
        <v>359317.01400000002</v>
      </c>
      <c r="M212" s="548">
        <f t="shared" si="75"/>
        <v>244484.96900000001</v>
      </c>
      <c r="N212" s="548">
        <f t="shared" si="75"/>
        <v>290810.10699999996</v>
      </c>
      <c r="O212" s="548">
        <f t="shared" si="75"/>
        <v>406880.23699999996</v>
      </c>
      <c r="P212" s="540">
        <f t="shared" si="71"/>
        <v>9926029.5300000012</v>
      </c>
      <c r="Q212" s="81"/>
    </row>
    <row r="213" spans="1:17" x14ac:dyDescent="0.25">
      <c r="A213" s="515"/>
      <c r="B213" s="562" t="s">
        <v>125</v>
      </c>
      <c r="C213" s="533"/>
      <c r="D213" s="548">
        <f t="shared" si="75"/>
        <v>1828874.1059999997</v>
      </c>
      <c r="E213" s="548">
        <f t="shared" si="75"/>
        <v>2169692.088</v>
      </c>
      <c r="F213" s="548">
        <f t="shared" si="75"/>
        <v>2645547.42</v>
      </c>
      <c r="G213" s="548">
        <f t="shared" si="75"/>
        <v>2779902.6660000002</v>
      </c>
      <c r="H213" s="548">
        <f t="shared" si="75"/>
        <v>2404527.4210000001</v>
      </c>
      <c r="I213" s="548">
        <f t="shared" si="75"/>
        <v>2315574.165</v>
      </c>
      <c r="J213" s="548">
        <f t="shared" si="75"/>
        <v>1976999.811</v>
      </c>
      <c r="K213" s="548">
        <f t="shared" si="75"/>
        <v>1668820.1310000001</v>
      </c>
      <c r="L213" s="548">
        <f t="shared" si="75"/>
        <v>1372126.3689999999</v>
      </c>
      <c r="M213" s="548">
        <f t="shared" si="75"/>
        <v>1364669.4919999999</v>
      </c>
      <c r="N213" s="548">
        <f t="shared" si="75"/>
        <v>1339088.034</v>
      </c>
      <c r="O213" s="548">
        <f t="shared" si="75"/>
        <v>1445559.585</v>
      </c>
      <c r="P213" s="540">
        <f t="shared" si="71"/>
        <v>23311381.288000003</v>
      </c>
      <c r="Q213" s="81"/>
    </row>
    <row r="214" spans="1:17" x14ac:dyDescent="0.25">
      <c r="A214" s="515"/>
      <c r="B214" s="515" t="s">
        <v>199</v>
      </c>
      <c r="C214" s="533"/>
      <c r="D214" s="548">
        <f t="shared" ref="D214:O214" si="76">D179</f>
        <v>690.24</v>
      </c>
      <c r="E214" s="548">
        <f t="shared" si="76"/>
        <v>2638.01</v>
      </c>
      <c r="F214" s="548">
        <f t="shared" si="76"/>
        <v>3281.49</v>
      </c>
      <c r="G214" s="548">
        <f t="shared" si="76"/>
        <v>3247.94</v>
      </c>
      <c r="H214" s="548">
        <f t="shared" si="76"/>
        <v>2197.9499999999998</v>
      </c>
      <c r="I214" s="548">
        <f t="shared" si="76"/>
        <v>2214.73</v>
      </c>
      <c r="J214" s="548">
        <f t="shared" si="76"/>
        <v>1548.25</v>
      </c>
      <c r="K214" s="548">
        <f t="shared" si="76"/>
        <v>1312.89</v>
      </c>
      <c r="L214" s="548">
        <f t="shared" si="76"/>
        <v>1142.98</v>
      </c>
      <c r="M214" s="548">
        <f t="shared" si="76"/>
        <v>1219.27</v>
      </c>
      <c r="N214" s="548">
        <f t="shared" si="76"/>
        <v>1595.52</v>
      </c>
      <c r="O214" s="548">
        <f t="shared" si="76"/>
        <v>1791.66</v>
      </c>
      <c r="P214" s="540">
        <f t="shared" si="71"/>
        <v>22880.93</v>
      </c>
      <c r="Q214" s="81"/>
    </row>
    <row r="215" spans="1:17" x14ac:dyDescent="0.25">
      <c r="A215" s="515"/>
      <c r="B215" s="515" t="s">
        <v>126</v>
      </c>
      <c r="C215" s="533"/>
      <c r="D215" s="548">
        <f t="shared" ref="D215:O216" si="77">D163+D180</f>
        <v>1405590.3399999999</v>
      </c>
      <c r="E215" s="548">
        <f t="shared" si="77"/>
        <v>1575170.37</v>
      </c>
      <c r="F215" s="548">
        <f t="shared" si="77"/>
        <v>1632798.46</v>
      </c>
      <c r="G215" s="548">
        <f t="shared" si="77"/>
        <v>1678050.24</v>
      </c>
      <c r="H215" s="548">
        <f t="shared" si="77"/>
        <v>1561350.92</v>
      </c>
      <c r="I215" s="548">
        <f t="shared" si="77"/>
        <v>1675226.6170000001</v>
      </c>
      <c r="J215" s="548">
        <f t="shared" si="77"/>
        <v>1457213.493</v>
      </c>
      <c r="K215" s="548">
        <f t="shared" si="77"/>
        <v>1395572.2999999998</v>
      </c>
      <c r="L215" s="548">
        <f t="shared" si="77"/>
        <v>1391400.6300000001</v>
      </c>
      <c r="M215" s="548">
        <f t="shared" si="77"/>
        <v>1239228.52</v>
      </c>
      <c r="N215" s="548">
        <f t="shared" si="77"/>
        <v>1378778.6099999999</v>
      </c>
      <c r="O215" s="548">
        <f t="shared" si="77"/>
        <v>1311745.3900000001</v>
      </c>
      <c r="P215" s="540">
        <f t="shared" si="71"/>
        <v>17702125.890000001</v>
      </c>
      <c r="Q215" s="81"/>
    </row>
    <row r="216" spans="1:17" x14ac:dyDescent="0.25">
      <c r="A216" s="515"/>
      <c r="B216" s="515" t="s">
        <v>127</v>
      </c>
      <c r="C216" s="533"/>
      <c r="D216" s="548">
        <f t="shared" si="77"/>
        <v>6790663.5</v>
      </c>
      <c r="E216" s="548">
        <f t="shared" si="77"/>
        <v>6932162.6500000004</v>
      </c>
      <c r="F216" s="548">
        <f t="shared" si="77"/>
        <v>7199735.2899999991</v>
      </c>
      <c r="G216" s="548">
        <f t="shared" si="77"/>
        <v>6752880.3100000005</v>
      </c>
      <c r="H216" s="548">
        <f t="shared" si="77"/>
        <v>6745396.29</v>
      </c>
      <c r="I216" s="548">
        <f t="shared" si="77"/>
        <v>7062649.3400000008</v>
      </c>
      <c r="J216" s="548">
        <f t="shared" si="77"/>
        <v>6563764.7300000004</v>
      </c>
      <c r="K216" s="548">
        <f t="shared" si="77"/>
        <v>6406397.8399999999</v>
      </c>
      <c r="L216" s="548">
        <f t="shared" si="77"/>
        <v>6350444.8700000001</v>
      </c>
      <c r="M216" s="548">
        <f t="shared" si="77"/>
        <v>5810242.2599999998</v>
      </c>
      <c r="N216" s="548">
        <f t="shared" si="77"/>
        <v>6384073.2999999998</v>
      </c>
      <c r="O216" s="548">
        <f t="shared" si="77"/>
        <v>6481654.8800000008</v>
      </c>
      <c r="P216" s="540">
        <f t="shared" si="71"/>
        <v>79480065.25999999</v>
      </c>
      <c r="Q216" s="81"/>
    </row>
    <row r="217" spans="1:17" x14ac:dyDescent="0.25">
      <c r="A217" s="515"/>
      <c r="B217" s="534" t="s">
        <v>131</v>
      </c>
      <c r="C217" s="533"/>
      <c r="D217" s="548">
        <f t="shared" ref="D217:O217" si="78">D182</f>
        <v>13447.95</v>
      </c>
      <c r="E217" s="548">
        <f t="shared" si="78"/>
        <v>37939.4</v>
      </c>
      <c r="F217" s="548">
        <f t="shared" si="78"/>
        <v>36106.870000000003</v>
      </c>
      <c r="G217" s="548">
        <f t="shared" si="78"/>
        <v>34461.18</v>
      </c>
      <c r="H217" s="548">
        <f t="shared" si="78"/>
        <v>37271.33</v>
      </c>
      <c r="I217" s="548">
        <f t="shared" si="78"/>
        <v>41746.400000000001</v>
      </c>
      <c r="J217" s="548">
        <f t="shared" si="78"/>
        <v>26449.07</v>
      </c>
      <c r="K217" s="548">
        <f t="shared" si="78"/>
        <v>23620.18</v>
      </c>
      <c r="L217" s="548">
        <f t="shared" si="78"/>
        <v>33317.79</v>
      </c>
      <c r="M217" s="548">
        <f t="shared" si="78"/>
        <v>33609.93</v>
      </c>
      <c r="N217" s="548">
        <f t="shared" si="78"/>
        <v>34642.509999999995</v>
      </c>
      <c r="O217" s="548">
        <f t="shared" si="78"/>
        <v>20021.689999999999</v>
      </c>
      <c r="P217" s="540">
        <f t="shared" si="71"/>
        <v>372634.3</v>
      </c>
      <c r="Q217" s="81"/>
    </row>
    <row r="218" spans="1:17" x14ac:dyDescent="0.25">
      <c r="A218" s="515"/>
      <c r="B218" s="515" t="s">
        <v>129</v>
      </c>
      <c r="C218" s="533"/>
      <c r="D218" s="548">
        <f t="shared" ref="D218:O218" si="79">D165+D183</f>
        <v>7828459.5600000005</v>
      </c>
      <c r="E218" s="548">
        <f t="shared" si="79"/>
        <v>7561515.75</v>
      </c>
      <c r="F218" s="548">
        <f t="shared" si="79"/>
        <v>8528032.5299999993</v>
      </c>
      <c r="G218" s="548">
        <f t="shared" si="79"/>
        <v>9156512.4900000002</v>
      </c>
      <c r="H218" s="548">
        <f t="shared" si="79"/>
        <v>8480924.4700000007</v>
      </c>
      <c r="I218" s="548">
        <f t="shared" si="79"/>
        <v>9685427.3300000001</v>
      </c>
      <c r="J218" s="548">
        <f t="shared" si="79"/>
        <v>7416134.6600000001</v>
      </c>
      <c r="K218" s="548">
        <f t="shared" si="79"/>
        <v>9058211.2699999996</v>
      </c>
      <c r="L218" s="548">
        <f t="shared" si="79"/>
        <v>7745267.1500000004</v>
      </c>
      <c r="M218" s="548">
        <f t="shared" si="79"/>
        <v>8560591.3399999999</v>
      </c>
      <c r="N218" s="548">
        <f t="shared" si="79"/>
        <v>7850386.5099999998</v>
      </c>
      <c r="O218" s="548">
        <f t="shared" si="79"/>
        <v>7405175.8900000006</v>
      </c>
      <c r="P218" s="540">
        <f t="shared" si="71"/>
        <v>99276638.950000003</v>
      </c>
      <c r="Q218" s="81"/>
    </row>
    <row r="219" spans="1:17" s="69" customFormat="1" x14ac:dyDescent="0.25">
      <c r="A219" s="546"/>
      <c r="B219" s="565" t="s">
        <v>61</v>
      </c>
      <c r="C219" s="566"/>
      <c r="D219" s="548">
        <f t="shared" ref="D219:P219" si="80">D171</f>
        <v>3057947.05</v>
      </c>
      <c r="E219" s="548">
        <f t="shared" si="80"/>
        <v>3637675.07</v>
      </c>
      <c r="F219" s="548">
        <f t="shared" si="80"/>
        <v>4152219.4000000004</v>
      </c>
      <c r="G219" s="548">
        <f t="shared" si="80"/>
        <v>4268862.2200000007</v>
      </c>
      <c r="H219" s="548">
        <f t="shared" si="80"/>
        <v>3939510.67</v>
      </c>
      <c r="I219" s="548">
        <f t="shared" si="80"/>
        <v>4038379.4499999997</v>
      </c>
      <c r="J219" s="548">
        <f t="shared" si="80"/>
        <v>3356297.61</v>
      </c>
      <c r="K219" s="548">
        <f t="shared" si="80"/>
        <v>2699134.99</v>
      </c>
      <c r="L219" s="548">
        <f t="shared" si="80"/>
        <v>2249234.02</v>
      </c>
      <c r="M219" s="548">
        <f t="shared" si="80"/>
        <v>1956143.7000000002</v>
      </c>
      <c r="N219" s="548">
        <f t="shared" si="80"/>
        <v>1845610.4999999998</v>
      </c>
      <c r="O219" s="548">
        <f t="shared" si="80"/>
        <v>2022222.78</v>
      </c>
      <c r="P219" s="548">
        <f t="shared" si="80"/>
        <v>37223237.460000001</v>
      </c>
      <c r="Q219" s="71"/>
    </row>
    <row r="220" spans="1:17" x14ac:dyDescent="0.25">
      <c r="A220" s="515"/>
      <c r="B220" s="562" t="s">
        <v>132</v>
      </c>
      <c r="C220" s="533"/>
      <c r="D220" s="555">
        <f t="shared" ref="D220:P220" si="81">SUM(D207:D219)</f>
        <v>86649728.500000015</v>
      </c>
      <c r="E220" s="555">
        <f t="shared" si="81"/>
        <v>114711801.84500001</v>
      </c>
      <c r="F220" s="555">
        <f t="shared" si="81"/>
        <v>165319961.97600001</v>
      </c>
      <c r="G220" s="555">
        <f t="shared" si="81"/>
        <v>159895882.11700004</v>
      </c>
      <c r="H220" s="555">
        <f t="shared" si="81"/>
        <v>138019004.68799999</v>
      </c>
      <c r="I220" s="555">
        <f t="shared" si="81"/>
        <v>123218845.25200003</v>
      </c>
      <c r="J220" s="555">
        <f t="shared" si="81"/>
        <v>91155981.327999994</v>
      </c>
      <c r="K220" s="555">
        <f t="shared" si="81"/>
        <v>68300513.404999986</v>
      </c>
      <c r="L220" s="555">
        <f t="shared" si="81"/>
        <v>52674576.056999996</v>
      </c>
      <c r="M220" s="555">
        <f t="shared" si="81"/>
        <v>46002541.435000002</v>
      </c>
      <c r="N220" s="555">
        <f t="shared" si="81"/>
        <v>44532806.316</v>
      </c>
      <c r="O220" s="555">
        <f t="shared" si="81"/>
        <v>52069110.111000001</v>
      </c>
      <c r="P220" s="555">
        <f t="shared" si="81"/>
        <v>1142550753.03</v>
      </c>
      <c r="Q220" s="71"/>
    </row>
    <row r="221" spans="1:17" x14ac:dyDescent="0.25">
      <c r="A221" s="515"/>
      <c r="B221" s="562" t="s">
        <v>58</v>
      </c>
      <c r="C221" s="533"/>
      <c r="D221" s="548">
        <f t="shared" ref="D221:P221" si="82">D220-D185</f>
        <v>0</v>
      </c>
      <c r="E221" s="548">
        <f t="shared" si="82"/>
        <v>0</v>
      </c>
      <c r="F221" s="548">
        <f t="shared" si="82"/>
        <v>0</v>
      </c>
      <c r="G221" s="548">
        <f t="shared" si="82"/>
        <v>0</v>
      </c>
      <c r="H221" s="548">
        <f t="shared" si="82"/>
        <v>0</v>
      </c>
      <c r="I221" s="548">
        <f t="shared" si="82"/>
        <v>0</v>
      </c>
      <c r="J221" s="548">
        <f t="shared" si="82"/>
        <v>0</v>
      </c>
      <c r="K221" s="548">
        <f t="shared" si="82"/>
        <v>0</v>
      </c>
      <c r="L221" s="548">
        <f t="shared" si="82"/>
        <v>0</v>
      </c>
      <c r="M221" s="548">
        <f t="shared" si="82"/>
        <v>0</v>
      </c>
      <c r="N221" s="548">
        <f t="shared" si="82"/>
        <v>0</v>
      </c>
      <c r="O221" s="548">
        <f t="shared" si="82"/>
        <v>0</v>
      </c>
      <c r="P221" s="548">
        <f t="shared" si="82"/>
        <v>0</v>
      </c>
      <c r="Q221" s="71"/>
    </row>
    <row r="222" spans="1:17" x14ac:dyDescent="0.25">
      <c r="A222" s="515"/>
      <c r="B222" s="515"/>
      <c r="C222" s="533"/>
      <c r="D222" s="548"/>
      <c r="E222" s="548"/>
      <c r="F222" s="548"/>
      <c r="G222" s="548"/>
      <c r="H222" s="548"/>
      <c r="I222" s="548"/>
      <c r="J222" s="548"/>
      <c r="K222" s="548"/>
      <c r="L222" s="548"/>
      <c r="M222" s="548"/>
      <c r="N222" s="548"/>
      <c r="O222" s="548"/>
      <c r="P222" s="548"/>
      <c r="Q222" s="71"/>
    </row>
    <row r="223" spans="1:17" x14ac:dyDescent="0.25">
      <c r="A223" s="515"/>
      <c r="B223" s="556" t="s">
        <v>133</v>
      </c>
      <c r="C223" s="533"/>
      <c r="D223" s="548"/>
      <c r="E223" s="548"/>
      <c r="F223" s="548"/>
      <c r="G223" s="548"/>
      <c r="H223" s="548"/>
      <c r="I223" s="548"/>
      <c r="J223" s="548"/>
      <c r="K223" s="548"/>
      <c r="L223" s="548"/>
      <c r="M223" s="548"/>
      <c r="N223" s="548"/>
      <c r="O223" s="548"/>
      <c r="P223" s="548"/>
      <c r="Q223" s="71"/>
    </row>
    <row r="224" spans="1:17" s="77" customFormat="1" x14ac:dyDescent="0.25">
      <c r="A224" s="527"/>
      <c r="B224" s="567" t="s">
        <v>134</v>
      </c>
      <c r="C224" s="545"/>
      <c r="D224" s="538">
        <f t="shared" ref="D224:O224" si="83">SUM(D35:D37)</f>
        <v>738347</v>
      </c>
      <c r="E224" s="538">
        <f t="shared" si="83"/>
        <v>740333</v>
      </c>
      <c r="F224" s="538">
        <f t="shared" si="83"/>
        <v>742494</v>
      </c>
      <c r="G224" s="538">
        <f t="shared" si="83"/>
        <v>744094</v>
      </c>
      <c r="H224" s="538">
        <f t="shared" si="83"/>
        <v>744966</v>
      </c>
      <c r="I224" s="538">
        <f t="shared" si="83"/>
        <v>745907</v>
      </c>
      <c r="J224" s="538">
        <f t="shared" si="83"/>
        <v>746102</v>
      </c>
      <c r="K224" s="538">
        <f t="shared" si="83"/>
        <v>748458</v>
      </c>
      <c r="L224" s="538">
        <f t="shared" si="83"/>
        <v>749526</v>
      </c>
      <c r="M224" s="538">
        <f t="shared" si="83"/>
        <v>749797</v>
      </c>
      <c r="N224" s="538">
        <f t="shared" si="83"/>
        <v>750520</v>
      </c>
      <c r="O224" s="538">
        <f t="shared" si="83"/>
        <v>751547</v>
      </c>
      <c r="P224" s="538">
        <f t="shared" ref="P224:P235" si="84">SUM(D224:O224)</f>
        <v>8952091</v>
      </c>
      <c r="Q224" s="73"/>
    </row>
    <row r="225" spans="1:17" s="77" customFormat="1" x14ac:dyDescent="0.25">
      <c r="A225" s="527"/>
      <c r="B225" s="563" t="s">
        <v>119</v>
      </c>
      <c r="C225" s="545"/>
      <c r="D225" s="538">
        <f t="shared" ref="D225:O225" si="85">SUM(D38,D44)</f>
        <v>55544</v>
      </c>
      <c r="E225" s="538">
        <f t="shared" si="85"/>
        <v>55689</v>
      </c>
      <c r="F225" s="538">
        <f t="shared" si="85"/>
        <v>55822</v>
      </c>
      <c r="G225" s="538">
        <f t="shared" si="85"/>
        <v>55921</v>
      </c>
      <c r="H225" s="538">
        <f t="shared" si="85"/>
        <v>55948</v>
      </c>
      <c r="I225" s="538">
        <f t="shared" si="85"/>
        <v>55995</v>
      </c>
      <c r="J225" s="538">
        <f t="shared" si="85"/>
        <v>55890</v>
      </c>
      <c r="K225" s="538">
        <f t="shared" si="85"/>
        <v>55997</v>
      </c>
      <c r="L225" s="538">
        <f t="shared" si="85"/>
        <v>56016</v>
      </c>
      <c r="M225" s="538">
        <f t="shared" si="85"/>
        <v>55997</v>
      </c>
      <c r="N225" s="538">
        <f t="shared" si="85"/>
        <v>55953</v>
      </c>
      <c r="O225" s="538">
        <f t="shared" si="85"/>
        <v>55990</v>
      </c>
      <c r="P225" s="538">
        <f t="shared" si="84"/>
        <v>670762</v>
      </c>
      <c r="Q225" s="73"/>
    </row>
    <row r="226" spans="1:17" x14ac:dyDescent="0.25">
      <c r="A226" s="515"/>
      <c r="B226" s="567" t="s">
        <v>120</v>
      </c>
      <c r="C226" s="533"/>
      <c r="D226" s="548">
        <f t="shared" ref="D226:O226" si="86">D39+D45</f>
        <v>1339</v>
      </c>
      <c r="E226" s="548">
        <f t="shared" si="86"/>
        <v>1343</v>
      </c>
      <c r="F226" s="548">
        <f t="shared" si="86"/>
        <v>1367</v>
      </c>
      <c r="G226" s="548">
        <f t="shared" si="86"/>
        <v>1364</v>
      </c>
      <c r="H226" s="548">
        <f t="shared" si="86"/>
        <v>1371</v>
      </c>
      <c r="I226" s="548">
        <f t="shared" si="86"/>
        <v>1367</v>
      </c>
      <c r="J226" s="548">
        <f t="shared" si="86"/>
        <v>1364</v>
      </c>
      <c r="K226" s="548">
        <f t="shared" si="86"/>
        <v>1367</v>
      </c>
      <c r="L226" s="548">
        <f t="shared" si="86"/>
        <v>1367</v>
      </c>
      <c r="M226" s="548">
        <f t="shared" si="86"/>
        <v>1362</v>
      </c>
      <c r="N226" s="548">
        <f t="shared" si="86"/>
        <v>1370</v>
      </c>
      <c r="O226" s="548">
        <f t="shared" si="86"/>
        <v>1367</v>
      </c>
      <c r="P226" s="548">
        <f t="shared" si="84"/>
        <v>16348</v>
      </c>
      <c r="Q226" s="71"/>
    </row>
    <row r="227" spans="1:17" x14ac:dyDescent="0.25">
      <c r="A227" s="515"/>
      <c r="B227" s="515" t="s">
        <v>199</v>
      </c>
      <c r="C227" s="533"/>
      <c r="D227" s="548">
        <f t="shared" ref="D227:O227" si="87">D40</f>
        <v>2</v>
      </c>
      <c r="E227" s="548">
        <f t="shared" si="87"/>
        <v>3</v>
      </c>
      <c r="F227" s="548">
        <f t="shared" si="87"/>
        <v>2</v>
      </c>
      <c r="G227" s="548">
        <f t="shared" si="87"/>
        <v>2</v>
      </c>
      <c r="H227" s="548">
        <f t="shared" si="87"/>
        <v>2</v>
      </c>
      <c r="I227" s="548">
        <f t="shared" si="87"/>
        <v>2</v>
      </c>
      <c r="J227" s="548">
        <f t="shared" si="87"/>
        <v>2</v>
      </c>
      <c r="K227" s="548">
        <f t="shared" si="87"/>
        <v>2</v>
      </c>
      <c r="L227" s="548">
        <f t="shared" si="87"/>
        <v>2</v>
      </c>
      <c r="M227" s="548">
        <f t="shared" si="87"/>
        <v>2</v>
      </c>
      <c r="N227" s="548">
        <f t="shared" si="87"/>
        <v>2</v>
      </c>
      <c r="O227" s="548">
        <f t="shared" si="87"/>
        <v>2</v>
      </c>
      <c r="P227" s="548">
        <f t="shared" si="84"/>
        <v>25</v>
      </c>
      <c r="Q227" s="71"/>
    </row>
    <row r="228" spans="1:17" x14ac:dyDescent="0.25">
      <c r="A228" s="515"/>
      <c r="B228" s="567" t="s">
        <v>123</v>
      </c>
      <c r="C228" s="533"/>
      <c r="D228" s="548">
        <f t="shared" ref="D228:O230" si="88">D41+D46</f>
        <v>30</v>
      </c>
      <c r="E228" s="548">
        <f t="shared" si="88"/>
        <v>31</v>
      </c>
      <c r="F228" s="548">
        <f t="shared" si="88"/>
        <v>30</v>
      </c>
      <c r="G228" s="548">
        <f t="shared" si="88"/>
        <v>31</v>
      </c>
      <c r="H228" s="548">
        <f t="shared" si="88"/>
        <v>30</v>
      </c>
      <c r="I228" s="548">
        <f t="shared" si="88"/>
        <v>30</v>
      </c>
      <c r="J228" s="548">
        <f t="shared" si="88"/>
        <v>30</v>
      </c>
      <c r="K228" s="548">
        <f t="shared" si="88"/>
        <v>29</v>
      </c>
      <c r="L228" s="548">
        <f t="shared" si="88"/>
        <v>29</v>
      </c>
      <c r="M228" s="548">
        <f t="shared" si="88"/>
        <v>29</v>
      </c>
      <c r="N228" s="548">
        <f t="shared" si="88"/>
        <v>29</v>
      </c>
      <c r="O228" s="548">
        <f t="shared" si="88"/>
        <v>29</v>
      </c>
      <c r="P228" s="548">
        <f t="shared" si="84"/>
        <v>357</v>
      </c>
      <c r="Q228" s="71"/>
    </row>
    <row r="229" spans="1:17" x14ac:dyDescent="0.25">
      <c r="A229" s="515"/>
      <c r="B229" s="567" t="s">
        <v>124</v>
      </c>
      <c r="C229" s="533"/>
      <c r="D229" s="548">
        <f t="shared" si="88"/>
        <v>255</v>
      </c>
      <c r="E229" s="548">
        <f t="shared" si="88"/>
        <v>253</v>
      </c>
      <c r="F229" s="548">
        <f t="shared" si="88"/>
        <v>248</v>
      </c>
      <c r="G229" s="548">
        <f t="shared" si="88"/>
        <v>247</v>
      </c>
      <c r="H229" s="548">
        <f t="shared" si="88"/>
        <v>246</v>
      </c>
      <c r="I229" s="548">
        <f t="shared" si="88"/>
        <v>246</v>
      </c>
      <c r="J229" s="548">
        <f t="shared" si="88"/>
        <v>246</v>
      </c>
      <c r="K229" s="548">
        <f t="shared" si="88"/>
        <v>245</v>
      </c>
      <c r="L229" s="548">
        <f t="shared" si="88"/>
        <v>245</v>
      </c>
      <c r="M229" s="548">
        <f t="shared" si="88"/>
        <v>244</v>
      </c>
      <c r="N229" s="548">
        <f t="shared" si="88"/>
        <v>241</v>
      </c>
      <c r="O229" s="548">
        <f t="shared" si="88"/>
        <v>239</v>
      </c>
      <c r="P229" s="548">
        <f t="shared" si="84"/>
        <v>2955</v>
      </c>
      <c r="Q229" s="71"/>
    </row>
    <row r="230" spans="1:17" x14ac:dyDescent="0.25">
      <c r="A230" s="515"/>
      <c r="B230" s="567" t="s">
        <v>125</v>
      </c>
      <c r="C230" s="533"/>
      <c r="D230" s="548">
        <f t="shared" si="88"/>
        <v>5</v>
      </c>
      <c r="E230" s="548">
        <f t="shared" si="88"/>
        <v>5</v>
      </c>
      <c r="F230" s="548">
        <f t="shared" si="88"/>
        <v>5</v>
      </c>
      <c r="G230" s="548">
        <f t="shared" si="88"/>
        <v>5</v>
      </c>
      <c r="H230" s="548">
        <f t="shared" si="88"/>
        <v>5</v>
      </c>
      <c r="I230" s="548">
        <f t="shared" si="88"/>
        <v>5</v>
      </c>
      <c r="J230" s="548">
        <f t="shared" si="88"/>
        <v>5</v>
      </c>
      <c r="K230" s="548">
        <f t="shared" si="88"/>
        <v>5</v>
      </c>
      <c r="L230" s="548">
        <f t="shared" si="88"/>
        <v>5</v>
      </c>
      <c r="M230" s="548">
        <f t="shared" si="88"/>
        <v>5</v>
      </c>
      <c r="N230" s="548">
        <f t="shared" si="88"/>
        <v>5</v>
      </c>
      <c r="O230" s="548">
        <f t="shared" si="88"/>
        <v>5</v>
      </c>
      <c r="P230" s="548">
        <f t="shared" si="84"/>
        <v>60</v>
      </c>
      <c r="Q230" s="71"/>
    </row>
    <row r="231" spans="1:17" x14ac:dyDescent="0.25">
      <c r="A231" s="515"/>
      <c r="B231" s="515" t="s">
        <v>126</v>
      </c>
      <c r="C231" s="533"/>
      <c r="D231" s="548">
        <f t="shared" ref="D231:O232" si="89">D49+D52</f>
        <v>96</v>
      </c>
      <c r="E231" s="548">
        <f t="shared" si="89"/>
        <v>97</v>
      </c>
      <c r="F231" s="548">
        <f t="shared" si="89"/>
        <v>98</v>
      </c>
      <c r="G231" s="548">
        <f t="shared" si="89"/>
        <v>98</v>
      </c>
      <c r="H231" s="548">
        <f t="shared" si="89"/>
        <v>98</v>
      </c>
      <c r="I231" s="548">
        <f t="shared" si="89"/>
        <v>98</v>
      </c>
      <c r="J231" s="548">
        <f t="shared" si="89"/>
        <v>97</v>
      </c>
      <c r="K231" s="548">
        <f t="shared" si="89"/>
        <v>98</v>
      </c>
      <c r="L231" s="548">
        <f t="shared" si="89"/>
        <v>99</v>
      </c>
      <c r="M231" s="548">
        <f t="shared" si="89"/>
        <v>99</v>
      </c>
      <c r="N231" s="548">
        <f t="shared" si="89"/>
        <v>99</v>
      </c>
      <c r="O231" s="548">
        <f t="shared" si="89"/>
        <v>99</v>
      </c>
      <c r="P231" s="548">
        <f t="shared" si="84"/>
        <v>1176</v>
      </c>
      <c r="Q231" s="71"/>
    </row>
    <row r="232" spans="1:17" x14ac:dyDescent="0.25">
      <c r="A232" s="515"/>
      <c r="B232" s="515" t="s">
        <v>127</v>
      </c>
      <c r="C232" s="533"/>
      <c r="D232" s="548">
        <f t="shared" si="89"/>
        <v>104</v>
      </c>
      <c r="E232" s="548">
        <f t="shared" si="89"/>
        <v>103</v>
      </c>
      <c r="F232" s="548">
        <f t="shared" si="89"/>
        <v>103</v>
      </c>
      <c r="G232" s="548">
        <f t="shared" si="89"/>
        <v>102</v>
      </c>
      <c r="H232" s="548">
        <f t="shared" si="89"/>
        <v>102</v>
      </c>
      <c r="I232" s="548">
        <f t="shared" si="89"/>
        <v>102</v>
      </c>
      <c r="J232" s="548">
        <f t="shared" si="89"/>
        <v>102</v>
      </c>
      <c r="K232" s="548">
        <f t="shared" si="89"/>
        <v>102</v>
      </c>
      <c r="L232" s="548">
        <f t="shared" si="89"/>
        <v>102</v>
      </c>
      <c r="M232" s="548">
        <f t="shared" si="89"/>
        <v>103</v>
      </c>
      <c r="N232" s="548">
        <f t="shared" si="89"/>
        <v>103</v>
      </c>
      <c r="O232" s="548">
        <f t="shared" si="89"/>
        <v>103</v>
      </c>
      <c r="P232" s="548">
        <f t="shared" si="84"/>
        <v>1231</v>
      </c>
      <c r="Q232" s="71"/>
    </row>
    <row r="233" spans="1:17" x14ac:dyDescent="0.25">
      <c r="A233" s="515"/>
      <c r="B233" s="534" t="s">
        <v>131</v>
      </c>
      <c r="C233" s="533"/>
      <c r="D233" s="548">
        <f t="shared" ref="D233:O233" si="90">D54</f>
        <v>2</v>
      </c>
      <c r="E233" s="548">
        <f t="shared" si="90"/>
        <v>3</v>
      </c>
      <c r="F233" s="548">
        <f t="shared" si="90"/>
        <v>3</v>
      </c>
      <c r="G233" s="548">
        <f t="shared" si="90"/>
        <v>3</v>
      </c>
      <c r="H233" s="548">
        <f t="shared" si="90"/>
        <v>3</v>
      </c>
      <c r="I233" s="548">
        <f t="shared" si="90"/>
        <v>3</v>
      </c>
      <c r="J233" s="548">
        <f t="shared" si="90"/>
        <v>3</v>
      </c>
      <c r="K233" s="548">
        <f t="shared" si="90"/>
        <v>3</v>
      </c>
      <c r="L233" s="548">
        <f t="shared" si="90"/>
        <v>3</v>
      </c>
      <c r="M233" s="548">
        <f t="shared" si="90"/>
        <v>4</v>
      </c>
      <c r="N233" s="548">
        <f t="shared" si="90"/>
        <v>4</v>
      </c>
      <c r="O233" s="548">
        <f t="shared" si="90"/>
        <v>4</v>
      </c>
      <c r="P233" s="548">
        <f t="shared" si="84"/>
        <v>38</v>
      </c>
      <c r="Q233" s="71"/>
    </row>
    <row r="234" spans="1:17" x14ac:dyDescent="0.25">
      <c r="A234" s="515"/>
      <c r="B234" s="515" t="s">
        <v>129</v>
      </c>
      <c r="C234" s="533"/>
      <c r="D234" s="548">
        <f t="shared" ref="D234:O234" si="91">D51+D55</f>
        <v>12</v>
      </c>
      <c r="E234" s="548">
        <f t="shared" si="91"/>
        <v>11</v>
      </c>
      <c r="F234" s="548">
        <f t="shared" si="91"/>
        <v>11</v>
      </c>
      <c r="G234" s="548">
        <f t="shared" si="91"/>
        <v>11</v>
      </c>
      <c r="H234" s="548">
        <f t="shared" si="91"/>
        <v>11</v>
      </c>
      <c r="I234" s="548">
        <f t="shared" si="91"/>
        <v>11</v>
      </c>
      <c r="J234" s="548">
        <f t="shared" si="91"/>
        <v>11</v>
      </c>
      <c r="K234" s="548">
        <f t="shared" si="91"/>
        <v>11</v>
      </c>
      <c r="L234" s="548">
        <f t="shared" si="91"/>
        <v>11</v>
      </c>
      <c r="M234" s="548">
        <f t="shared" si="91"/>
        <v>10</v>
      </c>
      <c r="N234" s="548">
        <f t="shared" si="91"/>
        <v>10</v>
      </c>
      <c r="O234" s="548">
        <f t="shared" si="91"/>
        <v>10</v>
      </c>
      <c r="P234" s="548">
        <f t="shared" si="84"/>
        <v>130</v>
      </c>
      <c r="Q234" s="71"/>
    </row>
    <row r="235" spans="1:17" s="69" customFormat="1" x14ac:dyDescent="0.25">
      <c r="A235" s="546"/>
      <c r="B235" s="565" t="s">
        <v>61</v>
      </c>
      <c r="C235" s="566"/>
      <c r="D235" s="548">
        <f t="shared" ref="D235:O235" si="92">SUM(D56:D56)</f>
        <v>10</v>
      </c>
      <c r="E235" s="548">
        <f t="shared" si="92"/>
        <v>10</v>
      </c>
      <c r="F235" s="548">
        <f t="shared" si="92"/>
        <v>10</v>
      </c>
      <c r="G235" s="548">
        <f t="shared" si="92"/>
        <v>10</v>
      </c>
      <c r="H235" s="548">
        <f t="shared" si="92"/>
        <v>10</v>
      </c>
      <c r="I235" s="548">
        <f t="shared" si="92"/>
        <v>10</v>
      </c>
      <c r="J235" s="548">
        <f t="shared" si="92"/>
        <v>10</v>
      </c>
      <c r="K235" s="548">
        <f t="shared" si="92"/>
        <v>10</v>
      </c>
      <c r="L235" s="548">
        <f t="shared" si="92"/>
        <v>10</v>
      </c>
      <c r="M235" s="548">
        <f t="shared" si="92"/>
        <v>10</v>
      </c>
      <c r="N235" s="548">
        <f t="shared" si="92"/>
        <v>10</v>
      </c>
      <c r="O235" s="548">
        <f t="shared" si="92"/>
        <v>10</v>
      </c>
      <c r="P235" s="548">
        <f t="shared" si="84"/>
        <v>120</v>
      </c>
      <c r="Q235" s="71"/>
    </row>
    <row r="236" spans="1:17" x14ac:dyDescent="0.25">
      <c r="A236" s="515"/>
      <c r="B236" s="528" t="s">
        <v>135</v>
      </c>
      <c r="C236" s="533"/>
      <c r="D236" s="555">
        <f t="shared" ref="D236:P236" si="93">SUM(D224:D235)</f>
        <v>795746</v>
      </c>
      <c r="E236" s="555">
        <f t="shared" si="93"/>
        <v>797881</v>
      </c>
      <c r="F236" s="555">
        <f t="shared" si="93"/>
        <v>800193</v>
      </c>
      <c r="G236" s="555">
        <f t="shared" si="93"/>
        <v>801888</v>
      </c>
      <c r="H236" s="555">
        <f t="shared" si="93"/>
        <v>802792</v>
      </c>
      <c r="I236" s="555">
        <f t="shared" si="93"/>
        <v>803776</v>
      </c>
      <c r="J236" s="555">
        <f t="shared" si="93"/>
        <v>803862</v>
      </c>
      <c r="K236" s="555">
        <f t="shared" si="93"/>
        <v>806327</v>
      </c>
      <c r="L236" s="555">
        <f t="shared" si="93"/>
        <v>807415</v>
      </c>
      <c r="M236" s="555">
        <f t="shared" si="93"/>
        <v>807662</v>
      </c>
      <c r="N236" s="555">
        <f t="shared" si="93"/>
        <v>808346</v>
      </c>
      <c r="O236" s="555">
        <f t="shared" si="93"/>
        <v>809405</v>
      </c>
      <c r="P236" s="555">
        <f t="shared" si="93"/>
        <v>9645293</v>
      </c>
      <c r="Q236" s="71"/>
    </row>
    <row r="237" spans="1:17" x14ac:dyDescent="0.25">
      <c r="A237" s="515"/>
      <c r="B237" s="568" t="s">
        <v>58</v>
      </c>
      <c r="C237" s="533"/>
      <c r="D237" s="548">
        <f t="shared" ref="D237:P237" si="94">D236-D57</f>
        <v>0</v>
      </c>
      <c r="E237" s="548">
        <f t="shared" si="94"/>
        <v>0</v>
      </c>
      <c r="F237" s="548">
        <f t="shared" si="94"/>
        <v>0</v>
      </c>
      <c r="G237" s="548">
        <f t="shared" si="94"/>
        <v>0</v>
      </c>
      <c r="H237" s="548">
        <f t="shared" si="94"/>
        <v>0</v>
      </c>
      <c r="I237" s="548">
        <f t="shared" si="94"/>
        <v>0</v>
      </c>
      <c r="J237" s="548">
        <f t="shared" si="94"/>
        <v>0</v>
      </c>
      <c r="K237" s="548">
        <f t="shared" si="94"/>
        <v>0</v>
      </c>
      <c r="L237" s="548">
        <f t="shared" si="94"/>
        <v>0</v>
      </c>
      <c r="M237" s="548">
        <f t="shared" si="94"/>
        <v>0</v>
      </c>
      <c r="N237" s="548">
        <f t="shared" si="94"/>
        <v>0</v>
      </c>
      <c r="O237" s="548">
        <f t="shared" si="94"/>
        <v>0</v>
      </c>
      <c r="P237" s="538">
        <f t="shared" si="94"/>
        <v>0</v>
      </c>
      <c r="Q237" s="73"/>
    </row>
    <row r="238" spans="1:17" x14ac:dyDescent="0.25">
      <c r="A238" s="515"/>
      <c r="B238" s="515"/>
      <c r="C238" s="533"/>
      <c r="D238" s="548"/>
      <c r="E238" s="548"/>
      <c r="F238" s="548"/>
      <c r="G238" s="548"/>
      <c r="H238" s="548"/>
      <c r="I238" s="548"/>
      <c r="J238" s="548"/>
      <c r="K238" s="548"/>
      <c r="L238" s="548"/>
      <c r="M238" s="548"/>
      <c r="N238" s="548"/>
      <c r="O238" s="548"/>
      <c r="P238" s="548"/>
      <c r="Q238" s="71"/>
    </row>
    <row r="239" spans="1:17" x14ac:dyDescent="0.25">
      <c r="A239" s="515"/>
      <c r="B239" s="556" t="s">
        <v>136</v>
      </c>
      <c r="C239" s="533"/>
      <c r="D239" s="548"/>
      <c r="E239" s="548"/>
      <c r="F239" s="548"/>
      <c r="G239" s="548"/>
      <c r="H239" s="548"/>
      <c r="I239" s="548"/>
      <c r="J239" s="548"/>
      <c r="K239" s="548"/>
      <c r="L239" s="548"/>
      <c r="M239" s="548"/>
      <c r="N239" s="548"/>
      <c r="O239" s="548"/>
      <c r="P239" s="548"/>
      <c r="Q239" s="71"/>
    </row>
    <row r="240" spans="1:17" x14ac:dyDescent="0.25">
      <c r="A240" s="515"/>
      <c r="B240" s="567" t="s">
        <v>134</v>
      </c>
      <c r="C240" s="533"/>
      <c r="D240" s="548">
        <f t="shared" ref="D240:O240" si="95">SUM(D207:D208)</f>
        <v>42898193.859000005</v>
      </c>
      <c r="E240" s="548">
        <f t="shared" si="95"/>
        <v>62232178.811999992</v>
      </c>
      <c r="F240" s="548">
        <f t="shared" si="95"/>
        <v>96654148.370999992</v>
      </c>
      <c r="G240" s="548">
        <f t="shared" si="95"/>
        <v>91596421.357999995</v>
      </c>
      <c r="H240" s="548">
        <f t="shared" si="95"/>
        <v>77635796.318000004</v>
      </c>
      <c r="I240" s="548">
        <f t="shared" si="95"/>
        <v>65305001.583999999</v>
      </c>
      <c r="J240" s="548">
        <f t="shared" si="95"/>
        <v>45773154.254000001</v>
      </c>
      <c r="K240" s="548">
        <f t="shared" si="95"/>
        <v>28826435.471999999</v>
      </c>
      <c r="L240" s="548">
        <f t="shared" si="95"/>
        <v>19260038.009999998</v>
      </c>
      <c r="M240" s="548">
        <f t="shared" si="95"/>
        <v>14540192.842999998</v>
      </c>
      <c r="N240" s="548">
        <f t="shared" si="95"/>
        <v>13455745.036</v>
      </c>
      <c r="O240" s="548">
        <f t="shared" si="95"/>
        <v>19363784.559999999</v>
      </c>
      <c r="P240" s="548">
        <f t="shared" ref="P240:P251" si="96">SUM(D240:O240)</f>
        <v>577541090.477</v>
      </c>
      <c r="Q240" s="71"/>
    </row>
    <row r="241" spans="1:17" x14ac:dyDescent="0.25">
      <c r="A241" s="515"/>
      <c r="B241" s="563" t="s">
        <v>119</v>
      </c>
      <c r="C241" s="533"/>
      <c r="D241" s="548">
        <f t="shared" ref="D241:O241" si="97">SUM(D209:D209)</f>
        <v>15409110.703</v>
      </c>
      <c r="E241" s="548">
        <f t="shared" si="97"/>
        <v>21445224.515000001</v>
      </c>
      <c r="F241" s="548">
        <f t="shared" si="97"/>
        <v>32648041.905999999</v>
      </c>
      <c r="G241" s="548">
        <f t="shared" si="97"/>
        <v>31772719.533</v>
      </c>
      <c r="H241" s="548">
        <f t="shared" si="97"/>
        <v>26722150.761</v>
      </c>
      <c r="I241" s="548">
        <f t="shared" si="97"/>
        <v>23202159.392999999</v>
      </c>
      <c r="J241" s="548">
        <f t="shared" si="97"/>
        <v>16750373.662</v>
      </c>
      <c r="K241" s="548">
        <f t="shared" si="97"/>
        <v>11990369.424000001</v>
      </c>
      <c r="L241" s="548">
        <f t="shared" si="97"/>
        <v>9302546.7690000013</v>
      </c>
      <c r="M241" s="548">
        <f t="shared" si="97"/>
        <v>8173847.5219999999</v>
      </c>
      <c r="N241" s="548">
        <f t="shared" si="97"/>
        <v>7907580.3300000001</v>
      </c>
      <c r="O241" s="548">
        <f t="shared" si="97"/>
        <v>9240098.7750000004</v>
      </c>
      <c r="P241" s="548">
        <f t="shared" si="96"/>
        <v>214564223.29300004</v>
      </c>
      <c r="Q241" s="71"/>
    </row>
    <row r="242" spans="1:17" x14ac:dyDescent="0.25">
      <c r="A242" s="515"/>
      <c r="B242" s="567" t="s">
        <v>120</v>
      </c>
      <c r="C242" s="533"/>
      <c r="D242" s="548">
        <f t="shared" ref="D242:O242" si="98">D210</f>
        <v>5274258.9960000003</v>
      </c>
      <c r="E242" s="548">
        <f t="shared" si="98"/>
        <v>6451435.4719999991</v>
      </c>
      <c r="F242" s="548">
        <f t="shared" si="98"/>
        <v>8249055.9160000011</v>
      </c>
      <c r="G242" s="548">
        <f t="shared" si="98"/>
        <v>8164606.057</v>
      </c>
      <c r="H242" s="548">
        <f t="shared" si="98"/>
        <v>7187030.381000001</v>
      </c>
      <c r="I242" s="548">
        <f t="shared" si="98"/>
        <v>6876698.8770000003</v>
      </c>
      <c r="J242" s="548">
        <f t="shared" si="98"/>
        <v>5503452.5530000003</v>
      </c>
      <c r="K242" s="548">
        <f t="shared" si="98"/>
        <v>4512242.659</v>
      </c>
      <c r="L242" s="548">
        <f t="shared" si="98"/>
        <v>3694998.2929999996</v>
      </c>
      <c r="M242" s="548">
        <f t="shared" si="98"/>
        <v>3228435.9960000003</v>
      </c>
      <c r="N242" s="548">
        <f t="shared" si="98"/>
        <v>3194350.6280000005</v>
      </c>
      <c r="O242" s="548">
        <f t="shared" si="98"/>
        <v>3654084.3850000002</v>
      </c>
      <c r="P242" s="548">
        <f t="shared" si="96"/>
        <v>65990650.213</v>
      </c>
      <c r="Q242" s="71"/>
    </row>
    <row r="243" spans="1:17" x14ac:dyDescent="0.25">
      <c r="A243" s="515"/>
      <c r="B243" s="515" t="s">
        <v>199</v>
      </c>
      <c r="C243" s="533"/>
      <c r="D243" s="548">
        <f t="shared" ref="D243:O243" si="99">D214</f>
        <v>690.24</v>
      </c>
      <c r="E243" s="548">
        <f t="shared" si="99"/>
        <v>2638.01</v>
      </c>
      <c r="F243" s="548">
        <f t="shared" si="99"/>
        <v>3281.49</v>
      </c>
      <c r="G243" s="548">
        <f t="shared" si="99"/>
        <v>3247.94</v>
      </c>
      <c r="H243" s="548">
        <f t="shared" si="99"/>
        <v>2197.9499999999998</v>
      </c>
      <c r="I243" s="548">
        <f t="shared" si="99"/>
        <v>2214.73</v>
      </c>
      <c r="J243" s="548">
        <f t="shared" si="99"/>
        <v>1548.25</v>
      </c>
      <c r="K243" s="548">
        <f t="shared" si="99"/>
        <v>1312.89</v>
      </c>
      <c r="L243" s="548">
        <f t="shared" si="99"/>
        <v>1142.98</v>
      </c>
      <c r="M243" s="548">
        <f t="shared" si="99"/>
        <v>1219.27</v>
      </c>
      <c r="N243" s="548">
        <f t="shared" si="99"/>
        <v>1595.52</v>
      </c>
      <c r="O243" s="548">
        <f t="shared" si="99"/>
        <v>1791.66</v>
      </c>
      <c r="P243" s="548">
        <f t="shared" si="96"/>
        <v>22880.93</v>
      </c>
      <c r="Q243" s="71"/>
    </row>
    <row r="244" spans="1:17" x14ac:dyDescent="0.25">
      <c r="A244" s="515"/>
      <c r="B244" s="567" t="s">
        <v>123</v>
      </c>
      <c r="C244" s="533"/>
      <c r="D244" s="548">
        <f t="shared" ref="D244:O246" si="100">D211</f>
        <v>1335896.1949999998</v>
      </c>
      <c r="E244" s="548">
        <f t="shared" si="100"/>
        <v>1673654.17</v>
      </c>
      <c r="F244" s="548">
        <f t="shared" si="100"/>
        <v>2143238.3229999999</v>
      </c>
      <c r="G244" s="548">
        <f t="shared" si="100"/>
        <v>2148400.5660000001</v>
      </c>
      <c r="H244" s="548">
        <f t="shared" si="100"/>
        <v>1912086.6879999998</v>
      </c>
      <c r="I244" s="548">
        <f t="shared" si="100"/>
        <v>1873435.8699999999</v>
      </c>
      <c r="J244" s="548">
        <f t="shared" si="100"/>
        <v>1534459.4510000001</v>
      </c>
      <c r="K244" s="548">
        <f t="shared" si="100"/>
        <v>1187770.9110000001</v>
      </c>
      <c r="L244" s="548">
        <f t="shared" si="100"/>
        <v>914742.16200000001</v>
      </c>
      <c r="M244" s="548">
        <f t="shared" si="100"/>
        <v>849875.59299999999</v>
      </c>
      <c r="N244" s="548">
        <f t="shared" si="100"/>
        <v>850145.23100000003</v>
      </c>
      <c r="O244" s="548">
        <f t="shared" si="100"/>
        <v>716090.27899999998</v>
      </c>
      <c r="P244" s="548">
        <f t="shared" si="96"/>
        <v>17139795.438999999</v>
      </c>
      <c r="Q244" s="71"/>
    </row>
    <row r="245" spans="1:17" x14ac:dyDescent="0.25">
      <c r="A245" s="515"/>
      <c r="B245" s="567" t="s">
        <v>124</v>
      </c>
      <c r="C245" s="533"/>
      <c r="D245" s="548">
        <f t="shared" si="100"/>
        <v>806596.00099999993</v>
      </c>
      <c r="E245" s="548">
        <f t="shared" si="100"/>
        <v>992515.53800000006</v>
      </c>
      <c r="F245" s="548">
        <f t="shared" si="100"/>
        <v>1427756</v>
      </c>
      <c r="G245" s="548">
        <f t="shared" si="100"/>
        <v>1539817.557</v>
      </c>
      <c r="H245" s="548">
        <f t="shared" si="100"/>
        <v>1390761.4890000001</v>
      </c>
      <c r="I245" s="548">
        <f t="shared" si="100"/>
        <v>1140331.4959999998</v>
      </c>
      <c r="J245" s="548">
        <f t="shared" si="100"/>
        <v>796133.78399999999</v>
      </c>
      <c r="K245" s="548">
        <f t="shared" si="100"/>
        <v>530625.33799999999</v>
      </c>
      <c r="L245" s="548">
        <f t="shared" si="100"/>
        <v>359317.01400000002</v>
      </c>
      <c r="M245" s="548">
        <f t="shared" si="100"/>
        <v>244484.96900000001</v>
      </c>
      <c r="N245" s="548">
        <f t="shared" si="100"/>
        <v>290810.10699999996</v>
      </c>
      <c r="O245" s="548">
        <f t="shared" si="100"/>
        <v>406880.23699999996</v>
      </c>
      <c r="P245" s="548">
        <f t="shared" si="96"/>
        <v>9926029.5300000012</v>
      </c>
      <c r="Q245" s="71"/>
    </row>
    <row r="246" spans="1:17" x14ac:dyDescent="0.25">
      <c r="A246" s="515"/>
      <c r="B246" s="567" t="s">
        <v>125</v>
      </c>
      <c r="C246" s="533"/>
      <c r="D246" s="548">
        <f t="shared" si="100"/>
        <v>1828874.1059999997</v>
      </c>
      <c r="E246" s="548">
        <f t="shared" si="100"/>
        <v>2169692.088</v>
      </c>
      <c r="F246" s="548">
        <f t="shared" si="100"/>
        <v>2645547.42</v>
      </c>
      <c r="G246" s="548">
        <f t="shared" si="100"/>
        <v>2779902.6660000002</v>
      </c>
      <c r="H246" s="548">
        <f t="shared" si="100"/>
        <v>2404527.4210000001</v>
      </c>
      <c r="I246" s="548">
        <f t="shared" si="100"/>
        <v>2315574.165</v>
      </c>
      <c r="J246" s="548">
        <f t="shared" si="100"/>
        <v>1976999.811</v>
      </c>
      <c r="K246" s="548">
        <f t="shared" si="100"/>
        <v>1668820.1310000001</v>
      </c>
      <c r="L246" s="548">
        <f t="shared" si="100"/>
        <v>1372126.3689999999</v>
      </c>
      <c r="M246" s="548">
        <f t="shared" si="100"/>
        <v>1364669.4919999999</v>
      </c>
      <c r="N246" s="548">
        <f t="shared" si="100"/>
        <v>1339088.034</v>
      </c>
      <c r="O246" s="548">
        <f t="shared" si="100"/>
        <v>1445559.585</v>
      </c>
      <c r="P246" s="548">
        <f t="shared" si="96"/>
        <v>23311381.288000003</v>
      </c>
      <c r="Q246" s="71"/>
    </row>
    <row r="247" spans="1:17" x14ac:dyDescent="0.25">
      <c r="A247" s="515"/>
      <c r="B247" s="515" t="s">
        <v>126</v>
      </c>
      <c r="C247" s="533"/>
      <c r="D247" s="548">
        <f t="shared" ref="D247:O251" si="101">D215</f>
        <v>1405590.3399999999</v>
      </c>
      <c r="E247" s="548">
        <f t="shared" si="101"/>
        <v>1575170.37</v>
      </c>
      <c r="F247" s="548">
        <f t="shared" si="101"/>
        <v>1632798.46</v>
      </c>
      <c r="G247" s="548">
        <f t="shared" si="101"/>
        <v>1678050.24</v>
      </c>
      <c r="H247" s="548">
        <f t="shared" si="101"/>
        <v>1561350.92</v>
      </c>
      <c r="I247" s="548">
        <f t="shared" si="101"/>
        <v>1675226.6170000001</v>
      </c>
      <c r="J247" s="548">
        <f t="shared" si="101"/>
        <v>1457213.493</v>
      </c>
      <c r="K247" s="548">
        <f t="shared" si="101"/>
        <v>1395572.2999999998</v>
      </c>
      <c r="L247" s="548">
        <f t="shared" si="101"/>
        <v>1391400.6300000001</v>
      </c>
      <c r="M247" s="548">
        <f t="shared" si="101"/>
        <v>1239228.52</v>
      </c>
      <c r="N247" s="548">
        <f t="shared" si="101"/>
        <v>1378778.6099999999</v>
      </c>
      <c r="O247" s="548">
        <f t="shared" si="101"/>
        <v>1311745.3900000001</v>
      </c>
      <c r="P247" s="548">
        <f t="shared" si="96"/>
        <v>17702125.890000001</v>
      </c>
      <c r="Q247" s="71"/>
    </row>
    <row r="248" spans="1:17" x14ac:dyDescent="0.25">
      <c r="A248" s="515"/>
      <c r="B248" s="515" t="s">
        <v>127</v>
      </c>
      <c r="C248" s="533"/>
      <c r="D248" s="548">
        <f t="shared" si="101"/>
        <v>6790663.5</v>
      </c>
      <c r="E248" s="548">
        <f t="shared" si="101"/>
        <v>6932162.6500000004</v>
      </c>
      <c r="F248" s="548">
        <f t="shared" si="101"/>
        <v>7199735.2899999991</v>
      </c>
      <c r="G248" s="548">
        <f t="shared" si="101"/>
        <v>6752880.3100000005</v>
      </c>
      <c r="H248" s="548">
        <f t="shared" si="101"/>
        <v>6745396.29</v>
      </c>
      <c r="I248" s="548">
        <f t="shared" si="101"/>
        <v>7062649.3400000008</v>
      </c>
      <c r="J248" s="548">
        <f t="shared" si="101"/>
        <v>6563764.7300000004</v>
      </c>
      <c r="K248" s="548">
        <f t="shared" si="101"/>
        <v>6406397.8399999999</v>
      </c>
      <c r="L248" s="548">
        <f t="shared" si="101"/>
        <v>6350444.8700000001</v>
      </c>
      <c r="M248" s="548">
        <f t="shared" si="101"/>
        <v>5810242.2599999998</v>
      </c>
      <c r="N248" s="548">
        <f t="shared" si="101"/>
        <v>6384073.2999999998</v>
      </c>
      <c r="O248" s="548">
        <f t="shared" si="101"/>
        <v>6481654.8800000008</v>
      </c>
      <c r="P248" s="548">
        <f t="shared" si="96"/>
        <v>79480065.25999999</v>
      </c>
      <c r="Q248" s="71"/>
    </row>
    <row r="249" spans="1:17" x14ac:dyDescent="0.25">
      <c r="A249" s="515"/>
      <c r="B249" s="534" t="s">
        <v>131</v>
      </c>
      <c r="C249" s="533"/>
      <c r="D249" s="548">
        <f t="shared" si="101"/>
        <v>13447.95</v>
      </c>
      <c r="E249" s="548">
        <f t="shared" si="101"/>
        <v>37939.4</v>
      </c>
      <c r="F249" s="548">
        <f t="shared" si="101"/>
        <v>36106.870000000003</v>
      </c>
      <c r="G249" s="548">
        <f t="shared" si="101"/>
        <v>34461.18</v>
      </c>
      <c r="H249" s="548">
        <f t="shared" si="101"/>
        <v>37271.33</v>
      </c>
      <c r="I249" s="548">
        <f t="shared" si="101"/>
        <v>41746.400000000001</v>
      </c>
      <c r="J249" s="548">
        <f t="shared" si="101"/>
        <v>26449.07</v>
      </c>
      <c r="K249" s="548">
        <f t="shared" si="101"/>
        <v>23620.18</v>
      </c>
      <c r="L249" s="548">
        <f t="shared" si="101"/>
        <v>33317.79</v>
      </c>
      <c r="M249" s="548">
        <f t="shared" si="101"/>
        <v>33609.93</v>
      </c>
      <c r="N249" s="548">
        <f t="shared" si="101"/>
        <v>34642.509999999995</v>
      </c>
      <c r="O249" s="548">
        <f t="shared" si="101"/>
        <v>20021.689999999999</v>
      </c>
      <c r="P249" s="548">
        <f t="shared" si="96"/>
        <v>372634.3</v>
      </c>
      <c r="Q249" s="71"/>
    </row>
    <row r="250" spans="1:17" x14ac:dyDescent="0.25">
      <c r="A250" s="515"/>
      <c r="B250" s="515" t="s">
        <v>129</v>
      </c>
      <c r="C250" s="533"/>
      <c r="D250" s="548">
        <f t="shared" si="101"/>
        <v>7828459.5600000005</v>
      </c>
      <c r="E250" s="548">
        <f t="shared" si="101"/>
        <v>7561515.75</v>
      </c>
      <c r="F250" s="548">
        <f t="shared" si="101"/>
        <v>8528032.5299999993</v>
      </c>
      <c r="G250" s="548">
        <f t="shared" si="101"/>
        <v>9156512.4900000002</v>
      </c>
      <c r="H250" s="548">
        <f t="shared" si="101"/>
        <v>8480924.4700000007</v>
      </c>
      <c r="I250" s="548">
        <f t="shared" si="101"/>
        <v>9685427.3300000001</v>
      </c>
      <c r="J250" s="548">
        <f t="shared" si="101"/>
        <v>7416134.6600000001</v>
      </c>
      <c r="K250" s="548">
        <f t="shared" si="101"/>
        <v>9058211.2699999996</v>
      </c>
      <c r="L250" s="548">
        <f t="shared" si="101"/>
        <v>7745267.1500000004</v>
      </c>
      <c r="M250" s="548">
        <f t="shared" si="101"/>
        <v>8560591.3399999999</v>
      </c>
      <c r="N250" s="548">
        <f t="shared" si="101"/>
        <v>7850386.5099999998</v>
      </c>
      <c r="O250" s="548">
        <f t="shared" si="101"/>
        <v>7405175.8900000006</v>
      </c>
      <c r="P250" s="548">
        <f t="shared" si="96"/>
        <v>99276638.950000003</v>
      </c>
      <c r="Q250" s="71"/>
    </row>
    <row r="251" spans="1:17" s="69" customFormat="1" x14ac:dyDescent="0.25">
      <c r="A251" s="546"/>
      <c r="B251" s="565" t="s">
        <v>61</v>
      </c>
      <c r="C251" s="566"/>
      <c r="D251" s="548">
        <f t="shared" si="101"/>
        <v>3057947.05</v>
      </c>
      <c r="E251" s="548">
        <f t="shared" si="101"/>
        <v>3637675.07</v>
      </c>
      <c r="F251" s="548">
        <f t="shared" si="101"/>
        <v>4152219.4000000004</v>
      </c>
      <c r="G251" s="548">
        <f t="shared" si="101"/>
        <v>4268862.2200000007</v>
      </c>
      <c r="H251" s="548">
        <f t="shared" si="101"/>
        <v>3939510.67</v>
      </c>
      <c r="I251" s="548">
        <f t="shared" si="101"/>
        <v>4038379.4499999997</v>
      </c>
      <c r="J251" s="548">
        <f t="shared" si="101"/>
        <v>3356297.61</v>
      </c>
      <c r="K251" s="548">
        <f t="shared" si="101"/>
        <v>2699134.99</v>
      </c>
      <c r="L251" s="548">
        <f t="shared" si="101"/>
        <v>2249234.02</v>
      </c>
      <c r="M251" s="548">
        <f t="shared" si="101"/>
        <v>1956143.7000000002</v>
      </c>
      <c r="N251" s="548">
        <f t="shared" si="101"/>
        <v>1845610.4999999998</v>
      </c>
      <c r="O251" s="548">
        <f t="shared" si="101"/>
        <v>2022222.78</v>
      </c>
      <c r="P251" s="548">
        <f t="shared" si="96"/>
        <v>37223237.460000001</v>
      </c>
      <c r="Q251" s="71"/>
    </row>
    <row r="252" spans="1:17" x14ac:dyDescent="0.25">
      <c r="A252" s="515"/>
      <c r="B252" s="562" t="s">
        <v>132</v>
      </c>
      <c r="C252" s="533"/>
      <c r="D252" s="555">
        <f t="shared" ref="D252:P252" si="102">SUM(D240:D251)</f>
        <v>86649728.500000015</v>
      </c>
      <c r="E252" s="555">
        <f t="shared" si="102"/>
        <v>114711801.84500001</v>
      </c>
      <c r="F252" s="555">
        <f t="shared" si="102"/>
        <v>165319961.97600001</v>
      </c>
      <c r="G252" s="555">
        <f t="shared" si="102"/>
        <v>159895882.11700004</v>
      </c>
      <c r="H252" s="555">
        <f t="shared" si="102"/>
        <v>138019004.68799999</v>
      </c>
      <c r="I252" s="555">
        <f t="shared" si="102"/>
        <v>123218845.25200003</v>
      </c>
      <c r="J252" s="555">
        <f t="shared" si="102"/>
        <v>91155981.327999994</v>
      </c>
      <c r="K252" s="555">
        <f t="shared" si="102"/>
        <v>68300513.404999986</v>
      </c>
      <c r="L252" s="555">
        <f t="shared" si="102"/>
        <v>52674576.056999996</v>
      </c>
      <c r="M252" s="555">
        <f t="shared" si="102"/>
        <v>46002541.435000002</v>
      </c>
      <c r="N252" s="555">
        <f t="shared" si="102"/>
        <v>44532806.315999992</v>
      </c>
      <c r="O252" s="555">
        <f t="shared" si="102"/>
        <v>52069110.111000001</v>
      </c>
      <c r="P252" s="555">
        <f t="shared" si="102"/>
        <v>1142550753.03</v>
      </c>
      <c r="Q252" s="71"/>
    </row>
    <row r="253" spans="1:17" x14ac:dyDescent="0.25">
      <c r="A253" s="515"/>
      <c r="B253" s="562" t="s">
        <v>58</v>
      </c>
      <c r="C253" s="533"/>
      <c r="D253" s="548">
        <f t="shared" ref="D253:P253" si="103">D252-D220</f>
        <v>0</v>
      </c>
      <c r="E253" s="548">
        <f t="shared" si="103"/>
        <v>0</v>
      </c>
      <c r="F253" s="548">
        <f t="shared" si="103"/>
        <v>0</v>
      </c>
      <c r="G253" s="548">
        <f t="shared" si="103"/>
        <v>0</v>
      </c>
      <c r="H253" s="548">
        <f t="shared" si="103"/>
        <v>0</v>
      </c>
      <c r="I253" s="548">
        <f t="shared" si="103"/>
        <v>0</v>
      </c>
      <c r="J253" s="548">
        <f t="shared" si="103"/>
        <v>0</v>
      </c>
      <c r="K253" s="548">
        <f t="shared" si="103"/>
        <v>0</v>
      </c>
      <c r="L253" s="548">
        <f t="shared" si="103"/>
        <v>0</v>
      </c>
      <c r="M253" s="548">
        <f t="shared" si="103"/>
        <v>0</v>
      </c>
      <c r="N253" s="548">
        <f t="shared" si="103"/>
        <v>0</v>
      </c>
      <c r="O253" s="548">
        <f t="shared" si="103"/>
        <v>0</v>
      </c>
      <c r="P253" s="548">
        <f t="shared" si="103"/>
        <v>0</v>
      </c>
      <c r="Q253" s="71"/>
    </row>
    <row r="254" spans="1:17" x14ac:dyDescent="0.25">
      <c r="A254" s="515"/>
      <c r="B254" s="562"/>
      <c r="C254" s="533"/>
      <c r="D254" s="548"/>
      <c r="E254" s="548"/>
      <c r="F254" s="548"/>
      <c r="G254" s="548"/>
      <c r="H254" s="548"/>
      <c r="I254" s="548"/>
      <c r="J254" s="548"/>
      <c r="K254" s="548"/>
      <c r="L254" s="548"/>
      <c r="M254" s="548"/>
      <c r="N254" s="548"/>
      <c r="O254" s="548"/>
      <c r="P254" s="548"/>
      <c r="Q254" s="71"/>
    </row>
    <row r="255" spans="1:17" x14ac:dyDescent="0.25">
      <c r="A255" s="515"/>
      <c r="B255" s="562" t="s">
        <v>137</v>
      </c>
      <c r="C255" s="533"/>
      <c r="D255" s="548">
        <f t="shared" ref="D255:O255" si="104">SUM(D240:D246)</f>
        <v>67553620.100000009</v>
      </c>
      <c r="E255" s="548">
        <f t="shared" si="104"/>
        <v>94967338.605000004</v>
      </c>
      <c r="F255" s="548">
        <f t="shared" si="104"/>
        <v>143771069.426</v>
      </c>
      <c r="G255" s="548">
        <f t="shared" si="104"/>
        <v>138005115.67700002</v>
      </c>
      <c r="H255" s="548">
        <f t="shared" si="104"/>
        <v>117254551.00799999</v>
      </c>
      <c r="I255" s="548">
        <f t="shared" si="104"/>
        <v>100715416.11500002</v>
      </c>
      <c r="J255" s="548">
        <f t="shared" si="104"/>
        <v>72336121.765000001</v>
      </c>
      <c r="K255" s="548">
        <f t="shared" si="104"/>
        <v>48717576.824999996</v>
      </c>
      <c r="L255" s="548">
        <f t="shared" si="104"/>
        <v>34904911.596999995</v>
      </c>
      <c r="M255" s="548">
        <f t="shared" si="104"/>
        <v>28402725.684999995</v>
      </c>
      <c r="N255" s="548">
        <f t="shared" si="104"/>
        <v>27039314.886</v>
      </c>
      <c r="O255" s="548">
        <f t="shared" si="104"/>
        <v>34828289.480999999</v>
      </c>
      <c r="P255" s="548">
        <f>SUM(D255:O255)</f>
        <v>908496051.17000008</v>
      </c>
      <c r="Q255" s="71"/>
    </row>
    <row r="256" spans="1:17" x14ac:dyDescent="0.25">
      <c r="A256" s="515"/>
      <c r="B256" s="562" t="s">
        <v>138</v>
      </c>
      <c r="C256" s="533"/>
      <c r="D256" s="548">
        <f t="shared" ref="D256:O256" si="105">SUM(D247:D251)</f>
        <v>19096108.400000002</v>
      </c>
      <c r="E256" s="548">
        <f t="shared" si="105"/>
        <v>19744463.239999998</v>
      </c>
      <c r="F256" s="548">
        <f t="shared" si="105"/>
        <v>21548892.549999997</v>
      </c>
      <c r="G256" s="548">
        <f t="shared" si="105"/>
        <v>21890766.439999998</v>
      </c>
      <c r="H256" s="548">
        <f t="shared" si="105"/>
        <v>20764453.68</v>
      </c>
      <c r="I256" s="548">
        <f t="shared" si="105"/>
        <v>22503429.136999998</v>
      </c>
      <c r="J256" s="548">
        <f t="shared" si="105"/>
        <v>18819859.563000001</v>
      </c>
      <c r="K256" s="548">
        <f t="shared" si="105"/>
        <v>19582936.579999998</v>
      </c>
      <c r="L256" s="548">
        <f t="shared" si="105"/>
        <v>17769664.460000001</v>
      </c>
      <c r="M256" s="548">
        <f t="shared" si="105"/>
        <v>17599815.75</v>
      </c>
      <c r="N256" s="548">
        <f t="shared" si="105"/>
        <v>17493491.43</v>
      </c>
      <c r="O256" s="548">
        <f t="shared" si="105"/>
        <v>17240820.630000003</v>
      </c>
      <c r="P256" s="548">
        <f>SUM(D256:O256)</f>
        <v>234054701.85999998</v>
      </c>
      <c r="Q256" s="71"/>
    </row>
    <row r="257" spans="1:17" x14ac:dyDescent="0.25">
      <c r="A257" s="515"/>
      <c r="B257" s="562" t="s">
        <v>46</v>
      </c>
      <c r="C257" s="533"/>
      <c r="D257" s="555">
        <f t="shared" ref="D257:P257" si="106">SUM(D255:D256)</f>
        <v>86649728.500000015</v>
      </c>
      <c r="E257" s="555">
        <f t="shared" si="106"/>
        <v>114711801.845</v>
      </c>
      <c r="F257" s="555">
        <f t="shared" si="106"/>
        <v>165319961.97600001</v>
      </c>
      <c r="G257" s="555">
        <f t="shared" si="106"/>
        <v>159895882.11700001</v>
      </c>
      <c r="H257" s="555">
        <f t="shared" si="106"/>
        <v>138019004.68799999</v>
      </c>
      <c r="I257" s="555">
        <f t="shared" si="106"/>
        <v>123218845.25200002</v>
      </c>
      <c r="J257" s="555">
        <f t="shared" si="106"/>
        <v>91155981.328000009</v>
      </c>
      <c r="K257" s="555">
        <f t="shared" si="106"/>
        <v>68300513.405000001</v>
      </c>
      <c r="L257" s="555">
        <f t="shared" si="106"/>
        <v>52674576.056999996</v>
      </c>
      <c r="M257" s="555">
        <f t="shared" si="106"/>
        <v>46002541.434999995</v>
      </c>
      <c r="N257" s="555">
        <f t="shared" si="106"/>
        <v>44532806.316</v>
      </c>
      <c r="O257" s="555">
        <f t="shared" si="106"/>
        <v>52069110.111000001</v>
      </c>
      <c r="P257" s="555">
        <f t="shared" si="106"/>
        <v>1142550753.03</v>
      </c>
      <c r="Q257" s="71"/>
    </row>
    <row r="258" spans="1:17" x14ac:dyDescent="0.25">
      <c r="A258" s="515"/>
      <c r="B258" s="562" t="s">
        <v>58</v>
      </c>
      <c r="C258" s="533"/>
      <c r="D258" s="548">
        <f t="shared" ref="D258:P258" si="107">D257-D252</f>
        <v>0</v>
      </c>
      <c r="E258" s="548">
        <f t="shared" si="107"/>
        <v>0</v>
      </c>
      <c r="F258" s="548">
        <f t="shared" si="107"/>
        <v>0</v>
      </c>
      <c r="G258" s="548">
        <f t="shared" si="107"/>
        <v>0</v>
      </c>
      <c r="H258" s="548">
        <f t="shared" si="107"/>
        <v>0</v>
      </c>
      <c r="I258" s="548">
        <f t="shared" si="107"/>
        <v>0</v>
      </c>
      <c r="J258" s="548">
        <f t="shared" si="107"/>
        <v>0</v>
      </c>
      <c r="K258" s="548">
        <f t="shared" si="107"/>
        <v>0</v>
      </c>
      <c r="L258" s="548">
        <f t="shared" si="107"/>
        <v>0</v>
      </c>
      <c r="M258" s="548">
        <f t="shared" si="107"/>
        <v>0</v>
      </c>
      <c r="N258" s="548">
        <f t="shared" si="107"/>
        <v>0</v>
      </c>
      <c r="O258" s="548">
        <f t="shared" si="107"/>
        <v>0</v>
      </c>
      <c r="P258" s="548">
        <f t="shared" si="107"/>
        <v>0</v>
      </c>
      <c r="Q258" s="71"/>
    </row>
    <row r="259" spans="1:17" s="77" customFormat="1" x14ac:dyDescent="0.25">
      <c r="A259" s="527"/>
      <c r="B259" s="562"/>
      <c r="C259" s="533"/>
      <c r="D259" s="548"/>
      <c r="E259" s="548"/>
      <c r="F259" s="548"/>
      <c r="G259" s="548"/>
      <c r="H259" s="548"/>
      <c r="I259" s="548"/>
      <c r="J259" s="548"/>
      <c r="K259" s="548"/>
      <c r="L259" s="548"/>
      <c r="M259" s="548"/>
      <c r="N259" s="548"/>
      <c r="O259" s="548"/>
      <c r="P259" s="548"/>
      <c r="Q259" s="71"/>
    </row>
    <row r="260" spans="1:17" s="77" customFormat="1" x14ac:dyDescent="0.25">
      <c r="A260" s="527"/>
      <c r="B260" s="569" t="s">
        <v>139</v>
      </c>
      <c r="C260" s="533"/>
      <c r="D260" s="548"/>
      <c r="E260" s="548"/>
      <c r="F260" s="548"/>
      <c r="G260" s="548"/>
      <c r="H260" s="548"/>
      <c r="I260" s="548"/>
      <c r="J260" s="548"/>
      <c r="K260" s="548"/>
      <c r="L260" s="548"/>
      <c r="M260" s="548"/>
      <c r="N260" s="548"/>
      <c r="O260" s="548"/>
      <c r="P260" s="548"/>
      <c r="Q260" s="71"/>
    </row>
    <row r="261" spans="1:17" s="77" customFormat="1" x14ac:dyDescent="0.25">
      <c r="A261" s="527"/>
      <c r="B261" s="528" t="s">
        <v>140</v>
      </c>
      <c r="C261" s="529">
        <v>23</v>
      </c>
      <c r="D261" s="538">
        <f t="shared" ref="D261:O264" si="108">ROUND(SUMIF($C$160:$C$183,$C261,D$160:D$183),0)/ROUND(SUMIF($C$36:$C$56,$C261,D$36:D$56),0)</f>
        <v>58.099619281605655</v>
      </c>
      <c r="E261" s="538">
        <f t="shared" si="108"/>
        <v>84.059237337014594</v>
      </c>
      <c r="F261" s="538">
        <f t="shared" si="108"/>
        <v>130.17490922412213</v>
      </c>
      <c r="G261" s="538">
        <f t="shared" si="108"/>
        <v>123.09813516179581</v>
      </c>
      <c r="H261" s="538">
        <f t="shared" si="108"/>
        <v>104.21393823544415</v>
      </c>
      <c r="I261" s="538">
        <f t="shared" si="108"/>
        <v>87.550835232604911</v>
      </c>
      <c r="J261" s="538">
        <f t="shared" si="108"/>
        <v>61.349186095604445</v>
      </c>
      <c r="K261" s="538">
        <f t="shared" si="108"/>
        <v>38.513605414909705</v>
      </c>
      <c r="L261" s="538">
        <f t="shared" si="108"/>
        <v>25.695445084854306</v>
      </c>
      <c r="M261" s="538">
        <f t="shared" si="108"/>
        <v>19.391221020257646</v>
      </c>
      <c r="N261" s="538">
        <f t="shared" si="108"/>
        <v>17.927602949445312</v>
      </c>
      <c r="O261" s="538">
        <f t="shared" si="108"/>
        <v>25.764366814318848</v>
      </c>
      <c r="P261" s="538">
        <f>SUM(D261:O261)</f>
        <v>775.83810185197729</v>
      </c>
      <c r="Q261" s="73"/>
    </row>
    <row r="262" spans="1:17" s="77" customFormat="1" x14ac:dyDescent="0.25">
      <c r="A262" s="527"/>
      <c r="B262" s="528" t="s">
        <v>141</v>
      </c>
      <c r="C262" s="529">
        <v>31</v>
      </c>
      <c r="D262" s="538">
        <f t="shared" si="108"/>
        <v>277.42170171395651</v>
      </c>
      <c r="E262" s="538">
        <f t="shared" si="108"/>
        <v>385.0890660633159</v>
      </c>
      <c r="F262" s="538">
        <f t="shared" si="108"/>
        <v>584.859768550034</v>
      </c>
      <c r="G262" s="538">
        <f t="shared" si="108"/>
        <v>568.17152769084964</v>
      </c>
      <c r="H262" s="538">
        <f t="shared" si="108"/>
        <v>477.62477657825121</v>
      </c>
      <c r="I262" s="538">
        <f t="shared" si="108"/>
        <v>414.36126439860703</v>
      </c>
      <c r="J262" s="538">
        <f t="shared" si="108"/>
        <v>299.70252281266772</v>
      </c>
      <c r="K262" s="538">
        <f t="shared" si="108"/>
        <v>214.12520313588229</v>
      </c>
      <c r="L262" s="538">
        <f t="shared" si="108"/>
        <v>166.06946229648671</v>
      </c>
      <c r="M262" s="538">
        <f t="shared" si="108"/>
        <v>145.96939121738666</v>
      </c>
      <c r="N262" s="538">
        <f t="shared" si="108"/>
        <v>141.32539810197844</v>
      </c>
      <c r="O262" s="538">
        <f t="shared" si="108"/>
        <v>165.0312377210216</v>
      </c>
      <c r="P262" s="538">
        <f>SUM(D262:O262)</f>
        <v>3839.7513202804375</v>
      </c>
      <c r="Q262" s="73"/>
    </row>
    <row r="263" spans="1:17" s="77" customFormat="1" x14ac:dyDescent="0.25">
      <c r="A263" s="527"/>
      <c r="B263" s="528" t="s">
        <v>142</v>
      </c>
      <c r="C263" s="529">
        <v>41</v>
      </c>
      <c r="D263" s="538">
        <f t="shared" si="108"/>
        <v>3938.9536967886484</v>
      </c>
      <c r="E263" s="538">
        <f t="shared" si="108"/>
        <v>4803.7490692479523</v>
      </c>
      <c r="F263" s="538">
        <f t="shared" si="108"/>
        <v>6034.4228237015359</v>
      </c>
      <c r="G263" s="538">
        <f t="shared" si="108"/>
        <v>5985.781524926686</v>
      </c>
      <c r="H263" s="538">
        <f t="shared" si="108"/>
        <v>5242.1808898614154</v>
      </c>
      <c r="I263" s="538">
        <f t="shared" si="108"/>
        <v>5030.5040234089247</v>
      </c>
      <c r="J263" s="538">
        <f t="shared" si="108"/>
        <v>4034.7895894428152</v>
      </c>
      <c r="K263" s="538">
        <f t="shared" si="108"/>
        <v>3300.8361375274321</v>
      </c>
      <c r="L263" s="538">
        <f t="shared" si="108"/>
        <v>2702.9978054133139</v>
      </c>
      <c r="M263" s="538">
        <f t="shared" si="108"/>
        <v>2370.3641703377384</v>
      </c>
      <c r="N263" s="538">
        <f t="shared" si="108"/>
        <v>2331.6430656934308</v>
      </c>
      <c r="O263" s="538">
        <f t="shared" si="108"/>
        <v>2673.0680321872715</v>
      </c>
      <c r="P263" s="538">
        <f>SUM(D263:O263)</f>
        <v>48449.290828537167</v>
      </c>
      <c r="Q263" s="73"/>
    </row>
    <row r="264" spans="1:17" s="77" customFormat="1" x14ac:dyDescent="0.25">
      <c r="A264" s="527"/>
      <c r="B264" s="528" t="s">
        <v>72</v>
      </c>
      <c r="C264" s="529">
        <v>53</v>
      </c>
      <c r="D264" s="538">
        <f t="shared" si="108"/>
        <v>19</v>
      </c>
      <c r="E264" s="538">
        <f t="shared" si="108"/>
        <v>25</v>
      </c>
      <c r="F264" s="538">
        <f t="shared" si="108"/>
        <v>33</v>
      </c>
      <c r="G264" s="538">
        <f t="shared" si="108"/>
        <v>33</v>
      </c>
      <c r="H264" s="538">
        <f t="shared" si="108"/>
        <v>31</v>
      </c>
      <c r="I264" s="538">
        <f t="shared" si="108"/>
        <v>32</v>
      </c>
      <c r="J264" s="538">
        <f t="shared" si="108"/>
        <v>25</v>
      </c>
      <c r="K264" s="538">
        <f t="shared" si="108"/>
        <v>22</v>
      </c>
      <c r="L264" s="538">
        <f t="shared" si="108"/>
        <v>18</v>
      </c>
      <c r="M264" s="538">
        <f t="shared" si="108"/>
        <v>5</v>
      </c>
      <c r="N264" s="538">
        <f t="shared" si="108"/>
        <v>4</v>
      </c>
      <c r="O264" s="538">
        <f t="shared" si="108"/>
        <v>4</v>
      </c>
      <c r="P264" s="538">
        <f>SUM(D264:O264)</f>
        <v>251</v>
      </c>
      <c r="Q264" s="73"/>
    </row>
    <row r="265" spans="1:17" s="77" customFormat="1" x14ac:dyDescent="0.25">
      <c r="A265" s="527"/>
      <c r="B265" s="515" t="s">
        <v>198</v>
      </c>
      <c r="C265" s="533" t="s">
        <v>197</v>
      </c>
      <c r="D265" s="538"/>
      <c r="E265" s="538"/>
      <c r="F265" s="538"/>
      <c r="G265" s="538"/>
      <c r="H265" s="538"/>
      <c r="I265" s="538"/>
      <c r="J265" s="538"/>
      <c r="K265" s="538"/>
      <c r="L265" s="538"/>
      <c r="M265" s="538"/>
      <c r="N265" s="538"/>
      <c r="O265" s="538"/>
      <c r="P265" s="538"/>
      <c r="Q265" s="73"/>
    </row>
    <row r="266" spans="1:17" s="77" customFormat="1" x14ac:dyDescent="0.25">
      <c r="A266" s="527"/>
      <c r="B266" s="527" t="s">
        <v>126</v>
      </c>
      <c r="C266" s="529" t="s">
        <v>62</v>
      </c>
      <c r="D266" s="538">
        <f t="shared" ref="D266:O273" si="109">ROUND(SUMIF($C$160:$C$183,$C266,D$160:D$183),0)/ROUND(SUMIF($C$36:$C$56,$C266,D$36:D$56),0)</f>
        <v>14641.5625</v>
      </c>
      <c r="E266" s="538">
        <f t="shared" si="109"/>
        <v>16238.865979381444</v>
      </c>
      <c r="F266" s="538">
        <f t="shared" si="109"/>
        <v>16661.204081632652</v>
      </c>
      <c r="G266" s="538">
        <f t="shared" si="109"/>
        <v>17122.959183673469</v>
      </c>
      <c r="H266" s="538">
        <f t="shared" si="109"/>
        <v>15932.15306122449</v>
      </c>
      <c r="I266" s="538">
        <f t="shared" si="109"/>
        <v>17094.15306122449</v>
      </c>
      <c r="J266" s="538">
        <f t="shared" si="109"/>
        <v>15022.814432989691</v>
      </c>
      <c r="K266" s="538">
        <f t="shared" si="109"/>
        <v>14240.530612244898</v>
      </c>
      <c r="L266" s="538">
        <f t="shared" si="109"/>
        <v>14054.555555555555</v>
      </c>
      <c r="M266" s="538">
        <f t="shared" si="109"/>
        <v>12517.464646464647</v>
      </c>
      <c r="N266" s="538">
        <f t="shared" si="109"/>
        <v>13927.060606060606</v>
      </c>
      <c r="O266" s="538">
        <f t="shared" si="109"/>
        <v>13249.949494949495</v>
      </c>
      <c r="P266" s="538">
        <f t="shared" ref="P266:P274" si="110">SUM(D266:O266)</f>
        <v>180703.27321540142</v>
      </c>
      <c r="Q266" s="73"/>
    </row>
    <row r="267" spans="1:17" s="77" customFormat="1" x14ac:dyDescent="0.25">
      <c r="A267" s="527"/>
      <c r="B267" s="527" t="s">
        <v>127</v>
      </c>
      <c r="C267" s="529" t="s">
        <v>63</v>
      </c>
      <c r="D267" s="538">
        <f t="shared" si="109"/>
        <v>65294.846153846156</v>
      </c>
      <c r="E267" s="538">
        <f t="shared" si="109"/>
        <v>67302.553398058255</v>
      </c>
      <c r="F267" s="538">
        <f t="shared" si="109"/>
        <v>69900.33980582525</v>
      </c>
      <c r="G267" s="538">
        <f t="shared" si="109"/>
        <v>66204.705882352937</v>
      </c>
      <c r="H267" s="538">
        <f t="shared" si="109"/>
        <v>66131.333333333328</v>
      </c>
      <c r="I267" s="538">
        <f t="shared" si="109"/>
        <v>69241.656862745105</v>
      </c>
      <c r="J267" s="538">
        <f t="shared" si="109"/>
        <v>64350.637254901958</v>
      </c>
      <c r="K267" s="538">
        <f t="shared" si="109"/>
        <v>62807.823529411762</v>
      </c>
      <c r="L267" s="538">
        <f t="shared" si="109"/>
        <v>62259.26470588235</v>
      </c>
      <c r="M267" s="538">
        <f t="shared" si="109"/>
        <v>56410.11650485437</v>
      </c>
      <c r="N267" s="538">
        <f t="shared" si="109"/>
        <v>61981.291262135921</v>
      </c>
      <c r="O267" s="538">
        <f t="shared" si="109"/>
        <v>62928.689320388352</v>
      </c>
      <c r="P267" s="538">
        <f t="shared" si="110"/>
        <v>774813.25801373587</v>
      </c>
      <c r="Q267" s="73"/>
    </row>
    <row r="268" spans="1:17" s="77" customFormat="1" x14ac:dyDescent="0.25">
      <c r="A268" s="527"/>
      <c r="B268" s="534" t="s">
        <v>131</v>
      </c>
      <c r="C268" s="529" t="s">
        <v>64</v>
      </c>
      <c r="D268" s="538"/>
      <c r="E268" s="538"/>
      <c r="F268" s="538">
        <f t="shared" si="109"/>
        <v>12035.666666666666</v>
      </c>
      <c r="G268" s="538">
        <f t="shared" si="109"/>
        <v>11487</v>
      </c>
      <c r="H268" s="538">
        <f t="shared" si="109"/>
        <v>12423.666666666666</v>
      </c>
      <c r="I268" s="538">
        <f t="shared" si="109"/>
        <v>13915.333333333334</v>
      </c>
      <c r="J268" s="538">
        <f t="shared" si="109"/>
        <v>8816.3333333333339</v>
      </c>
      <c r="K268" s="538">
        <f t="shared" si="109"/>
        <v>7873.333333333333</v>
      </c>
      <c r="L268" s="538">
        <f t="shared" si="109"/>
        <v>11106</v>
      </c>
      <c r="M268" s="538">
        <f t="shared" si="109"/>
        <v>8402.5</v>
      </c>
      <c r="N268" s="538">
        <f t="shared" si="109"/>
        <v>8660.75</v>
      </c>
      <c r="O268" s="538">
        <f t="shared" si="109"/>
        <v>5005.5</v>
      </c>
      <c r="P268" s="538">
        <f t="shared" si="110"/>
        <v>99726.083333333328</v>
      </c>
      <c r="Q268" s="73"/>
    </row>
    <row r="269" spans="1:17" s="77" customFormat="1" x14ac:dyDescent="0.25">
      <c r="A269" s="527"/>
      <c r="B269" s="527" t="s">
        <v>129</v>
      </c>
      <c r="C269" s="545" t="s">
        <v>65</v>
      </c>
      <c r="D269" s="538">
        <f t="shared" ref="D269:E273" si="111">ROUND(SUMIF($C$160:$C$183,$C269,D$160:D$183),0)/ROUND(SUMIF($C$36:$C$56,$C269,D$36:D$56),0)</f>
        <v>652371.66666666663</v>
      </c>
      <c r="E269" s="538">
        <f t="shared" si="111"/>
        <v>687410.54545454541</v>
      </c>
      <c r="F269" s="538">
        <f t="shared" si="109"/>
        <v>775275.72727272729</v>
      </c>
      <c r="G269" s="538">
        <f t="shared" si="109"/>
        <v>832410.18181818177</v>
      </c>
      <c r="H269" s="538">
        <f t="shared" si="109"/>
        <v>770993.09090909094</v>
      </c>
      <c r="I269" s="538">
        <f t="shared" si="109"/>
        <v>880493.36363636365</v>
      </c>
      <c r="J269" s="538">
        <f t="shared" si="109"/>
        <v>674194.09090909094</v>
      </c>
      <c r="K269" s="538">
        <f t="shared" si="109"/>
        <v>823473.72727272729</v>
      </c>
      <c r="L269" s="538">
        <f t="shared" si="109"/>
        <v>704115.18181818177</v>
      </c>
      <c r="M269" s="538">
        <f t="shared" si="109"/>
        <v>856059.1</v>
      </c>
      <c r="N269" s="538">
        <f t="shared" si="109"/>
        <v>785038.7</v>
      </c>
      <c r="O269" s="538">
        <f t="shared" si="109"/>
        <v>740517.6</v>
      </c>
      <c r="P269" s="538">
        <f t="shared" si="110"/>
        <v>9182352.9757575747</v>
      </c>
      <c r="Q269" s="73"/>
    </row>
    <row r="270" spans="1:17" s="77" customFormat="1" x14ac:dyDescent="0.25">
      <c r="A270" s="527"/>
      <c r="B270" s="528" t="s">
        <v>143</v>
      </c>
      <c r="C270" s="528">
        <v>85</v>
      </c>
      <c r="D270" s="538">
        <f t="shared" si="111"/>
        <v>44529.866666666669</v>
      </c>
      <c r="E270" s="538">
        <f t="shared" si="111"/>
        <v>53988.838709677417</v>
      </c>
      <c r="F270" s="538">
        <f t="shared" si="109"/>
        <v>71441.266666666663</v>
      </c>
      <c r="G270" s="538">
        <f t="shared" si="109"/>
        <v>69303.258064516136</v>
      </c>
      <c r="H270" s="538">
        <f t="shared" si="109"/>
        <v>63736.23333333333</v>
      </c>
      <c r="I270" s="538">
        <f t="shared" si="109"/>
        <v>62447.866666666669</v>
      </c>
      <c r="J270" s="538">
        <f t="shared" si="109"/>
        <v>51148.633333333331</v>
      </c>
      <c r="K270" s="538">
        <f t="shared" si="109"/>
        <v>40957.620689655174</v>
      </c>
      <c r="L270" s="538">
        <f t="shared" si="109"/>
        <v>31542.827586206895</v>
      </c>
      <c r="M270" s="538">
        <f t="shared" si="109"/>
        <v>29306.068965517243</v>
      </c>
      <c r="N270" s="538">
        <f t="shared" si="109"/>
        <v>29315.344827586207</v>
      </c>
      <c r="O270" s="538">
        <f t="shared" si="109"/>
        <v>24692.758620689656</v>
      </c>
      <c r="P270" s="538">
        <f t="shared" si="110"/>
        <v>572410.58413051534</v>
      </c>
      <c r="Q270" s="73"/>
    </row>
    <row r="271" spans="1:17" s="77" customFormat="1" x14ac:dyDescent="0.25">
      <c r="A271" s="527"/>
      <c r="B271" s="528" t="s">
        <v>144</v>
      </c>
      <c r="C271" s="528">
        <v>86</v>
      </c>
      <c r="D271" s="538">
        <f t="shared" si="111"/>
        <v>3163.1215686274509</v>
      </c>
      <c r="E271" s="538">
        <f t="shared" si="111"/>
        <v>3922.98814229249</v>
      </c>
      <c r="F271" s="538">
        <f t="shared" si="109"/>
        <v>5757.0806451612907</v>
      </c>
      <c r="G271" s="538">
        <f t="shared" si="109"/>
        <v>6234.0809716599188</v>
      </c>
      <c r="H271" s="538">
        <f t="shared" si="109"/>
        <v>5653.5</v>
      </c>
      <c r="I271" s="538">
        <f t="shared" si="109"/>
        <v>4635.4918699186992</v>
      </c>
      <c r="J271" s="538">
        <f t="shared" si="109"/>
        <v>3236.3170731707319</v>
      </c>
      <c r="K271" s="538">
        <f t="shared" si="109"/>
        <v>2165.8163265306121</v>
      </c>
      <c r="L271" s="538">
        <f t="shared" si="109"/>
        <v>1466.6</v>
      </c>
      <c r="M271" s="538">
        <f t="shared" si="109"/>
        <v>1001.9877049180328</v>
      </c>
      <c r="N271" s="538">
        <f t="shared" si="109"/>
        <v>1206.6804979253111</v>
      </c>
      <c r="O271" s="538">
        <f t="shared" si="109"/>
        <v>1702.4267782426778</v>
      </c>
      <c r="P271" s="538">
        <f t="shared" si="110"/>
        <v>40146.091578447216</v>
      </c>
      <c r="Q271" s="73"/>
    </row>
    <row r="272" spans="1:17" s="77" customFormat="1" x14ac:dyDescent="0.25">
      <c r="A272" s="527"/>
      <c r="B272" s="528" t="s">
        <v>145</v>
      </c>
      <c r="C272" s="528">
        <v>87</v>
      </c>
      <c r="D272" s="538">
        <f t="shared" si="111"/>
        <v>365774.8</v>
      </c>
      <c r="E272" s="538">
        <f t="shared" si="111"/>
        <v>433938.4</v>
      </c>
      <c r="F272" s="538">
        <f t="shared" si="109"/>
        <v>529109.4</v>
      </c>
      <c r="G272" s="538">
        <f t="shared" si="109"/>
        <v>555980.6</v>
      </c>
      <c r="H272" s="538">
        <f t="shared" si="109"/>
        <v>480905.4</v>
      </c>
      <c r="I272" s="538">
        <f t="shared" si="109"/>
        <v>463114.8</v>
      </c>
      <c r="J272" s="538">
        <f t="shared" si="109"/>
        <v>395400</v>
      </c>
      <c r="K272" s="538">
        <f t="shared" si="109"/>
        <v>333764</v>
      </c>
      <c r="L272" s="538">
        <f t="shared" si="109"/>
        <v>274425.2</v>
      </c>
      <c r="M272" s="538">
        <f t="shared" si="109"/>
        <v>272933.8</v>
      </c>
      <c r="N272" s="538">
        <f t="shared" si="109"/>
        <v>267817.59999999998</v>
      </c>
      <c r="O272" s="538">
        <f t="shared" si="109"/>
        <v>289112</v>
      </c>
      <c r="P272" s="538">
        <f t="shared" si="110"/>
        <v>4662276</v>
      </c>
      <c r="Q272" s="73"/>
    </row>
    <row r="273" spans="1:17" s="76" customFormat="1" ht="14.4" x14ac:dyDescent="0.3">
      <c r="A273" s="535"/>
      <c r="B273" s="563" t="s">
        <v>61</v>
      </c>
      <c r="C273" s="547" t="s">
        <v>146</v>
      </c>
      <c r="D273" s="538">
        <f t="shared" si="111"/>
        <v>305794.7</v>
      </c>
      <c r="E273" s="538">
        <f t="shared" si="111"/>
        <v>363767.5</v>
      </c>
      <c r="F273" s="538">
        <f t="shared" si="109"/>
        <v>415221.9</v>
      </c>
      <c r="G273" s="538">
        <f t="shared" si="109"/>
        <v>426886.2</v>
      </c>
      <c r="H273" s="538">
        <f t="shared" si="109"/>
        <v>393951.1</v>
      </c>
      <c r="I273" s="538">
        <f t="shared" si="109"/>
        <v>403837.9</v>
      </c>
      <c r="J273" s="538">
        <f t="shared" si="109"/>
        <v>335629.8</v>
      </c>
      <c r="K273" s="538">
        <f t="shared" si="109"/>
        <v>269913.5</v>
      </c>
      <c r="L273" s="538">
        <f t="shared" si="109"/>
        <v>224923.4</v>
      </c>
      <c r="M273" s="538">
        <f t="shared" si="109"/>
        <v>195614.4</v>
      </c>
      <c r="N273" s="538">
        <f t="shared" si="109"/>
        <v>184561.1</v>
      </c>
      <c r="O273" s="538">
        <f t="shared" si="109"/>
        <v>202222.3</v>
      </c>
      <c r="P273" s="538">
        <f t="shared" si="110"/>
        <v>3722323.7999999993</v>
      </c>
      <c r="Q273" s="73"/>
    </row>
    <row r="274" spans="1:17" x14ac:dyDescent="0.25">
      <c r="A274" s="515"/>
      <c r="B274" s="527" t="s">
        <v>46</v>
      </c>
      <c r="C274" s="527"/>
      <c r="D274" s="538">
        <f t="shared" ref="D274:O274" si="112">ROUND(D185,0)/ROUND(D57,0)</f>
        <v>108.89119015364199</v>
      </c>
      <c r="E274" s="538">
        <f t="shared" si="112"/>
        <v>143.77056478347021</v>
      </c>
      <c r="F274" s="538">
        <f t="shared" si="112"/>
        <v>206.60011022340859</v>
      </c>
      <c r="G274" s="538">
        <f t="shared" si="112"/>
        <v>199.39927022227542</v>
      </c>
      <c r="H274" s="538">
        <f t="shared" si="112"/>
        <v>171.92374238906217</v>
      </c>
      <c r="I274" s="538">
        <f t="shared" si="112"/>
        <v>153.29998034278208</v>
      </c>
      <c r="J274" s="538">
        <f t="shared" si="112"/>
        <v>113.39754957940542</v>
      </c>
      <c r="K274" s="538">
        <f t="shared" si="112"/>
        <v>84.705724848603609</v>
      </c>
      <c r="L274" s="538">
        <f t="shared" si="112"/>
        <v>65.238540279781773</v>
      </c>
      <c r="M274" s="538">
        <f t="shared" si="112"/>
        <v>56.957664220924102</v>
      </c>
      <c r="N274" s="538">
        <f t="shared" si="112"/>
        <v>55.091267848173928</v>
      </c>
      <c r="O274" s="538">
        <f t="shared" si="112"/>
        <v>64.330106683304408</v>
      </c>
      <c r="P274" s="538">
        <f t="shared" si="110"/>
        <v>1423.6057115748335</v>
      </c>
      <c r="Q274" s="73"/>
    </row>
    <row r="275" spans="1:17" x14ac:dyDescent="0.25">
      <c r="A275" s="515"/>
      <c r="B275" s="527"/>
      <c r="C275" s="545"/>
      <c r="D275" s="531"/>
      <c r="E275" s="531"/>
      <c r="F275" s="531"/>
      <c r="G275" s="531"/>
      <c r="H275" s="531"/>
      <c r="I275" s="531"/>
      <c r="J275" s="531"/>
      <c r="K275" s="531"/>
      <c r="L275" s="531"/>
      <c r="M275" s="531"/>
      <c r="N275" s="531"/>
      <c r="O275" s="531"/>
      <c r="P275" s="570"/>
      <c r="Q275" s="63"/>
    </row>
    <row r="276" spans="1:17" x14ac:dyDescent="0.25">
      <c r="A276" s="515"/>
      <c r="B276" s="527"/>
      <c r="C276" s="545"/>
      <c r="D276" s="531"/>
      <c r="E276" s="531"/>
      <c r="F276" s="531"/>
      <c r="G276" s="531"/>
      <c r="H276" s="531"/>
      <c r="I276" s="531"/>
      <c r="J276" s="531"/>
      <c r="K276" s="531"/>
      <c r="L276" s="531"/>
      <c r="M276" s="531"/>
      <c r="N276" s="531"/>
      <c r="O276" s="531"/>
      <c r="P276" s="570"/>
      <c r="Q276" s="63"/>
    </row>
    <row r="277" spans="1:17" x14ac:dyDescent="0.25">
      <c r="A277" s="515"/>
      <c r="B277" s="515"/>
      <c r="C277" s="515"/>
      <c r="D277" s="540"/>
      <c r="E277" s="540"/>
      <c r="F277" s="540"/>
      <c r="G277" s="540"/>
      <c r="H277" s="540"/>
      <c r="I277" s="540"/>
      <c r="J277" s="540"/>
      <c r="K277" s="540"/>
      <c r="L277" s="540"/>
      <c r="M277" s="540"/>
      <c r="N277" s="540"/>
      <c r="O277" s="540"/>
      <c r="P277" s="540"/>
      <c r="Q277" s="81"/>
    </row>
    <row r="278" spans="1:17" x14ac:dyDescent="0.25">
      <c r="A278" s="515"/>
      <c r="B278" s="515"/>
      <c r="C278" s="515"/>
      <c r="D278" s="540"/>
      <c r="E278" s="540"/>
      <c r="F278" s="540"/>
      <c r="G278" s="540"/>
      <c r="H278" s="540"/>
      <c r="I278" s="540"/>
      <c r="J278" s="540"/>
      <c r="K278" s="540"/>
      <c r="L278" s="540"/>
      <c r="M278" s="540"/>
      <c r="N278" s="540"/>
      <c r="O278" s="540"/>
      <c r="P278" s="540"/>
      <c r="Q278" s="81"/>
    </row>
    <row r="279" spans="1:17" ht="13.8" thickBot="1" x14ac:dyDescent="0.3">
      <c r="A279" s="515"/>
      <c r="B279" s="515"/>
      <c r="C279" s="515"/>
      <c r="D279" s="540"/>
      <c r="E279" s="540"/>
      <c r="F279" s="540"/>
      <c r="G279" s="540"/>
      <c r="H279" s="540"/>
      <c r="I279" s="540"/>
      <c r="J279" s="540"/>
      <c r="K279" s="540"/>
      <c r="L279" s="540"/>
      <c r="M279" s="540"/>
      <c r="N279" s="540"/>
      <c r="O279" s="540"/>
      <c r="P279" s="540"/>
      <c r="Q279" s="81"/>
    </row>
    <row r="280" spans="1:17" ht="14.4" x14ac:dyDescent="0.3">
      <c r="A280" s="515"/>
      <c r="B280" s="571" t="s">
        <v>271</v>
      </c>
      <c r="C280" s="572"/>
      <c r="D280" s="573">
        <v>73139427.500000015</v>
      </c>
      <c r="E280" s="573">
        <v>123121515.845</v>
      </c>
      <c r="F280" s="573">
        <v>156989623.97600001</v>
      </c>
      <c r="G280" s="573">
        <v>151262374.11700001</v>
      </c>
      <c r="H280" s="573">
        <v>118408550.68799999</v>
      </c>
      <c r="I280" s="573">
        <v>112362332.25200002</v>
      </c>
      <c r="J280" s="573">
        <v>72229905.328000009</v>
      </c>
      <c r="K280" s="573">
        <v>59674800.404999994</v>
      </c>
      <c r="L280" s="573">
        <v>50540839.056999996</v>
      </c>
      <c r="M280" s="573">
        <v>45432546.434999995</v>
      </c>
      <c r="N280" s="573">
        <v>44532806.316000007</v>
      </c>
      <c r="O280" s="573">
        <v>51851549.110999994</v>
      </c>
      <c r="P280" s="573">
        <v>1059546271.03</v>
      </c>
      <c r="Q280" s="64"/>
    </row>
    <row r="281" spans="1:17" x14ac:dyDescent="0.25">
      <c r="A281" s="515"/>
      <c r="B281" s="574" t="s">
        <v>58</v>
      </c>
      <c r="C281" s="548"/>
      <c r="D281" s="548">
        <f t="shared" ref="D281:P281" si="113">D31-D280</f>
        <v>0</v>
      </c>
      <c r="E281" s="548">
        <f t="shared" si="113"/>
        <v>0</v>
      </c>
      <c r="F281" s="548">
        <f t="shared" si="113"/>
        <v>0</v>
      </c>
      <c r="G281" s="548">
        <f t="shared" si="113"/>
        <v>0</v>
      </c>
      <c r="H281" s="548">
        <f t="shared" si="113"/>
        <v>0</v>
      </c>
      <c r="I281" s="548">
        <f t="shared" si="113"/>
        <v>0</v>
      </c>
      <c r="J281" s="548">
        <f t="shared" si="113"/>
        <v>0</v>
      </c>
      <c r="K281" s="548">
        <f t="shared" si="113"/>
        <v>0</v>
      </c>
      <c r="L281" s="548">
        <f t="shared" si="113"/>
        <v>0</v>
      </c>
      <c r="M281" s="548">
        <f t="shared" si="113"/>
        <v>0</v>
      </c>
      <c r="N281" s="548">
        <f t="shared" si="113"/>
        <v>0</v>
      </c>
      <c r="O281" s="548">
        <f t="shared" si="113"/>
        <v>0</v>
      </c>
      <c r="P281" s="548">
        <f t="shared" si="113"/>
        <v>0</v>
      </c>
      <c r="Q281" s="71"/>
    </row>
    <row r="282" spans="1:17" x14ac:dyDescent="0.25">
      <c r="A282" s="515"/>
      <c r="B282" s="575"/>
      <c r="C282" s="546"/>
      <c r="D282" s="548"/>
      <c r="E282" s="548"/>
      <c r="F282" s="548"/>
      <c r="G282" s="548"/>
      <c r="H282" s="548"/>
      <c r="I282" s="548"/>
      <c r="J282" s="548"/>
      <c r="K282" s="548"/>
      <c r="L282" s="548"/>
      <c r="M282" s="548"/>
      <c r="N282" s="548"/>
      <c r="O282" s="548"/>
      <c r="P282" s="548"/>
      <c r="Q282" s="71"/>
    </row>
    <row r="283" spans="1:17" ht="14.4" x14ac:dyDescent="0.3">
      <c r="A283" s="515"/>
      <c r="B283" s="576" t="s">
        <v>272</v>
      </c>
      <c r="C283" s="546"/>
      <c r="D283" s="577">
        <v>795746</v>
      </c>
      <c r="E283" s="577">
        <v>797881</v>
      </c>
      <c r="F283" s="577">
        <v>800193</v>
      </c>
      <c r="G283" s="577">
        <v>801888</v>
      </c>
      <c r="H283" s="577">
        <v>802792</v>
      </c>
      <c r="I283" s="577">
        <v>803776</v>
      </c>
      <c r="J283" s="577">
        <v>803862</v>
      </c>
      <c r="K283" s="577">
        <v>806327</v>
      </c>
      <c r="L283" s="577">
        <v>807415</v>
      </c>
      <c r="M283" s="577">
        <v>807662</v>
      </c>
      <c r="N283" s="577">
        <v>808346</v>
      </c>
      <c r="O283" s="577">
        <v>809405</v>
      </c>
      <c r="P283" s="577">
        <v>9645293</v>
      </c>
      <c r="Q283" s="71"/>
    </row>
    <row r="284" spans="1:17" ht="13.8" thickBot="1" x14ac:dyDescent="0.3">
      <c r="A284" s="515"/>
      <c r="B284" s="578" t="s">
        <v>58</v>
      </c>
      <c r="C284" s="579"/>
      <c r="D284" s="580">
        <f t="shared" ref="D284:P284" si="114">D57-D283</f>
        <v>0</v>
      </c>
      <c r="E284" s="580">
        <f t="shared" si="114"/>
        <v>0</v>
      </c>
      <c r="F284" s="580">
        <f t="shared" si="114"/>
        <v>0</v>
      </c>
      <c r="G284" s="580">
        <f t="shared" si="114"/>
        <v>0</v>
      </c>
      <c r="H284" s="580">
        <f t="shared" si="114"/>
        <v>0</v>
      </c>
      <c r="I284" s="580">
        <f t="shared" si="114"/>
        <v>0</v>
      </c>
      <c r="J284" s="580">
        <f t="shared" si="114"/>
        <v>0</v>
      </c>
      <c r="K284" s="580">
        <f t="shared" si="114"/>
        <v>0</v>
      </c>
      <c r="L284" s="580">
        <f t="shared" si="114"/>
        <v>0</v>
      </c>
      <c r="M284" s="580">
        <f t="shared" si="114"/>
        <v>0</v>
      </c>
      <c r="N284" s="580">
        <f t="shared" si="114"/>
        <v>0</v>
      </c>
      <c r="O284" s="580">
        <f t="shared" si="114"/>
        <v>0</v>
      </c>
      <c r="P284" s="580">
        <f t="shared" si="114"/>
        <v>0</v>
      </c>
      <c r="Q284" s="71"/>
    </row>
    <row r="285" spans="1:17" x14ac:dyDescent="0.25">
      <c r="A285" s="515"/>
      <c r="B285" s="515"/>
      <c r="C285" s="515"/>
      <c r="D285" s="540"/>
      <c r="E285" s="540"/>
      <c r="F285" s="540"/>
      <c r="G285" s="540"/>
      <c r="H285" s="540"/>
      <c r="I285" s="540"/>
      <c r="J285" s="540"/>
      <c r="K285" s="540"/>
      <c r="L285" s="540"/>
      <c r="M285" s="540"/>
      <c r="N285" s="540"/>
      <c r="O285" s="540"/>
      <c r="P285" s="540"/>
      <c r="Q285" s="81"/>
    </row>
    <row r="286" spans="1:17" x14ac:dyDescent="0.25">
      <c r="A286" s="515"/>
      <c r="B286" s="515"/>
      <c r="C286" s="515"/>
      <c r="D286" s="540"/>
      <c r="E286" s="540"/>
      <c r="F286" s="540"/>
      <c r="G286" s="540"/>
      <c r="H286" s="540"/>
      <c r="I286" s="540"/>
      <c r="J286" s="540"/>
      <c r="K286" s="540"/>
      <c r="L286" s="540"/>
      <c r="M286" s="540"/>
      <c r="N286" s="540"/>
      <c r="O286" s="540"/>
      <c r="P286" s="540"/>
      <c r="Q286" s="81"/>
    </row>
    <row r="287" spans="1:17" x14ac:dyDescent="0.25">
      <c r="A287" s="515"/>
      <c r="B287" s="527"/>
      <c r="C287" s="515"/>
      <c r="D287" s="540"/>
      <c r="E287" s="540"/>
      <c r="F287" s="540"/>
      <c r="G287" s="540"/>
      <c r="H287" s="540"/>
      <c r="I287" s="540"/>
      <c r="J287" s="540"/>
      <c r="K287" s="540"/>
      <c r="L287" s="540"/>
      <c r="M287" s="540"/>
      <c r="N287" s="540"/>
      <c r="O287" s="540"/>
      <c r="P287" s="540"/>
      <c r="Q287" s="81"/>
    </row>
    <row r="288" spans="1:17" x14ac:dyDescent="0.25">
      <c r="A288" s="515"/>
      <c r="B288" s="515"/>
      <c r="C288" s="515"/>
      <c r="D288" s="540"/>
      <c r="E288" s="540"/>
      <c r="F288" s="540"/>
      <c r="G288" s="540"/>
      <c r="H288" s="540"/>
      <c r="I288" s="540"/>
      <c r="J288" s="540"/>
      <c r="K288" s="540"/>
      <c r="L288" s="540"/>
      <c r="M288" s="540"/>
      <c r="N288" s="540"/>
      <c r="O288" s="540"/>
      <c r="P288" s="540"/>
      <c r="Q288" s="81"/>
    </row>
    <row r="289" spans="1:17" x14ac:dyDescent="0.25">
      <c r="A289" s="515"/>
      <c r="B289" s="515"/>
      <c r="C289" s="515"/>
      <c r="D289" s="540"/>
      <c r="E289" s="540"/>
      <c r="F289" s="540"/>
      <c r="G289" s="540"/>
      <c r="H289" s="540"/>
      <c r="I289" s="540"/>
      <c r="J289" s="540"/>
      <c r="K289" s="540"/>
      <c r="L289" s="540"/>
      <c r="M289" s="540"/>
      <c r="N289" s="540"/>
      <c r="O289" s="540"/>
      <c r="P289" s="540"/>
      <c r="Q289" s="81"/>
    </row>
    <row r="290" spans="1:17" x14ac:dyDescent="0.25">
      <c r="A290" s="515"/>
      <c r="B290" s="515"/>
      <c r="C290" s="515"/>
      <c r="D290" s="540"/>
      <c r="E290" s="540"/>
      <c r="F290" s="540"/>
      <c r="G290" s="540"/>
      <c r="H290" s="540"/>
      <c r="I290" s="540"/>
      <c r="J290" s="540"/>
      <c r="K290" s="540"/>
      <c r="L290" s="540"/>
      <c r="M290" s="540"/>
      <c r="N290" s="540"/>
      <c r="O290" s="540"/>
      <c r="P290" s="540"/>
      <c r="Q290" s="81"/>
    </row>
    <row r="291" spans="1:17" x14ac:dyDescent="0.25">
      <c r="A291" s="515"/>
      <c r="B291" s="515"/>
      <c r="C291" s="515"/>
      <c r="D291" s="540"/>
      <c r="E291" s="540"/>
      <c r="F291" s="540"/>
      <c r="G291" s="540"/>
      <c r="H291" s="540"/>
      <c r="I291" s="540"/>
      <c r="J291" s="540"/>
      <c r="K291" s="540"/>
      <c r="L291" s="540"/>
      <c r="M291" s="540"/>
      <c r="N291" s="540"/>
      <c r="O291" s="540"/>
      <c r="P291" s="540"/>
      <c r="Q291" s="81"/>
    </row>
    <row r="292" spans="1:17" x14ac:dyDescent="0.25">
      <c r="A292" s="515"/>
      <c r="B292" s="515"/>
      <c r="C292" s="515"/>
      <c r="D292" s="540"/>
      <c r="E292" s="540"/>
      <c r="F292" s="540"/>
      <c r="G292" s="540"/>
      <c r="H292" s="540"/>
      <c r="I292" s="540"/>
      <c r="J292" s="540"/>
      <c r="K292" s="540"/>
      <c r="L292" s="540"/>
      <c r="M292" s="540"/>
      <c r="N292" s="540"/>
      <c r="O292" s="540"/>
      <c r="P292" s="540"/>
      <c r="Q292" s="81"/>
    </row>
    <row r="293" spans="1:17" x14ac:dyDescent="0.25">
      <c r="A293" s="515"/>
      <c r="B293" s="515"/>
      <c r="C293" s="515"/>
      <c r="D293" s="540"/>
      <c r="E293" s="540"/>
      <c r="F293" s="540"/>
      <c r="G293" s="540"/>
      <c r="H293" s="540"/>
      <c r="I293" s="540"/>
      <c r="J293" s="540"/>
      <c r="K293" s="540"/>
      <c r="L293" s="540"/>
      <c r="M293" s="540"/>
      <c r="N293" s="540"/>
      <c r="O293" s="540"/>
      <c r="P293" s="540"/>
      <c r="Q293" s="81"/>
    </row>
    <row r="294" spans="1:17" x14ac:dyDescent="0.25">
      <c r="A294" s="515"/>
      <c r="B294" s="515"/>
      <c r="C294" s="515"/>
      <c r="D294" s="540"/>
      <c r="E294" s="540"/>
      <c r="F294" s="540"/>
      <c r="G294" s="540"/>
      <c r="H294" s="540"/>
      <c r="I294" s="540"/>
      <c r="J294" s="540"/>
      <c r="K294" s="540"/>
      <c r="L294" s="540"/>
      <c r="M294" s="540"/>
      <c r="N294" s="540"/>
      <c r="O294" s="540"/>
      <c r="P294" s="540"/>
      <c r="Q294" s="81"/>
    </row>
    <row r="295" spans="1:17" x14ac:dyDescent="0.25">
      <c r="A295" s="515"/>
      <c r="B295" s="515"/>
      <c r="C295" s="515"/>
      <c r="D295" s="540"/>
      <c r="E295" s="540"/>
      <c r="F295" s="540"/>
      <c r="G295" s="540"/>
      <c r="H295" s="540"/>
      <c r="I295" s="540"/>
      <c r="J295" s="540"/>
      <c r="K295" s="540"/>
      <c r="L295" s="540"/>
      <c r="M295" s="540"/>
      <c r="N295" s="540"/>
      <c r="O295" s="540"/>
      <c r="P295" s="540"/>
      <c r="Q295" s="81"/>
    </row>
    <row r="296" spans="1:17" x14ac:dyDescent="0.25">
      <c r="A296" s="515"/>
      <c r="B296" s="515"/>
      <c r="C296" s="515"/>
      <c r="D296" s="540"/>
      <c r="E296" s="540"/>
      <c r="F296" s="540"/>
      <c r="G296" s="540"/>
      <c r="H296" s="540"/>
      <c r="I296" s="540"/>
      <c r="J296" s="540"/>
      <c r="K296" s="540"/>
      <c r="L296" s="540"/>
      <c r="M296" s="540"/>
      <c r="N296" s="540"/>
      <c r="O296" s="540"/>
      <c r="P296" s="540"/>
      <c r="Q296" s="81"/>
    </row>
    <row r="297" spans="1:17" x14ac:dyDescent="0.25"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</row>
    <row r="298" spans="1:17" x14ac:dyDescent="0.25"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</row>
    <row r="299" spans="1:17" x14ac:dyDescent="0.25"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</row>
    <row r="300" spans="1:17" x14ac:dyDescent="0.25"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</row>
    <row r="301" spans="1:17" x14ac:dyDescent="0.25"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</row>
    <row r="302" spans="1:17" x14ac:dyDescent="0.25"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</row>
    <row r="303" spans="1:17" x14ac:dyDescent="0.25"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</row>
    <row r="304" spans="1:17" x14ac:dyDescent="0.25"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</row>
    <row r="305" spans="4:17" x14ac:dyDescent="0.25"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</row>
    <row r="306" spans="4:17" x14ac:dyDescent="0.25"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</row>
    <row r="307" spans="4:17" x14ac:dyDescent="0.25"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</row>
    <row r="308" spans="4:17" x14ac:dyDescent="0.25"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</row>
    <row r="309" spans="4:17" x14ac:dyDescent="0.25"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</row>
    <row r="310" spans="4:17" x14ac:dyDescent="0.25"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</row>
    <row r="311" spans="4:17" x14ac:dyDescent="0.25"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</row>
    <row r="312" spans="4:17" x14ac:dyDescent="0.25"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</row>
    <row r="313" spans="4:17" x14ac:dyDescent="0.25"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</row>
    <row r="314" spans="4:17" x14ac:dyDescent="0.25"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</row>
    <row r="315" spans="4:17" x14ac:dyDescent="0.25"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</row>
    <row r="316" spans="4:17" x14ac:dyDescent="0.25"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</row>
    <row r="317" spans="4:17" x14ac:dyDescent="0.25"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</row>
    <row r="318" spans="4:17" x14ac:dyDescent="0.25"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</row>
    <row r="319" spans="4:17" x14ac:dyDescent="0.25"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</row>
    <row r="320" spans="4:17" x14ac:dyDescent="0.25"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</row>
    <row r="321" spans="4:17" x14ac:dyDescent="0.25"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</row>
    <row r="322" spans="4:17" x14ac:dyDescent="0.25"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</row>
    <row r="323" spans="4:17" x14ac:dyDescent="0.25"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</row>
    <row r="324" spans="4:17" x14ac:dyDescent="0.25"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</row>
    <row r="325" spans="4:17" x14ac:dyDescent="0.25"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</row>
    <row r="326" spans="4:17" x14ac:dyDescent="0.25"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</row>
    <row r="327" spans="4:17" x14ac:dyDescent="0.25"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</row>
    <row r="328" spans="4:17" x14ac:dyDescent="0.25"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</row>
    <row r="329" spans="4:17" x14ac:dyDescent="0.25"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</row>
    <row r="330" spans="4:17" x14ac:dyDescent="0.25"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</row>
  </sheetData>
  <printOptions horizontalCentered="1"/>
  <pageMargins left="0.5" right="0.5" top="0.75" bottom="0.75" header="0.5" footer="0.3"/>
  <pageSetup scale="63" orientation="landscape" blackAndWhite="1" horizontalDpi="300" verticalDpi="300" r:id="rId1"/>
  <headerFooter alignWithMargins="0">
    <oddFooter>&amp;L&amp;F  &amp;A&amp;C&amp;P&amp;R&amp;D</oddFooter>
  </headerFooter>
  <rowBreaks count="1" manualBreakCount="1">
    <brk id="120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5:C20"/>
  <sheetViews>
    <sheetView zoomScaleNormal="100" workbookViewId="0">
      <selection activeCell="A29" sqref="A29"/>
    </sheetView>
  </sheetViews>
  <sheetFormatPr defaultRowHeight="14.4" x14ac:dyDescent="0.3"/>
  <cols>
    <col min="1" max="1" width="37" bestFit="1" customWidth="1"/>
    <col min="2" max="2" width="13.33203125" bestFit="1" customWidth="1"/>
    <col min="3" max="3" width="13.5546875" bestFit="1" customWidth="1"/>
  </cols>
  <sheetData>
    <row r="5" spans="1:3" ht="15" x14ac:dyDescent="0.25">
      <c r="A5" s="581" t="s">
        <v>302</v>
      </c>
      <c r="B5" s="503" t="s">
        <v>343</v>
      </c>
      <c r="C5" s="503" t="s">
        <v>344</v>
      </c>
    </row>
    <row r="6" spans="1:3" ht="15" x14ac:dyDescent="0.25">
      <c r="A6" t="s">
        <v>30</v>
      </c>
      <c r="C6" s="582">
        <f>'Rate Design Res'!H12</f>
        <v>11</v>
      </c>
    </row>
    <row r="7" spans="1:3" ht="15" x14ac:dyDescent="0.25">
      <c r="A7" t="s">
        <v>303</v>
      </c>
      <c r="C7" s="583">
        <v>12</v>
      </c>
    </row>
    <row r="8" spans="1:3" ht="15" x14ac:dyDescent="0.25">
      <c r="A8" t="s">
        <v>304</v>
      </c>
      <c r="C8" s="584">
        <f>C6*C7</f>
        <v>132</v>
      </c>
    </row>
    <row r="10" spans="1:3" ht="15" x14ac:dyDescent="0.25">
      <c r="A10" t="s">
        <v>305</v>
      </c>
      <c r="B10" s="585">
        <f>'JAP-42 Page 2'!D14</f>
        <v>267.89</v>
      </c>
      <c r="C10" s="585">
        <f>B10</f>
        <v>267.89</v>
      </c>
    </row>
    <row r="12" spans="1:3" ht="15.75" thickBot="1" x14ac:dyDescent="0.3">
      <c r="A12" s="586" t="s">
        <v>306</v>
      </c>
      <c r="B12" s="587">
        <f>B8+B10</f>
        <v>267.89</v>
      </c>
      <c r="C12" s="587">
        <f>C8+C10</f>
        <v>399.89</v>
      </c>
    </row>
    <row r="13" spans="1:3" ht="15.75" thickTop="1" x14ac:dyDescent="0.25"/>
    <row r="14" spans="1:3" ht="15" x14ac:dyDescent="0.25">
      <c r="A14" t="s">
        <v>307</v>
      </c>
      <c r="B14" s="588">
        <f>Return</f>
        <v>9.2399999999999996E-2</v>
      </c>
      <c r="C14" s="588">
        <f>Return</f>
        <v>9.2399999999999996E-2</v>
      </c>
    </row>
    <row r="16" spans="1:3" ht="15.75" thickBot="1" x14ac:dyDescent="0.3">
      <c r="A16" s="589" t="s">
        <v>308</v>
      </c>
      <c r="B16" s="590">
        <f>B12/B14</f>
        <v>2899.242424242424</v>
      </c>
      <c r="C16" s="647">
        <f>C12/C14</f>
        <v>4327.8138528138525</v>
      </c>
    </row>
    <row r="18" spans="1:3" ht="15" x14ac:dyDescent="0.25">
      <c r="A18" t="s">
        <v>345</v>
      </c>
      <c r="B18" s="583">
        <f>'JAP-42 Page 3'!D12/'JAP-42 Page 2'!D12</f>
        <v>774.16870261473821</v>
      </c>
      <c r="C18" s="583">
        <f>B18</f>
        <v>774.16870261473821</v>
      </c>
    </row>
    <row r="19" spans="1:3" ht="15" x14ac:dyDescent="0.25">
      <c r="B19" s="510"/>
    </row>
    <row r="20" spans="1:3" ht="15.75" thickBot="1" x14ac:dyDescent="0.3">
      <c r="A20" s="589" t="s">
        <v>309</v>
      </c>
      <c r="B20" s="647">
        <f>ROUND(B16/B18,2)</f>
        <v>3.74</v>
      </c>
      <c r="C20" s="590">
        <f>ROUND(C16/C18,2)</f>
        <v>5.59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5:C20"/>
  <sheetViews>
    <sheetView workbookViewId="0">
      <selection activeCell="C20" sqref="C20"/>
    </sheetView>
  </sheetViews>
  <sheetFormatPr defaultRowHeight="14.4" x14ac:dyDescent="0.3"/>
  <cols>
    <col min="1" max="1" width="43" bestFit="1" customWidth="1"/>
    <col min="2" max="2" width="13.33203125" bestFit="1" customWidth="1"/>
    <col min="3" max="3" width="13.5546875" bestFit="1" customWidth="1"/>
  </cols>
  <sheetData>
    <row r="5" spans="1:3" ht="15" x14ac:dyDescent="0.25">
      <c r="A5" s="581" t="s">
        <v>317</v>
      </c>
      <c r="B5" s="503" t="s">
        <v>343</v>
      </c>
      <c r="C5" s="503" t="s">
        <v>344</v>
      </c>
    </row>
    <row r="6" spans="1:3" ht="15" x14ac:dyDescent="0.25">
      <c r="A6" t="s">
        <v>310</v>
      </c>
      <c r="C6" s="582">
        <f>'Rate Design C&amp;I'!I35/'JAP-42 Page 2'!E12/12</f>
        <v>32.595281266212275</v>
      </c>
    </row>
    <row r="7" spans="1:3" ht="15" x14ac:dyDescent="0.25">
      <c r="A7" t="s">
        <v>303</v>
      </c>
      <c r="C7" s="583">
        <v>12</v>
      </c>
    </row>
    <row r="8" spans="1:3" ht="15" x14ac:dyDescent="0.25">
      <c r="A8" t="s">
        <v>311</v>
      </c>
      <c r="C8" s="584">
        <f>C6*C7</f>
        <v>391.14337519454727</v>
      </c>
    </row>
    <row r="10" spans="1:3" ht="15" x14ac:dyDescent="0.25">
      <c r="A10" t="s">
        <v>305</v>
      </c>
      <c r="B10" s="585">
        <f>'JAP-42 Page 2'!E14</f>
        <v>1165.3499999999999</v>
      </c>
      <c r="C10" s="585">
        <f>B10</f>
        <v>1165.3499999999999</v>
      </c>
    </row>
    <row r="12" spans="1:3" ht="15.75" thickBot="1" x14ac:dyDescent="0.3">
      <c r="A12" s="586" t="s">
        <v>306</v>
      </c>
      <c r="B12" s="587">
        <f>B8+B10</f>
        <v>1165.3499999999999</v>
      </c>
      <c r="C12" s="587">
        <f t="shared" ref="C12" si="0">C8+C10</f>
        <v>1556.4933751945473</v>
      </c>
    </row>
    <row r="13" spans="1:3" ht="15.75" thickTop="1" x14ac:dyDescent="0.25"/>
    <row r="14" spans="1:3" ht="15" x14ac:dyDescent="0.25">
      <c r="A14" t="s">
        <v>307</v>
      </c>
      <c r="B14" s="588">
        <f>Return</f>
        <v>9.2399999999999996E-2</v>
      </c>
      <c r="C14" s="588">
        <f>Return</f>
        <v>9.2399999999999996E-2</v>
      </c>
    </row>
    <row r="16" spans="1:3" ht="15.75" thickBot="1" x14ac:dyDescent="0.3">
      <c r="A16" s="589" t="s">
        <v>312</v>
      </c>
      <c r="B16" s="590">
        <f t="shared" ref="B16" si="1">B12/B14</f>
        <v>12612.012987012986</v>
      </c>
      <c r="C16" s="590">
        <f>C12/C14</f>
        <v>16845.166398209389</v>
      </c>
    </row>
    <row r="17" spans="1:3" ht="15" x14ac:dyDescent="0.25">
      <c r="A17" s="510"/>
      <c r="B17" s="591"/>
      <c r="C17" s="592"/>
    </row>
    <row r="18" spans="1:3" ht="15" x14ac:dyDescent="0.25">
      <c r="A18" t="s">
        <v>345</v>
      </c>
      <c r="B18" s="583">
        <f>'JAP-42 Page 3'!E12/'JAP-42 Page 2'!E12</f>
        <v>3838.8361906831965</v>
      </c>
      <c r="C18" s="583">
        <f>B18</f>
        <v>3838.8361906831965</v>
      </c>
    </row>
    <row r="19" spans="1:3" ht="15" x14ac:dyDescent="0.25">
      <c r="B19" s="510"/>
    </row>
    <row r="20" spans="1:3" ht="15.75" thickBot="1" x14ac:dyDescent="0.3">
      <c r="A20" s="589" t="s">
        <v>309</v>
      </c>
      <c r="B20" s="647">
        <f>ROUND(B16/B18,2)</f>
        <v>3.29</v>
      </c>
      <c r="C20" s="647">
        <f>ROUND(C16/C18,2)</f>
        <v>4.3899999999999997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5:C20"/>
  <sheetViews>
    <sheetView workbookViewId="0">
      <selection activeCell="C23" sqref="C23"/>
    </sheetView>
  </sheetViews>
  <sheetFormatPr defaultRowHeight="14.4" x14ac:dyDescent="0.3"/>
  <cols>
    <col min="1" max="1" width="43" bestFit="1" customWidth="1"/>
    <col min="2" max="2" width="13.33203125" bestFit="1" customWidth="1"/>
    <col min="3" max="3" width="14.33203125" bestFit="1" customWidth="1"/>
  </cols>
  <sheetData>
    <row r="5" spans="1:3" ht="15" x14ac:dyDescent="0.25">
      <c r="A5" s="581" t="s">
        <v>318</v>
      </c>
      <c r="B5" s="503" t="s">
        <v>343</v>
      </c>
      <c r="C5" s="503" t="s">
        <v>344</v>
      </c>
    </row>
    <row r="6" spans="1:3" ht="15" x14ac:dyDescent="0.25">
      <c r="A6" t="s">
        <v>310</v>
      </c>
      <c r="C6" s="582">
        <f>('Rate Design C&amp;I'!I88+'Rate Design Int &amp; Trans'!I108)/'JAP-42 Page 2'!F12/12</f>
        <v>128.34996830505168</v>
      </c>
    </row>
    <row r="7" spans="1:3" ht="15" x14ac:dyDescent="0.25">
      <c r="A7" t="s">
        <v>303</v>
      </c>
      <c r="C7" s="583">
        <v>12</v>
      </c>
    </row>
    <row r="8" spans="1:3" ht="15" x14ac:dyDescent="0.25">
      <c r="A8" t="s">
        <v>311</v>
      </c>
      <c r="C8" s="584">
        <f>C6*C7</f>
        <v>1540.1996196606201</v>
      </c>
    </row>
    <row r="10" spans="1:3" ht="15" x14ac:dyDescent="0.25">
      <c r="A10" t="s">
        <v>305</v>
      </c>
      <c r="B10" s="585">
        <f>'JAP-42 Page 2'!F14</f>
        <v>9185.0499999999993</v>
      </c>
      <c r="C10" s="585">
        <f>B10</f>
        <v>9185.0499999999993</v>
      </c>
    </row>
    <row r="12" spans="1:3" ht="15.75" thickBot="1" x14ac:dyDescent="0.3">
      <c r="A12" s="586" t="s">
        <v>306</v>
      </c>
      <c r="B12" s="587">
        <f>B8+B10</f>
        <v>9185.0499999999993</v>
      </c>
      <c r="C12" s="587">
        <f t="shared" ref="C12" si="0">C8+C10</f>
        <v>10725.249619660619</v>
      </c>
    </row>
    <row r="13" spans="1:3" ht="15.75" thickTop="1" x14ac:dyDescent="0.25"/>
    <row r="14" spans="1:3" ht="15" x14ac:dyDescent="0.25">
      <c r="A14" t="s">
        <v>307</v>
      </c>
      <c r="B14" s="588">
        <f>Return</f>
        <v>9.2399999999999996E-2</v>
      </c>
      <c r="C14" s="588">
        <f>Return</f>
        <v>9.2399999999999996E-2</v>
      </c>
    </row>
    <row r="16" spans="1:3" ht="15.75" thickBot="1" x14ac:dyDescent="0.3">
      <c r="A16" s="589" t="s">
        <v>312</v>
      </c>
      <c r="B16" s="590">
        <f t="shared" ref="B16" si="1">B12/B14</f>
        <v>99405.303030303025</v>
      </c>
      <c r="C16" s="590">
        <f>C12/C14</f>
        <v>116074.13008290714</v>
      </c>
    </row>
    <row r="17" spans="1:3" ht="15" x14ac:dyDescent="0.25">
      <c r="A17" s="510"/>
      <c r="B17" s="591"/>
      <c r="C17" s="592"/>
    </row>
    <row r="18" spans="1:3" ht="15" x14ac:dyDescent="0.25">
      <c r="A18" t="s">
        <v>346</v>
      </c>
      <c r="B18" s="583">
        <f>'JAP-42 Page 3'!F12/'JAP-42 Page 2'!F12</f>
        <v>54997.91687126975</v>
      </c>
      <c r="C18" s="583">
        <f>B18</f>
        <v>54997.91687126975</v>
      </c>
    </row>
    <row r="19" spans="1:3" ht="15" x14ac:dyDescent="0.25">
      <c r="B19" s="510"/>
    </row>
    <row r="20" spans="1:3" ht="15.75" thickBot="1" x14ac:dyDescent="0.3">
      <c r="A20" s="589" t="s">
        <v>309</v>
      </c>
      <c r="B20" s="647">
        <f>ROUND(B16/B18,2)</f>
        <v>1.81</v>
      </c>
      <c r="C20" s="647">
        <f>ROUND(C16/C18,2)</f>
        <v>2.11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4:E22"/>
  <sheetViews>
    <sheetView zoomScaleNormal="100" workbookViewId="0">
      <selection activeCell="H23" sqref="H23"/>
    </sheetView>
  </sheetViews>
  <sheetFormatPr defaultRowHeight="14.4" x14ac:dyDescent="0.3"/>
  <cols>
    <col min="1" max="1" width="43" bestFit="1" customWidth="1"/>
    <col min="2" max="2" width="12.5546875" bestFit="1" customWidth="1"/>
    <col min="3" max="5" width="14.33203125" bestFit="1" customWidth="1"/>
  </cols>
  <sheetData>
    <row r="4" spans="1:5" ht="15" x14ac:dyDescent="0.25">
      <c r="B4" s="655" t="s">
        <v>343</v>
      </c>
      <c r="C4" s="656"/>
      <c r="D4" s="655" t="s">
        <v>344</v>
      </c>
      <c r="E4" s="656"/>
    </row>
    <row r="5" spans="1:5" ht="15" x14ac:dyDescent="0.25">
      <c r="A5" s="581" t="s">
        <v>313</v>
      </c>
      <c r="B5" s="593" t="s">
        <v>314</v>
      </c>
      <c r="C5" s="594" t="s">
        <v>315</v>
      </c>
      <c r="D5" s="593" t="s">
        <v>314</v>
      </c>
      <c r="E5" s="594" t="s">
        <v>315</v>
      </c>
    </row>
    <row r="6" spans="1:5" ht="15" x14ac:dyDescent="0.25">
      <c r="A6" t="s">
        <v>310</v>
      </c>
      <c r="B6" s="595"/>
      <c r="C6" s="596"/>
      <c r="D6" s="597">
        <f>'Rate Design Int &amp; Trans'!I51/B11/12</f>
        <v>808.47903508771935</v>
      </c>
      <c r="E6" s="598">
        <f>'Rate Design Int &amp; Trans'!I173/C11/12</f>
        <v>772.92020833333333</v>
      </c>
    </row>
    <row r="7" spans="1:5" ht="15" x14ac:dyDescent="0.25">
      <c r="A7" t="s">
        <v>303</v>
      </c>
      <c r="B7" s="595"/>
      <c r="C7" s="596"/>
      <c r="D7" s="599">
        <v>12</v>
      </c>
      <c r="E7" s="600">
        <v>12</v>
      </c>
    </row>
    <row r="8" spans="1:5" ht="15" x14ac:dyDescent="0.25">
      <c r="A8" t="s">
        <v>311</v>
      </c>
      <c r="B8" s="595"/>
      <c r="C8" s="596"/>
      <c r="D8" s="601">
        <f>D6*D7</f>
        <v>9701.7484210526327</v>
      </c>
      <c r="E8" s="602">
        <f>E6*E7</f>
        <v>9275.0424999999996</v>
      </c>
    </row>
    <row r="9" spans="1:5" ht="15" x14ac:dyDescent="0.25">
      <c r="B9" s="595"/>
      <c r="C9" s="596"/>
      <c r="D9" s="595"/>
      <c r="E9" s="596"/>
    </row>
    <row r="10" spans="1:5" ht="15" x14ac:dyDescent="0.25">
      <c r="A10" t="s">
        <v>347</v>
      </c>
      <c r="B10" s="603">
        <f>'Rate Design Int &amp; Trans'!I60-'Rate Design Int &amp; Trans'!I54-'Rate Design Int &amp; Trans'!I51</f>
        <v>7668989.9699999979</v>
      </c>
      <c r="C10" s="604">
        <f>'Rate Design Int &amp; Trans'!I185-'Rate Design Int &amp; Trans'!I176-'Rate Design Int &amp; Trans'!I173</f>
        <v>4463216.8600000013</v>
      </c>
      <c r="D10" s="605">
        <f>B10</f>
        <v>7668989.9699999979</v>
      </c>
      <c r="E10" s="606">
        <f>C10</f>
        <v>4463216.8600000013</v>
      </c>
    </row>
    <row r="11" spans="1:5" ht="15" x14ac:dyDescent="0.25">
      <c r="A11" t="s">
        <v>348</v>
      </c>
      <c r="B11" s="607">
        <f>'12ME Sep16 Cust Data'!O39+'12ME Sep16 Cust Data'!O44</f>
        <v>133</v>
      </c>
      <c r="C11" s="608">
        <f>'12ME Sep16 Cust Data'!O41+'12ME Sep16 Cust Data'!O46</f>
        <v>16</v>
      </c>
      <c r="D11" s="607">
        <f>B11</f>
        <v>133</v>
      </c>
      <c r="E11" s="608">
        <f>C11</f>
        <v>16</v>
      </c>
    </row>
    <row r="12" spans="1:5" ht="15" x14ac:dyDescent="0.25">
      <c r="A12" t="s">
        <v>316</v>
      </c>
      <c r="B12" s="609">
        <f>B10/B11</f>
        <v>57661.578721804493</v>
      </c>
      <c r="C12" s="610">
        <f>C10/C11</f>
        <v>278951.05375000008</v>
      </c>
      <c r="D12" s="609">
        <f>D10/D11</f>
        <v>57661.578721804493</v>
      </c>
      <c r="E12" s="610">
        <f>E10/E11</f>
        <v>278951.05375000008</v>
      </c>
    </row>
    <row r="13" spans="1:5" ht="15" x14ac:dyDescent="0.25">
      <c r="B13" s="595"/>
      <c r="C13" s="596"/>
      <c r="D13" s="595"/>
      <c r="E13" s="596"/>
    </row>
    <row r="14" spans="1:5" ht="15.75" thickBot="1" x14ac:dyDescent="0.3">
      <c r="A14" s="586" t="s">
        <v>306</v>
      </c>
      <c r="B14" s="611">
        <f>B8+B12</f>
        <v>57661.578721804493</v>
      </c>
      <c r="C14" s="612">
        <f>C8+C12</f>
        <v>278951.05375000008</v>
      </c>
      <c r="D14" s="611">
        <f>D8+D12</f>
        <v>67363.327142857132</v>
      </c>
      <c r="E14" s="612">
        <f>E8+E12</f>
        <v>288226.09625000006</v>
      </c>
    </row>
    <row r="15" spans="1:5" ht="15.75" thickTop="1" x14ac:dyDescent="0.25">
      <c r="B15" s="595"/>
      <c r="C15" s="596"/>
      <c r="D15" s="595"/>
      <c r="E15" s="596"/>
    </row>
    <row r="16" spans="1:5" ht="15" x14ac:dyDescent="0.25">
      <c r="A16" t="s">
        <v>307</v>
      </c>
      <c r="B16" s="613">
        <f>Return</f>
        <v>9.2399999999999996E-2</v>
      </c>
      <c r="C16" s="614">
        <f>Return</f>
        <v>9.2399999999999996E-2</v>
      </c>
      <c r="D16" s="613">
        <f>Return</f>
        <v>9.2399999999999996E-2</v>
      </c>
      <c r="E16" s="614">
        <f>Return</f>
        <v>9.2399999999999996E-2</v>
      </c>
    </row>
    <row r="17" spans="1:5" ht="15" x14ac:dyDescent="0.25">
      <c r="B17" s="595"/>
      <c r="C17" s="596"/>
      <c r="D17" s="595"/>
      <c r="E17" s="596"/>
    </row>
    <row r="18" spans="1:5" ht="15.75" thickBot="1" x14ac:dyDescent="0.3">
      <c r="A18" s="589" t="s">
        <v>312</v>
      </c>
      <c r="B18" s="615">
        <f t="shared" ref="B18:C18" si="0">B14/B16</f>
        <v>624043.05975978891</v>
      </c>
      <c r="C18" s="616">
        <f t="shared" si="0"/>
        <v>3018950.7981601739</v>
      </c>
      <c r="D18" s="615">
        <f>D14/D16</f>
        <v>729040.33704390842</v>
      </c>
      <c r="E18" s="616">
        <f>E14/E16</f>
        <v>3119330.0459956718</v>
      </c>
    </row>
    <row r="19" spans="1:5" ht="15" x14ac:dyDescent="0.25">
      <c r="A19" s="510"/>
      <c r="B19" s="617"/>
      <c r="C19" s="618"/>
      <c r="D19" s="619"/>
      <c r="E19" s="620"/>
    </row>
    <row r="20" spans="1:5" ht="15" x14ac:dyDescent="0.25">
      <c r="A20" t="s">
        <v>345</v>
      </c>
      <c r="B20" s="599">
        <f>'Rate Design Int &amp; Trans'!D60/B11</f>
        <v>726465.11803759402</v>
      </c>
      <c r="C20" s="600">
        <f>'Rate Design Int &amp; Trans'!D185/C11</f>
        <v>7661751.2648750003</v>
      </c>
      <c r="D20" s="599">
        <f>B20</f>
        <v>726465.11803759402</v>
      </c>
      <c r="E20" s="600">
        <f>C20</f>
        <v>7661751.2648750003</v>
      </c>
    </row>
    <row r="21" spans="1:5" ht="15" x14ac:dyDescent="0.25">
      <c r="B21" s="595"/>
      <c r="C21" s="596"/>
      <c r="D21" s="595"/>
      <c r="E21" s="596"/>
    </row>
    <row r="22" spans="1:5" ht="15.75" thickBot="1" x14ac:dyDescent="0.3">
      <c r="A22" s="589" t="s">
        <v>309</v>
      </c>
      <c r="B22" s="648">
        <f>ROUND(B18/B20,2)</f>
        <v>0.86</v>
      </c>
      <c r="C22" s="649">
        <f>ROUND(C18/C20,2)</f>
        <v>0.39</v>
      </c>
      <c r="D22" s="648">
        <f>ROUND(D18/D20,2)</f>
        <v>1</v>
      </c>
      <c r="E22" s="649">
        <f>ROUND(E18/E20,2)</f>
        <v>0.41</v>
      </c>
    </row>
  </sheetData>
  <mergeCells count="2">
    <mergeCell ref="B4:C4"/>
    <mergeCell ref="D4:E4"/>
  </mergeCells>
  <pageMargins left="0.7" right="0.7" top="0.75" bottom="0.75" header="0.3" footer="0.3"/>
  <pageSetup scale="9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L37" sqref="L37"/>
    </sheetView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opLeftCell="A13" zoomScaleNormal="100" workbookViewId="0">
      <selection activeCell="E38" sqref="E38"/>
    </sheetView>
  </sheetViews>
  <sheetFormatPr defaultRowHeight="14.4" x14ac:dyDescent="0.3"/>
  <cols>
    <col min="1" max="1" width="10" customWidth="1"/>
    <col min="2" max="2" width="61.33203125" bestFit="1" customWidth="1"/>
    <col min="3" max="3" width="11.44140625" bestFit="1" customWidth="1"/>
    <col min="4" max="4" width="7.5546875" bestFit="1" customWidth="1"/>
    <col min="5" max="5" width="9.109375" bestFit="1" customWidth="1"/>
  </cols>
  <sheetData>
    <row r="1" spans="1:5" ht="15" x14ac:dyDescent="0.25">
      <c r="A1" s="650" t="s">
        <v>330</v>
      </c>
      <c r="B1" s="621"/>
      <c r="C1" s="622"/>
      <c r="D1" s="622"/>
      <c r="E1" s="622"/>
    </row>
    <row r="2" spans="1:5" ht="15" x14ac:dyDescent="0.25">
      <c r="A2" s="622" t="s">
        <v>319</v>
      </c>
      <c r="B2" s="621"/>
      <c r="C2" s="622"/>
      <c r="D2" s="622"/>
      <c r="E2" s="622"/>
    </row>
    <row r="3" spans="1:5" ht="15" x14ac:dyDescent="0.25">
      <c r="A3" s="622" t="s">
        <v>342</v>
      </c>
      <c r="B3" s="621"/>
      <c r="C3" s="622"/>
      <c r="D3" s="622"/>
      <c r="E3" s="622"/>
    </row>
    <row r="4" spans="1:5" ht="15" x14ac:dyDescent="0.25">
      <c r="A4" s="658" t="s">
        <v>349</v>
      </c>
      <c r="B4" s="658"/>
      <c r="C4" s="658"/>
      <c r="D4" s="658"/>
      <c r="E4" s="658"/>
    </row>
    <row r="5" spans="1:5" ht="15" x14ac:dyDescent="0.25">
      <c r="A5" s="651"/>
      <c r="B5" s="623"/>
      <c r="C5" s="623"/>
      <c r="D5" s="623"/>
      <c r="E5" s="623"/>
    </row>
    <row r="6" spans="1:5" ht="15" x14ac:dyDescent="0.25">
      <c r="A6" s="623"/>
      <c r="B6" s="623"/>
      <c r="C6" s="623"/>
      <c r="D6" s="623"/>
      <c r="E6" s="623"/>
    </row>
    <row r="7" spans="1:5" ht="15" x14ac:dyDescent="0.25">
      <c r="A7" s="652" t="s">
        <v>320</v>
      </c>
      <c r="B7" s="623"/>
      <c r="C7" s="624" t="s">
        <v>321</v>
      </c>
      <c r="D7" s="624"/>
      <c r="E7" s="624" t="s">
        <v>322</v>
      </c>
    </row>
    <row r="8" spans="1:5" ht="15" x14ac:dyDescent="0.25">
      <c r="A8" s="653" t="s">
        <v>323</v>
      </c>
      <c r="B8" s="625" t="s">
        <v>324</v>
      </c>
      <c r="C8" s="626" t="s">
        <v>325</v>
      </c>
      <c r="D8" s="626" t="s">
        <v>326</v>
      </c>
      <c r="E8" s="626" t="s">
        <v>327</v>
      </c>
    </row>
    <row r="9" spans="1:5" ht="15" x14ac:dyDescent="0.25">
      <c r="A9" s="627"/>
      <c r="B9" s="627"/>
      <c r="C9" s="627"/>
      <c r="D9" s="627"/>
      <c r="E9" s="627"/>
    </row>
    <row r="10" spans="1:5" ht="15" x14ac:dyDescent="0.25">
      <c r="A10" s="624">
        <v>1</v>
      </c>
      <c r="B10" s="645" t="s">
        <v>339</v>
      </c>
      <c r="C10" s="644">
        <v>0.51500000000000001</v>
      </c>
      <c r="D10" s="644">
        <v>5.8058252427184473E-2</v>
      </c>
      <c r="E10" s="644">
        <f>ROUND(+C10*D10,4)</f>
        <v>2.9899999999999999E-2</v>
      </c>
    </row>
    <row r="11" spans="1:5" ht="15" x14ac:dyDescent="0.25">
      <c r="A11" s="624">
        <v>4</v>
      </c>
      <c r="B11" s="645" t="s">
        <v>328</v>
      </c>
      <c r="C11" s="654">
        <v>0.48499999999999999</v>
      </c>
      <c r="D11" s="654">
        <v>9.5000000000000001E-2</v>
      </c>
      <c r="E11" s="654">
        <f>ROUND(+C11*D11,4)</f>
        <v>4.6100000000000002E-2</v>
      </c>
    </row>
    <row r="12" spans="1:5" ht="15" x14ac:dyDescent="0.25">
      <c r="A12" s="624">
        <v>5</v>
      </c>
      <c r="B12" s="645" t="s">
        <v>340</v>
      </c>
      <c r="C12" s="644">
        <f>SUM(C9:C11)</f>
        <v>1</v>
      </c>
      <c r="D12" s="645"/>
      <c r="E12" s="644">
        <f>SUM(E9:E11)</f>
        <v>7.5999999999999998E-2</v>
      </c>
    </row>
    <row r="13" spans="1:5" ht="15" x14ac:dyDescent="0.25">
      <c r="A13" s="624">
        <v>6</v>
      </c>
      <c r="B13" s="623"/>
      <c r="C13" s="628"/>
      <c r="D13" s="628"/>
      <c r="E13" s="628"/>
    </row>
    <row r="14" spans="1:5" ht="15" x14ac:dyDescent="0.25">
      <c r="A14" s="624">
        <v>7</v>
      </c>
      <c r="B14" s="645" t="s">
        <v>341</v>
      </c>
      <c r="C14" s="644">
        <v>0.51500000000000001</v>
      </c>
      <c r="D14" s="644">
        <v>5.8058252427184473E-2</v>
      </c>
      <c r="E14" s="644">
        <f>ROUND(E10*0.79,4)</f>
        <v>2.3599999999999999E-2</v>
      </c>
    </row>
    <row r="15" spans="1:5" ht="15" x14ac:dyDescent="0.25">
      <c r="A15" s="624">
        <v>10</v>
      </c>
      <c r="B15" s="645" t="s">
        <v>328</v>
      </c>
      <c r="C15" s="654">
        <v>0.48499999999999999</v>
      </c>
      <c r="D15" s="654">
        <v>9.5000000000000001E-2</v>
      </c>
      <c r="E15" s="654">
        <f>ROUND(C15*D15,4)</f>
        <v>4.6100000000000002E-2</v>
      </c>
    </row>
    <row r="16" spans="1:5" ht="15" x14ac:dyDescent="0.25">
      <c r="A16" s="624">
        <v>11</v>
      </c>
      <c r="B16" s="645" t="s">
        <v>329</v>
      </c>
      <c r="C16" s="644">
        <f>SUM(C13:C15)</f>
        <v>1</v>
      </c>
      <c r="D16" s="645"/>
      <c r="E16" s="644">
        <f>SUM(E13:E15)</f>
        <v>6.9699999999999998E-2</v>
      </c>
    </row>
    <row r="17" spans="1:5" ht="15" x14ac:dyDescent="0.25">
      <c r="A17" s="624"/>
      <c r="B17" s="623"/>
      <c r="C17" s="628"/>
      <c r="D17" s="628"/>
      <c r="E17" s="628"/>
    </row>
    <row r="20" spans="1:5" ht="15" x14ac:dyDescent="0.25">
      <c r="A20" s="657" t="str">
        <f>A1</f>
        <v>PUGET SOUND ENERGY-GAS</v>
      </c>
      <c r="B20" s="657"/>
      <c r="C20" s="657"/>
      <c r="D20" s="657"/>
      <c r="E20" s="657"/>
    </row>
    <row r="21" spans="1:5" ht="15" x14ac:dyDescent="0.25">
      <c r="A21" s="659" t="s">
        <v>331</v>
      </c>
      <c r="B21" s="659"/>
      <c r="C21" s="659"/>
      <c r="D21" s="659"/>
      <c r="E21" s="659"/>
    </row>
    <row r="22" spans="1:5" ht="15" x14ac:dyDescent="0.25">
      <c r="A22" s="657" t="str">
        <f>A3</f>
        <v>FOR THE TWELVE MONTHS ENDED SEPTEMBER 30, 2016</v>
      </c>
      <c r="B22" s="657"/>
      <c r="C22" s="657"/>
      <c r="D22" s="657"/>
      <c r="E22" s="657"/>
    </row>
    <row r="23" spans="1:5" ht="15" x14ac:dyDescent="0.25">
      <c r="A23" s="657" t="str">
        <f>A4</f>
        <v>TAX REFORM FILING</v>
      </c>
      <c r="B23" s="657"/>
      <c r="C23" s="657"/>
      <c r="D23" s="657"/>
      <c r="E23" s="657"/>
    </row>
    <row r="24" spans="1:5" ht="15" x14ac:dyDescent="0.25">
      <c r="A24" s="629"/>
      <c r="B24" s="629"/>
      <c r="C24" s="629"/>
      <c r="D24" s="629"/>
      <c r="E24" s="629"/>
    </row>
    <row r="25" spans="1:5" ht="15" x14ac:dyDescent="0.25">
      <c r="A25" s="630" t="s">
        <v>320</v>
      </c>
      <c r="B25" s="629"/>
      <c r="C25" s="629"/>
      <c r="D25" s="629"/>
      <c r="E25" s="629"/>
    </row>
    <row r="26" spans="1:5" ht="15" x14ac:dyDescent="0.25">
      <c r="A26" s="631" t="s">
        <v>323</v>
      </c>
      <c r="B26" s="632" t="s">
        <v>324</v>
      </c>
      <c r="C26" s="633"/>
      <c r="D26" s="633"/>
      <c r="E26" s="634" t="s">
        <v>332</v>
      </c>
    </row>
    <row r="27" spans="1:5" ht="15" x14ac:dyDescent="0.25">
      <c r="A27" s="635"/>
      <c r="B27" s="635"/>
      <c r="C27" s="635"/>
      <c r="D27" s="635"/>
      <c r="E27" s="636"/>
    </row>
    <row r="28" spans="1:5" ht="15" x14ac:dyDescent="0.25">
      <c r="A28" s="636">
        <v>1</v>
      </c>
      <c r="B28" s="637" t="s">
        <v>333</v>
      </c>
      <c r="C28" s="635"/>
      <c r="D28" s="635"/>
      <c r="E28" s="638">
        <v>5.1399999999999996E-3</v>
      </c>
    </row>
    <row r="29" spans="1:5" ht="15" x14ac:dyDescent="0.25">
      <c r="A29" s="636">
        <v>2</v>
      </c>
      <c r="B29" s="637" t="s">
        <v>334</v>
      </c>
      <c r="C29" s="635"/>
      <c r="D29" s="635"/>
      <c r="E29" s="638">
        <v>2E-3</v>
      </c>
    </row>
    <row r="30" spans="1:5" ht="15" x14ac:dyDescent="0.25">
      <c r="A30" s="636">
        <v>3</v>
      </c>
      <c r="B30" s="637" t="str">
        <f>"STATE UTILITY TAX - NET OF BAD DEBTS ( "&amp;D30*100&amp;"% - ( LINE 1 * "&amp;D30*100&amp;"%) )"</f>
        <v>STATE UTILITY TAX - NET OF BAD DEBTS ( 3.852% - ( LINE 1 * 3.852%) )</v>
      </c>
      <c r="C30" s="635"/>
      <c r="D30" s="639">
        <v>3.8519999999999999E-2</v>
      </c>
      <c r="E30" s="640">
        <v>3.8322000000000002E-2</v>
      </c>
    </row>
    <row r="31" spans="1:5" x14ac:dyDescent="0.3">
      <c r="A31" s="636">
        <v>4</v>
      </c>
      <c r="B31" s="637"/>
      <c r="C31" s="635"/>
      <c r="D31" s="635"/>
      <c r="E31" s="641"/>
    </row>
    <row r="32" spans="1:5" x14ac:dyDescent="0.3">
      <c r="A32" s="636">
        <v>5</v>
      </c>
      <c r="B32" s="637" t="s">
        <v>335</v>
      </c>
      <c r="C32" s="635"/>
      <c r="D32" s="635"/>
      <c r="E32" s="638">
        <v>4.5462000000000002E-2</v>
      </c>
    </row>
    <row r="33" spans="1:5" x14ac:dyDescent="0.3">
      <c r="A33" s="636">
        <v>6</v>
      </c>
      <c r="B33" s="635"/>
      <c r="C33" s="635"/>
      <c r="D33" s="635"/>
      <c r="E33" s="638"/>
    </row>
    <row r="34" spans="1:5" x14ac:dyDescent="0.3">
      <c r="A34" s="636">
        <v>7</v>
      </c>
      <c r="B34" s="635" t="s">
        <v>336</v>
      </c>
      <c r="C34" s="635"/>
      <c r="D34" s="635"/>
      <c r="E34" s="638">
        <v>0.954538</v>
      </c>
    </row>
    <row r="35" spans="1:5" x14ac:dyDescent="0.3">
      <c r="A35" s="636">
        <v>8</v>
      </c>
      <c r="B35" s="637" t="s">
        <v>350</v>
      </c>
      <c r="C35" s="635"/>
      <c r="D35" s="642">
        <v>0.21</v>
      </c>
      <c r="E35" s="638">
        <f>ROUND(E34*D35,6)</f>
        <v>0.20045299999999999</v>
      </c>
    </row>
    <row r="36" spans="1:5" x14ac:dyDescent="0.3">
      <c r="A36" s="636">
        <v>9</v>
      </c>
      <c r="B36" s="637" t="s">
        <v>337</v>
      </c>
      <c r="C36" s="635"/>
      <c r="D36" s="635"/>
      <c r="E36" s="643">
        <f>ROUND(1-E35-E32,6)</f>
        <v>0.75408500000000001</v>
      </c>
    </row>
    <row r="38" spans="1:5" x14ac:dyDescent="0.3">
      <c r="A38" t="s">
        <v>338</v>
      </c>
      <c r="E38" s="588">
        <f>ROUND(E16/E36,4)</f>
        <v>9.2399999999999996E-2</v>
      </c>
    </row>
  </sheetData>
  <mergeCells count="5">
    <mergeCell ref="A23:E23"/>
    <mergeCell ref="A4:E4"/>
    <mergeCell ref="A20:E20"/>
    <mergeCell ref="A21:E21"/>
    <mergeCell ref="A22:E22"/>
  </mergeCells>
  <pageMargins left="0.7" right="0.7" top="0.75" bottom="0.75" header="0.3" footer="0.3"/>
  <pageSetup scale="8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"/>
  <sheetViews>
    <sheetView zoomScaleNormal="100" workbookViewId="0">
      <selection activeCell="A10" sqref="A10"/>
    </sheetView>
  </sheetViews>
  <sheetFormatPr defaultColWidth="9.109375" defaultRowHeight="13.8" x14ac:dyDescent="0.3"/>
  <cols>
    <col min="1" max="1" width="5.33203125" style="25" customWidth="1"/>
    <col min="2" max="2" width="35" style="25" customWidth="1"/>
    <col min="3" max="3" width="13.44140625" style="25" customWidth="1"/>
    <col min="4" max="4" width="13.44140625" style="25" bestFit="1" customWidth="1"/>
    <col min="5" max="5" width="13.44140625" style="25" customWidth="1"/>
    <col min="6" max="6" width="17.44140625" style="25" bestFit="1" customWidth="1"/>
    <col min="7" max="7" width="3.109375" style="25" customWidth="1"/>
    <col min="8" max="8" width="13.44140625" style="25" bestFit="1" customWidth="1"/>
    <col min="9" max="9" width="12.6640625" style="25" customWidth="1"/>
    <col min="10" max="10" width="12.6640625" style="25" bestFit="1" customWidth="1"/>
    <col min="11" max="11" width="14" style="25" customWidth="1"/>
    <col min="12" max="12" width="12.6640625" style="25" bestFit="1" customWidth="1"/>
    <col min="13" max="13" width="14" style="25" bestFit="1" customWidth="1"/>
    <col min="14" max="14" width="12.6640625" style="25" bestFit="1" customWidth="1"/>
    <col min="15" max="15" width="14" style="25" bestFit="1" customWidth="1"/>
    <col min="16" max="18" width="14" style="25" customWidth="1"/>
    <col min="19" max="16384" width="9.109375" style="25"/>
  </cols>
  <sheetData>
    <row r="1" spans="1:17" ht="12.75" x14ac:dyDescent="0.2">
      <c r="A1" s="660" t="s">
        <v>17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24"/>
    </row>
    <row r="2" spans="1:17" ht="12.75" x14ac:dyDescent="0.2">
      <c r="A2" s="660" t="s">
        <v>186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24"/>
    </row>
    <row r="3" spans="1:17" ht="12.75" x14ac:dyDescent="0.2">
      <c r="A3" s="660" t="s">
        <v>289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24"/>
    </row>
    <row r="4" spans="1:17" ht="12.75" x14ac:dyDescent="0.2">
      <c r="A4" s="646"/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24"/>
    </row>
    <row r="5" spans="1:17" ht="12.75" x14ac:dyDescent="0.2">
      <c r="A5" s="646"/>
      <c r="B5" s="646"/>
      <c r="C5" s="646"/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  <c r="Q5" s="3"/>
    </row>
    <row r="6" spans="1:17" ht="12.75" x14ac:dyDescent="0.2">
      <c r="A6" s="33" t="s">
        <v>276</v>
      </c>
      <c r="B6" s="37"/>
      <c r="C6" s="37"/>
      <c r="D6" s="33" t="s">
        <v>275</v>
      </c>
      <c r="E6" s="33" t="s">
        <v>275</v>
      </c>
      <c r="F6" s="33" t="s">
        <v>275</v>
      </c>
      <c r="G6" s="37"/>
      <c r="H6" s="37"/>
      <c r="I6" s="37"/>
      <c r="J6" s="37"/>
      <c r="K6" s="37"/>
      <c r="L6" s="37"/>
      <c r="M6" s="37"/>
      <c r="N6" s="37"/>
      <c r="O6" s="37"/>
      <c r="P6" s="646"/>
      <c r="Q6" s="3"/>
    </row>
    <row r="7" spans="1:17" ht="12.75" x14ac:dyDescent="0.2">
      <c r="A7" s="34" t="s">
        <v>274</v>
      </c>
      <c r="B7" s="38"/>
      <c r="C7" s="34" t="s">
        <v>15</v>
      </c>
      <c r="D7" s="34" t="s">
        <v>277</v>
      </c>
      <c r="E7" s="34" t="s">
        <v>278</v>
      </c>
      <c r="F7" s="34" t="s">
        <v>279</v>
      </c>
      <c r="G7" s="34"/>
      <c r="H7" s="34" t="s">
        <v>163</v>
      </c>
      <c r="I7" s="34" t="s">
        <v>164</v>
      </c>
      <c r="J7" s="34" t="s">
        <v>19</v>
      </c>
      <c r="K7" s="34" t="s">
        <v>187</v>
      </c>
      <c r="L7" s="34" t="s">
        <v>20</v>
      </c>
      <c r="M7" s="34" t="s">
        <v>60</v>
      </c>
      <c r="N7" s="34" t="s">
        <v>21</v>
      </c>
      <c r="O7" s="34" t="s">
        <v>59</v>
      </c>
      <c r="P7" s="24"/>
    </row>
    <row r="8" spans="1:17" x14ac:dyDescent="0.3">
      <c r="A8" s="29"/>
      <c r="B8" s="30" t="s">
        <v>14</v>
      </c>
      <c r="C8" s="30" t="s">
        <v>13</v>
      </c>
      <c r="D8" s="30" t="s">
        <v>188</v>
      </c>
      <c r="E8" s="30" t="s">
        <v>189</v>
      </c>
      <c r="F8" s="30" t="s">
        <v>190</v>
      </c>
      <c r="G8" s="30"/>
      <c r="H8" s="30" t="s">
        <v>9</v>
      </c>
      <c r="I8" s="30" t="s">
        <v>8</v>
      </c>
      <c r="J8" s="30" t="s">
        <v>7</v>
      </c>
      <c r="K8" s="30" t="s">
        <v>6</v>
      </c>
      <c r="L8" s="30" t="s">
        <v>5</v>
      </c>
      <c r="M8" s="30" t="s">
        <v>4</v>
      </c>
      <c r="N8" s="30" t="s">
        <v>3</v>
      </c>
      <c r="O8" s="30" t="s">
        <v>2</v>
      </c>
      <c r="P8" s="24"/>
    </row>
    <row r="9" spans="1:17" ht="12.75" x14ac:dyDescent="0.2">
      <c r="A9" s="30">
        <v>1</v>
      </c>
      <c r="B9" s="22"/>
      <c r="C9" s="30"/>
      <c r="D9" s="30"/>
      <c r="E9" s="29"/>
      <c r="F9" s="29"/>
      <c r="G9" s="29"/>
      <c r="H9" s="29"/>
      <c r="I9" s="29"/>
      <c r="J9" s="30"/>
      <c r="K9" s="30"/>
      <c r="L9" s="30"/>
      <c r="M9" s="30"/>
      <c r="N9" s="30"/>
      <c r="O9" s="30"/>
      <c r="P9" s="24"/>
    </row>
    <row r="10" spans="1:17" ht="12.75" x14ac:dyDescent="0.2">
      <c r="A10" s="30">
        <f>A9+1</f>
        <v>2</v>
      </c>
      <c r="B10" s="29" t="s">
        <v>282</v>
      </c>
      <c r="C10" s="30" t="s">
        <v>292</v>
      </c>
      <c r="D10" s="31">
        <f>SUM(H10:I10)</f>
        <v>299349526.67167699</v>
      </c>
      <c r="E10" s="31">
        <f>SUM(J10:K10)</f>
        <v>87006528.950000003</v>
      </c>
      <c r="F10" s="31">
        <f>SUM(L10:O10)</f>
        <v>20379838.922454771</v>
      </c>
      <c r="G10" s="31"/>
      <c r="H10" s="35">
        <f>'Rate Design Res'!I14</f>
        <v>299349297.37167698</v>
      </c>
      <c r="I10" s="35">
        <f>'Rate Design Res'!I26</f>
        <v>229.3</v>
      </c>
      <c r="J10" s="35">
        <f>'Rate Design C&amp;I'!I15</f>
        <v>86991648.090000004</v>
      </c>
      <c r="K10" s="35">
        <f>'Rate Design C&amp;I'!I27</f>
        <v>14880.86</v>
      </c>
      <c r="L10" s="35">
        <f>'Rate Design C&amp;I'!I57</f>
        <v>14627826.099797169</v>
      </c>
      <c r="M10" s="35">
        <f>'Rate Design C&amp;I'!I79</f>
        <v>3565479.9526575999</v>
      </c>
      <c r="N10" s="35">
        <f>'Rate Design Int &amp; Trans'!I81</f>
        <v>2102083.46</v>
      </c>
      <c r="O10" s="35">
        <f>'Rate Design Int &amp; Trans'!I100</f>
        <v>84449.41</v>
      </c>
      <c r="P10" s="24"/>
    </row>
    <row r="11" spans="1:17" ht="12.75" x14ac:dyDescent="0.2">
      <c r="A11" s="30">
        <f t="shared" ref="A11:A16" si="0">A10+1</f>
        <v>3</v>
      </c>
      <c r="B11" s="29"/>
      <c r="C11" s="30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24"/>
    </row>
    <row r="12" spans="1:17" ht="12.75" x14ac:dyDescent="0.2">
      <c r="A12" s="30">
        <f t="shared" si="0"/>
        <v>4</v>
      </c>
      <c r="B12" s="29" t="s">
        <v>264</v>
      </c>
      <c r="C12" s="30" t="s">
        <v>292</v>
      </c>
      <c r="D12" s="31">
        <f t="shared" ref="D12:D13" si="1">SUM(H12:I12)</f>
        <v>99506336.161676973</v>
      </c>
      <c r="E12" s="31">
        <f t="shared" ref="E12:E13" si="2">SUM(J12:K12)</f>
        <v>21864523.530000001</v>
      </c>
      <c r="F12" s="31">
        <f t="shared" ref="F12:F13" si="3">SUM(L12:O12)</f>
        <v>2632201.15</v>
      </c>
      <c r="G12" s="31"/>
      <c r="H12" s="36">
        <f>'Rate Design Res'!I12</f>
        <v>99506193.161676973</v>
      </c>
      <c r="I12" s="36">
        <f>'Rate Design Res'!I24</f>
        <v>143.00000000000003</v>
      </c>
      <c r="J12" s="36">
        <f>'Rate Design C&amp;I'!I12</f>
        <v>21856386.82</v>
      </c>
      <c r="K12" s="36">
        <f>'Rate Design C&amp;I'!I24</f>
        <v>8136.71</v>
      </c>
      <c r="L12" s="36">
        <f>'Rate Design C&amp;I'!I47</f>
        <v>1728008.75</v>
      </c>
      <c r="M12" s="36">
        <f>'Rate Design C&amp;I'!I69</f>
        <v>484045.59</v>
      </c>
      <c r="N12" s="36">
        <f>'Rate Design Int &amp; Trans'!I73</f>
        <v>398418.25</v>
      </c>
      <c r="O12" s="36">
        <f>'Rate Design Int &amp; Trans'!I93</f>
        <v>21728.560000000001</v>
      </c>
      <c r="P12" s="24"/>
    </row>
    <row r="13" spans="1:17" ht="12.75" x14ac:dyDescent="0.2">
      <c r="A13" s="30">
        <f t="shared" si="0"/>
        <v>5</v>
      </c>
      <c r="B13" s="29" t="s">
        <v>265</v>
      </c>
      <c r="C13" s="30" t="s">
        <v>292</v>
      </c>
      <c r="D13" s="31">
        <f t="shared" si="1"/>
        <v>0</v>
      </c>
      <c r="E13" s="31">
        <f t="shared" si="2"/>
        <v>0</v>
      </c>
      <c r="F13" s="31">
        <f t="shared" si="3"/>
        <v>2050382.03</v>
      </c>
      <c r="G13" s="31"/>
      <c r="H13" s="18">
        <v>0</v>
      </c>
      <c r="I13" s="18">
        <v>0</v>
      </c>
      <c r="J13" s="18">
        <v>0</v>
      </c>
      <c r="K13" s="18">
        <v>0</v>
      </c>
      <c r="L13" s="36">
        <f>'Rate Design C&amp;I'!I48</f>
        <v>1881439.96</v>
      </c>
      <c r="M13" s="36">
        <f>'Rate Design C&amp;I'!I70</f>
        <v>136637.85</v>
      </c>
      <c r="N13" s="36">
        <f>'Rate Design Int &amp; Trans'!I76</f>
        <v>32304.22</v>
      </c>
      <c r="O13" s="36">
        <f>'Rate Design Int &amp; Trans'!I95</f>
        <v>0</v>
      </c>
      <c r="P13" s="24"/>
    </row>
    <row r="14" spans="1:17" ht="12.75" x14ac:dyDescent="0.2">
      <c r="A14" s="30">
        <f t="shared" si="0"/>
        <v>6</v>
      </c>
      <c r="B14" s="29" t="s">
        <v>290</v>
      </c>
      <c r="C14" s="30" t="str">
        <f>"("&amp;A$12&amp;") + ("&amp;A$13&amp;")"</f>
        <v>(4) + (5)</v>
      </c>
      <c r="D14" s="31">
        <f>SUM(D12:D13)</f>
        <v>99506336.161676973</v>
      </c>
      <c r="E14" s="31">
        <f>SUM(E12:E13)</f>
        <v>21864523.530000001</v>
      </c>
      <c r="F14" s="31">
        <f>SUM(F12:F13)</f>
        <v>4682583.18</v>
      </c>
      <c r="G14" s="31"/>
      <c r="H14" s="18">
        <f t="shared" ref="H14:O14" si="4">SUM(H12:H13)</f>
        <v>99506193.161676973</v>
      </c>
      <c r="I14" s="18">
        <f t="shared" si="4"/>
        <v>143.00000000000003</v>
      </c>
      <c r="J14" s="18">
        <f t="shared" si="4"/>
        <v>21856386.82</v>
      </c>
      <c r="K14" s="18">
        <f>SUM(K12:K13)</f>
        <v>8136.71</v>
      </c>
      <c r="L14" s="18">
        <f t="shared" si="4"/>
        <v>3609448.71</v>
      </c>
      <c r="M14" s="18">
        <f t="shared" si="4"/>
        <v>620683.44000000006</v>
      </c>
      <c r="N14" s="18">
        <f t="shared" si="4"/>
        <v>430722.47</v>
      </c>
      <c r="O14" s="18">
        <f t="shared" si="4"/>
        <v>21728.560000000001</v>
      </c>
      <c r="P14" s="24"/>
    </row>
    <row r="15" spans="1:17" ht="12.75" x14ac:dyDescent="0.2">
      <c r="A15" s="30">
        <f t="shared" si="0"/>
        <v>7</v>
      </c>
      <c r="B15" s="29"/>
      <c r="C15" s="30"/>
      <c r="D15" s="31"/>
      <c r="E15" s="31"/>
      <c r="F15" s="31"/>
      <c r="G15" s="18"/>
      <c r="H15" s="18"/>
      <c r="I15" s="18"/>
      <c r="J15" s="18"/>
      <c r="K15" s="18"/>
      <c r="L15" s="18"/>
      <c r="M15" s="18"/>
      <c r="N15" s="18"/>
      <c r="O15" s="18"/>
      <c r="P15" s="24"/>
    </row>
    <row r="16" spans="1:17" ht="13.5" thickBot="1" x14ac:dyDescent="0.25">
      <c r="A16" s="30">
        <f t="shared" si="0"/>
        <v>8</v>
      </c>
      <c r="B16" s="29" t="s">
        <v>283</v>
      </c>
      <c r="C16" s="30" t="str">
        <f>"("&amp;A10&amp;") - ("&amp;A$14&amp;")"</f>
        <v>(2) - (6)</v>
      </c>
      <c r="D16" s="19">
        <f>D10-D14</f>
        <v>199843190.51000002</v>
      </c>
      <c r="E16" s="19">
        <f>E10-E14</f>
        <v>65142005.420000002</v>
      </c>
      <c r="F16" s="19">
        <f>F10-F14</f>
        <v>15697255.742454771</v>
      </c>
      <c r="G16" s="18"/>
      <c r="H16" s="19">
        <f t="shared" ref="H16:O16" si="5">H10-H14</f>
        <v>199843104.21000001</v>
      </c>
      <c r="I16" s="19">
        <f t="shared" si="5"/>
        <v>86.299999999999983</v>
      </c>
      <c r="J16" s="19">
        <f t="shared" si="5"/>
        <v>65135261.270000003</v>
      </c>
      <c r="K16" s="19">
        <f t="shared" si="5"/>
        <v>6744.1500000000005</v>
      </c>
      <c r="L16" s="19">
        <f t="shared" si="5"/>
        <v>11018377.38979717</v>
      </c>
      <c r="M16" s="19">
        <f t="shared" si="5"/>
        <v>2944796.5126576</v>
      </c>
      <c r="N16" s="19">
        <f t="shared" si="5"/>
        <v>1671360.99</v>
      </c>
      <c r="O16" s="19">
        <f t="shared" si="5"/>
        <v>62720.850000000006</v>
      </c>
      <c r="P16" s="24"/>
    </row>
    <row r="17" spans="1:16" ht="13.5" thickTop="1" x14ac:dyDescent="0.2">
      <c r="A17" s="24"/>
      <c r="B17" s="24"/>
      <c r="C17" s="24"/>
      <c r="D17" s="24"/>
      <c r="E17" s="24"/>
      <c r="F17" s="24"/>
      <c r="G17" s="27"/>
      <c r="H17" s="24"/>
      <c r="I17" s="24"/>
      <c r="J17" s="24"/>
      <c r="K17" s="24"/>
      <c r="L17" s="24"/>
      <c r="M17" s="24"/>
      <c r="N17" s="24"/>
      <c r="O17" s="24"/>
      <c r="P17" s="24"/>
    </row>
    <row r="18" spans="1:16" ht="12.75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</row>
    <row r="19" spans="1:16" ht="12.75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</row>
    <row r="20" spans="1:16" ht="12.75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</row>
    <row r="21" spans="1:16" ht="12.75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</row>
    <row r="22" spans="1:16" ht="12.75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</row>
  </sheetData>
  <mergeCells count="3">
    <mergeCell ref="A1:O1"/>
    <mergeCell ref="A2:O2"/>
    <mergeCell ref="A3:O3"/>
  </mergeCells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zoomScaleNormal="100" workbookViewId="0">
      <selection activeCell="D37" sqref="D37"/>
    </sheetView>
  </sheetViews>
  <sheetFormatPr defaultColWidth="9.109375" defaultRowHeight="13.8" x14ac:dyDescent="0.3"/>
  <cols>
    <col min="1" max="1" width="6" style="25" customWidth="1"/>
    <col min="2" max="2" width="51" style="25" customWidth="1"/>
    <col min="3" max="3" width="20.33203125" style="25" customWidth="1"/>
    <col min="4" max="6" width="17.6640625" style="25" customWidth="1"/>
    <col min="7" max="7" width="14.5546875" style="25" bestFit="1" customWidth="1"/>
    <col min="8" max="8" width="9.109375" style="25"/>
    <col min="9" max="9" width="10.33203125" style="25" bestFit="1" customWidth="1"/>
    <col min="10" max="16384" width="9.109375" style="25"/>
  </cols>
  <sheetData>
    <row r="1" spans="1:16" ht="12.75" x14ac:dyDescent="0.2">
      <c r="A1" s="660" t="s">
        <v>17</v>
      </c>
      <c r="B1" s="660"/>
      <c r="C1" s="660"/>
      <c r="D1" s="660"/>
      <c r="E1" s="660"/>
      <c r="F1" s="660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2.75" x14ac:dyDescent="0.2">
      <c r="A2" s="660" t="s">
        <v>186</v>
      </c>
      <c r="B2" s="660"/>
      <c r="C2" s="660"/>
      <c r="D2" s="660"/>
      <c r="E2" s="660"/>
      <c r="F2" s="660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2.75" x14ac:dyDescent="0.2">
      <c r="A3" s="660" t="s">
        <v>280</v>
      </c>
      <c r="B3" s="660"/>
      <c r="C3" s="660"/>
      <c r="D3" s="660"/>
      <c r="E3" s="660"/>
      <c r="F3" s="660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12.75" x14ac:dyDescent="0.2">
      <c r="A4" s="7"/>
      <c r="B4" s="7"/>
      <c r="C4" s="7"/>
      <c r="D4" s="7"/>
      <c r="E4" s="7"/>
      <c r="F4" s="646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ht="12.75" x14ac:dyDescent="0.2">
      <c r="A5" s="24"/>
      <c r="B5" s="24"/>
      <c r="C5" s="24"/>
      <c r="D5" s="24"/>
      <c r="E5" s="24"/>
      <c r="F5" s="24"/>
    </row>
    <row r="6" spans="1:16" ht="12.75" x14ac:dyDescent="0.2">
      <c r="A6" s="33" t="s">
        <v>276</v>
      </c>
      <c r="B6" s="24"/>
      <c r="C6" s="24"/>
      <c r="D6" s="33" t="s">
        <v>275</v>
      </c>
      <c r="E6" s="33" t="s">
        <v>275</v>
      </c>
      <c r="F6" s="33" t="s">
        <v>275</v>
      </c>
    </row>
    <row r="7" spans="1:16" ht="12.75" x14ac:dyDescent="0.2">
      <c r="A7" s="34" t="s">
        <v>274</v>
      </c>
      <c r="B7" s="4"/>
      <c r="C7" s="34" t="s">
        <v>15</v>
      </c>
      <c r="D7" s="34" t="s">
        <v>277</v>
      </c>
      <c r="E7" s="34" t="s">
        <v>278</v>
      </c>
      <c r="F7" s="34" t="s">
        <v>279</v>
      </c>
    </row>
    <row r="8" spans="1:16" ht="12.75" x14ac:dyDescent="0.2">
      <c r="A8" s="29"/>
      <c r="B8" s="30" t="s">
        <v>14</v>
      </c>
      <c r="C8" s="30" t="s">
        <v>13</v>
      </c>
      <c r="D8" s="30" t="s">
        <v>12</v>
      </c>
      <c r="E8" s="30" t="s">
        <v>11</v>
      </c>
      <c r="F8" s="30" t="s">
        <v>10</v>
      </c>
    </row>
    <row r="9" spans="1:16" ht="12.75" x14ac:dyDescent="0.2">
      <c r="A9" s="30"/>
      <c r="B9" s="22"/>
      <c r="C9" s="30"/>
      <c r="D9" s="30"/>
      <c r="E9" s="30"/>
      <c r="F9" s="30"/>
    </row>
    <row r="10" spans="1:16" ht="12.75" x14ac:dyDescent="0.2">
      <c r="A10" s="30">
        <v>1</v>
      </c>
      <c r="B10" s="29" t="s">
        <v>284</v>
      </c>
      <c r="C10" s="23" t="s">
        <v>294</v>
      </c>
      <c r="D10" s="35">
        <f>'JAP-42 Page 1'!D16</f>
        <v>199843190.51000002</v>
      </c>
      <c r="E10" s="35">
        <f>'JAP-42 Page 1'!E16</f>
        <v>65142005.420000002</v>
      </c>
      <c r="F10" s="35">
        <f>'JAP-42 Page 1'!F16</f>
        <v>15697255.742454771</v>
      </c>
    </row>
    <row r="11" spans="1:16" ht="12.75" x14ac:dyDescent="0.2">
      <c r="A11" s="30">
        <f>A10+1</f>
        <v>2</v>
      </c>
      <c r="B11" s="29"/>
      <c r="C11" s="29"/>
      <c r="D11" s="39"/>
      <c r="E11" s="39"/>
      <c r="F11" s="39"/>
    </row>
    <row r="12" spans="1:16" ht="12.75" x14ac:dyDescent="0.2">
      <c r="A12" s="30">
        <f t="shared" ref="A12:A14" si="0">A11+1</f>
        <v>3</v>
      </c>
      <c r="B12" s="29" t="s">
        <v>18</v>
      </c>
      <c r="C12" s="23" t="s">
        <v>293</v>
      </c>
      <c r="D12" s="40">
        <f>SUM('12ME Sep16 Cust Data'!O6:O7)</f>
        <v>746002</v>
      </c>
      <c r="E12" s="40">
        <f>SUM('12ME Sep16 Cust Data'!O37,'12ME Sep16 Cust Data'!O42)</f>
        <v>55899</v>
      </c>
      <c r="F12" s="40">
        <f>SUM('12ME Sep16 Cust Data'!O38,'12ME Sep16 Cust Data'!O40,'12ME Sep16 Cust Data'!O43,'12ME Sep16 Cust Data'!O45)</f>
        <v>1709</v>
      </c>
    </row>
    <row r="13" spans="1:16" ht="12.75" x14ac:dyDescent="0.2">
      <c r="A13" s="30">
        <f t="shared" si="0"/>
        <v>4</v>
      </c>
      <c r="B13" s="29"/>
      <c r="C13" s="29"/>
      <c r="D13" s="8"/>
      <c r="E13" s="8"/>
      <c r="F13" s="8"/>
    </row>
    <row r="14" spans="1:16" ht="13.5" thickBot="1" x14ac:dyDescent="0.25">
      <c r="A14" s="30">
        <f t="shared" si="0"/>
        <v>5</v>
      </c>
      <c r="B14" s="29" t="s">
        <v>285</v>
      </c>
      <c r="C14" s="30" t="str">
        <f>"("&amp;A10&amp;") / ("&amp;A12&amp;")"</f>
        <v>(1) / (3)</v>
      </c>
      <c r="D14" s="41">
        <f>ROUND(D10/D12,2)</f>
        <v>267.89</v>
      </c>
      <c r="E14" s="41">
        <f>ROUND(E10/E12,2)</f>
        <v>1165.3499999999999</v>
      </c>
      <c r="F14" s="41">
        <f>ROUND(F10/F12,2)</f>
        <v>9185.0499999999993</v>
      </c>
    </row>
    <row r="15" spans="1:16" ht="13.5" thickTop="1" x14ac:dyDescent="0.2">
      <c r="A15" s="24"/>
      <c r="B15" s="24"/>
      <c r="C15" s="24"/>
      <c r="D15" s="24"/>
      <c r="E15" s="24"/>
      <c r="F15" s="24"/>
      <c r="G15" s="24"/>
    </row>
    <row r="16" spans="1:16" ht="12.75" x14ac:dyDescent="0.2">
      <c r="A16" s="24"/>
      <c r="B16" s="24"/>
      <c r="C16" s="24"/>
      <c r="D16" s="5"/>
      <c r="E16" s="5"/>
      <c r="F16" s="5"/>
      <c r="G16" s="24"/>
    </row>
    <row r="17" spans="1:7" ht="12.75" x14ac:dyDescent="0.2">
      <c r="A17" s="24"/>
      <c r="B17" s="24"/>
      <c r="C17" s="24"/>
      <c r="D17" s="6"/>
      <c r="E17" s="6"/>
      <c r="F17" s="6"/>
      <c r="G17" s="24"/>
    </row>
    <row r="18" spans="1:7" ht="12.75" x14ac:dyDescent="0.2">
      <c r="A18" s="24"/>
      <c r="B18" s="24"/>
      <c r="C18" s="24"/>
      <c r="D18" s="24"/>
      <c r="E18" s="24"/>
      <c r="F18" s="24"/>
      <c r="G18" s="24"/>
    </row>
  </sheetData>
  <mergeCells count="3">
    <mergeCell ref="A1:F1"/>
    <mergeCell ref="A2:F2"/>
    <mergeCell ref="A3:F3"/>
  </mergeCells>
  <printOptions horizontalCentered="1"/>
  <pageMargins left="0.7" right="0.7" top="0.75" bottom="0.75" header="0.3" footer="0.3"/>
  <pageSetup scale="93" orientation="landscape" blackAndWhite="1" horizontalDpi="1200" verticalDpi="1200" r:id="rId1"/>
  <headerFooter>
    <oddFooter>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F01FF7A9702F1469ADFA43808F0F949" ma:contentTypeVersion="76" ma:contentTypeDescription="" ma:contentTypeScope="" ma:versionID="c4795e9471d4a57ed6ba11fd6bc81d9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2018-01-31T08:00:00+00:00</OpenedDate>
    <SignificantOrder xmlns="dc463f71-b30c-4ab2-9473-d307f9d35888">false</SignificantOrder>
    <Date1 xmlns="dc463f71-b30c-4ab2-9473-d307f9d35888">2018-05-17T07:00:00+00:00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180092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E26D1C6A-858B-4B55-94A6-BB97B9562C36}"/>
</file>

<file path=customXml/itemProps2.xml><?xml version="1.0" encoding="utf-8"?>
<ds:datastoreItem xmlns:ds="http://schemas.openxmlformats.org/officeDocument/2006/customXml" ds:itemID="{07C31136-6A59-4753-82CD-0229D0ADE8DC}"/>
</file>

<file path=customXml/itemProps3.xml><?xml version="1.0" encoding="utf-8"?>
<ds:datastoreItem xmlns:ds="http://schemas.openxmlformats.org/officeDocument/2006/customXml" ds:itemID="{D152A299-5E5B-430D-B80C-5C8ACD67F284}"/>
</file>

<file path=customXml/itemProps4.xml><?xml version="1.0" encoding="utf-8"?>
<ds:datastoreItem xmlns:ds="http://schemas.openxmlformats.org/officeDocument/2006/customXml" ds:itemID="{F8CFF7D7-7A7F-42D8-BC47-B5E0647232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11</vt:i4>
      </vt:variant>
    </vt:vector>
  </HeadingPairs>
  <TitlesOfParts>
    <vt:vector size="27" baseType="lpstr">
      <vt:lpstr>Rule No. 6</vt:lpstr>
      <vt:lpstr>Residential Allowance</vt:lpstr>
      <vt:lpstr>Sch 31 Allowance</vt:lpstr>
      <vt:lpstr>Sch 41-86 Allowance</vt:lpstr>
      <vt:lpstr>Sch 85-87 Allowance</vt:lpstr>
      <vt:lpstr>Work Papers--&gt;</vt:lpstr>
      <vt:lpstr>Cost of Capital</vt:lpstr>
      <vt:lpstr>JAP-42 Page 1</vt:lpstr>
      <vt:lpstr>JAP-42 Page 2</vt:lpstr>
      <vt:lpstr>JAP-42 Page 3</vt:lpstr>
      <vt:lpstr>JAP-42 Page 4</vt:lpstr>
      <vt:lpstr>Rate Design Res</vt:lpstr>
      <vt:lpstr>Rate Design C&amp;I</vt:lpstr>
      <vt:lpstr>Rate Design Int &amp; Trans</vt:lpstr>
      <vt:lpstr>12ME Sep16 Cust Data</vt:lpstr>
      <vt:lpstr>Weather Adj</vt:lpstr>
      <vt:lpstr>'12ME Sep16 Cust Data'!Print_Area</vt:lpstr>
      <vt:lpstr>'JAP-42 Page 1'!Print_Area</vt:lpstr>
      <vt:lpstr>'Rate Design C&amp;I'!Print_Area</vt:lpstr>
      <vt:lpstr>'Rate Design Int &amp; Trans'!Print_Area</vt:lpstr>
      <vt:lpstr>'Rate Design Res'!Print_Area</vt:lpstr>
      <vt:lpstr>'Weather Adj'!Print_Area</vt:lpstr>
      <vt:lpstr>'Rate Design C&amp;I'!Print_Titles</vt:lpstr>
      <vt:lpstr>'Rate Design Int &amp; Trans'!Print_Titles</vt:lpstr>
      <vt:lpstr>'Rate Design Res'!Print_Titles</vt:lpstr>
      <vt:lpstr>'Weather Adj'!Print_Titles</vt:lpstr>
      <vt:lpstr>Return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Paul</dc:creator>
  <cp:lastModifiedBy>Mei Cass</cp:lastModifiedBy>
  <cp:lastPrinted>2018-05-02T18:30:45Z</cp:lastPrinted>
  <dcterms:created xsi:type="dcterms:W3CDTF">2012-10-25T22:13:28Z</dcterms:created>
  <dcterms:modified xsi:type="dcterms:W3CDTF">2018-05-17T17:01:16Z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0x0101006E56B4D1795A2E4DB2F0B01679ED314A00AF01FF7A9702F1469ADFA43808F0F949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