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2017\2017 WA Residential Exchange Filing\"/>
    </mc:Choice>
  </mc:AlternateContent>
  <bookViews>
    <workbookView xWindow="27885" yWindow="90" windowWidth="27435" windowHeight="12975" tabRatio="765"/>
  </bookViews>
  <sheets>
    <sheet name="Proposed ResEx Rate" sheetId="6" r:id="rId1"/>
    <sheet name="Table" sheetId="13" r:id="rId2"/>
    <sheet name="Washington ResX Balances" sheetId="5" r:id="rId3"/>
    <sheet name="Projected Benefits" sheetId="3" r:id="rId4"/>
    <sheet name="Projected kWhs" sheetId="1" r:id="rId5"/>
    <sheet name="Load Calculation" sheetId="11" r:id="rId6"/>
    <sheet name="July Unbilled" sheetId="12" r:id="rId7"/>
  </sheets>
  <definedNames>
    <definedName name="_xlnm.Print_Area" localSheetId="3">'Projected Benefits'!$A$1:$L$24</definedName>
  </definedNames>
  <calcPr calcId="152511"/>
</workbook>
</file>

<file path=xl/calcChain.xml><?xml version="1.0" encoding="utf-8"?>
<calcChain xmlns="http://schemas.openxmlformats.org/spreadsheetml/2006/main">
  <c r="R16" i="1" l="1"/>
  <c r="G19" i="6" l="1"/>
  <c r="G25" i="6" s="1"/>
  <c r="F11" i="13" l="1"/>
  <c r="F10" i="13" s="1"/>
  <c r="F9" i="13"/>
  <c r="F8" i="13"/>
  <c r="J8" i="13" s="1"/>
  <c r="J9" i="13"/>
  <c r="H10" i="13"/>
  <c r="J11" i="13" l="1"/>
  <c r="J10" i="13"/>
  <c r="G32" i="6" l="1"/>
  <c r="G31" i="6"/>
  <c r="D21" i="12" l="1"/>
  <c r="D27" i="1"/>
  <c r="C27" i="1"/>
  <c r="B27" i="1"/>
  <c r="F33" i="5" l="1"/>
  <c r="C25" i="1" l="1"/>
  <c r="N14" i="1"/>
  <c r="B24" i="1" l="1"/>
  <c r="B26" i="1" s="1"/>
  <c r="C18" i="12" l="1"/>
  <c r="C17" i="12"/>
  <c r="C16" i="12"/>
  <c r="C15" i="12"/>
  <c r="B20" i="12" l="1"/>
  <c r="D18" i="12"/>
  <c r="D17" i="12"/>
  <c r="D16" i="12"/>
  <c r="D15" i="12"/>
  <c r="D14" i="12"/>
  <c r="D20" i="12" l="1"/>
  <c r="D22" i="12" s="1"/>
  <c r="F16" i="5" s="1"/>
  <c r="F35" i="5" s="1"/>
  <c r="G26" i="6" l="1"/>
  <c r="F34" i="5"/>
  <c r="F10" i="5"/>
  <c r="N12" i="1" l="1"/>
  <c r="N13" i="1"/>
  <c r="N15" i="1"/>
  <c r="D7" i="11"/>
  <c r="G7" i="11"/>
  <c r="L7" i="11"/>
  <c r="D8" i="11"/>
  <c r="G8" i="11"/>
  <c r="H8" i="11" s="1"/>
  <c r="J8" i="11" s="1"/>
  <c r="K8" i="11"/>
  <c r="L8" i="11"/>
  <c r="D9" i="11"/>
  <c r="G9" i="11"/>
  <c r="H9" i="11" s="1"/>
  <c r="J9" i="11" s="1"/>
  <c r="K9" i="11"/>
  <c r="L9" i="11"/>
  <c r="D10" i="11"/>
  <c r="G10" i="11"/>
  <c r="H10" i="11" s="1"/>
  <c r="J10" i="11" s="1"/>
  <c r="K10" i="11"/>
  <c r="L10" i="11"/>
  <c r="D11" i="11"/>
  <c r="K11" i="11"/>
  <c r="F19" i="11"/>
  <c r="D12" i="11"/>
  <c r="G12" i="11"/>
  <c r="K12" i="11"/>
  <c r="L12" i="11"/>
  <c r="D13" i="11"/>
  <c r="G13" i="11"/>
  <c r="H13" i="11" s="1"/>
  <c r="J13" i="11" s="1"/>
  <c r="K13" i="11"/>
  <c r="L13" i="11"/>
  <c r="D14" i="11"/>
  <c r="G14" i="11"/>
  <c r="K14" i="11"/>
  <c r="L14" i="11"/>
  <c r="D15" i="11"/>
  <c r="G15" i="11"/>
  <c r="K15" i="11"/>
  <c r="L15" i="11"/>
  <c r="D16" i="11"/>
  <c r="G16" i="11"/>
  <c r="K16" i="11"/>
  <c r="L16" i="11"/>
  <c r="D17" i="11"/>
  <c r="G17" i="11"/>
  <c r="K17" i="11"/>
  <c r="L17" i="11"/>
  <c r="C19" i="11"/>
  <c r="G18" i="11"/>
  <c r="M17" i="11" l="1"/>
  <c r="M13" i="11"/>
  <c r="M16" i="11"/>
  <c r="H12" i="11"/>
  <c r="J12" i="11" s="1"/>
  <c r="H17" i="11"/>
  <c r="J17" i="11" s="1"/>
  <c r="M9" i="11"/>
  <c r="M8" i="11"/>
  <c r="E19" i="11"/>
  <c r="D18" i="11"/>
  <c r="D19" i="11" s="1"/>
  <c r="M15" i="11"/>
  <c r="M14" i="11"/>
  <c r="H18" i="11"/>
  <c r="J18" i="11" s="1"/>
  <c r="L18" i="11"/>
  <c r="H16" i="11"/>
  <c r="J16" i="11" s="1"/>
  <c r="H15" i="11"/>
  <c r="J15" i="11" s="1"/>
  <c r="H14" i="11"/>
  <c r="J14" i="11" s="1"/>
  <c r="M12" i="11"/>
  <c r="M10" i="11"/>
  <c r="H7" i="11"/>
  <c r="F23" i="11"/>
  <c r="F24" i="11" s="1"/>
  <c r="D8" i="3" s="1"/>
  <c r="L11" i="11"/>
  <c r="M11" i="11" s="1"/>
  <c r="G11" i="11"/>
  <c r="H11" i="11" s="1"/>
  <c r="J11" i="11" s="1"/>
  <c r="B19" i="11"/>
  <c r="E23" i="11" s="1"/>
  <c r="E24" i="11" s="1"/>
  <c r="D7" i="3" s="1"/>
  <c r="K7" i="11"/>
  <c r="K18" i="11"/>
  <c r="M18" i="11" s="1"/>
  <c r="G19" i="11" l="1"/>
  <c r="L19" i="11"/>
  <c r="K19" i="11"/>
  <c r="M7" i="11"/>
  <c r="M19" i="11" s="1"/>
  <c r="J7" i="11"/>
  <c r="J19" i="11" s="1"/>
  <c r="H19" i="11"/>
  <c r="L20" i="11" l="1"/>
  <c r="K20" i="11"/>
  <c r="M20" i="11" s="1"/>
  <c r="B28" i="1" l="1"/>
  <c r="F17" i="5" s="1"/>
  <c r="A19" i="1" l="1"/>
  <c r="A20" i="1"/>
  <c r="A21" i="1"/>
  <c r="A22" i="1"/>
  <c r="A23" i="1"/>
  <c r="A24" i="1"/>
  <c r="D25" i="1"/>
  <c r="C24" i="1" l="1"/>
  <c r="C26" i="1" s="1"/>
  <c r="C28" i="1" s="1"/>
  <c r="F21" i="5" s="1"/>
  <c r="D24" i="1"/>
  <c r="D26" i="1" s="1"/>
  <c r="D28" i="1" s="1"/>
  <c r="F25" i="5" s="1"/>
  <c r="F36" i="5" l="1"/>
  <c r="D14" i="3"/>
  <c r="D9" i="3" l="1"/>
  <c r="D16" i="3" s="1"/>
  <c r="D17" i="3" s="1"/>
  <c r="F9" i="3" s="1"/>
  <c r="E8" i="3" l="1"/>
  <c r="E7" i="3"/>
  <c r="F8" i="3" l="1"/>
  <c r="E36" i="6"/>
  <c r="E9" i="3" l="1"/>
  <c r="G33" i="6" l="1"/>
  <c r="G34" i="6" s="1"/>
  <c r="F14" i="5"/>
  <c r="F18" i="5" s="1"/>
  <c r="F19" i="5" l="1"/>
  <c r="F22" i="5" s="1"/>
  <c r="F23" i="5" l="1"/>
  <c r="F26" i="5" s="1"/>
  <c r="F37" i="5" l="1"/>
  <c r="F7" i="3"/>
  <c r="G7" i="6" s="1"/>
  <c r="F27" i="5" l="1"/>
  <c r="F38" i="5"/>
  <c r="G9" i="6" l="1"/>
  <c r="G11" i="6" s="1"/>
  <c r="G15" i="6" l="1"/>
  <c r="B16" i="1" l="1"/>
  <c r="F16" i="1"/>
  <c r="G16" i="1"/>
  <c r="M16" i="1"/>
  <c r="C16" i="1"/>
  <c r="K16" i="1"/>
  <c r="E16" i="1"/>
  <c r="H16" i="1"/>
  <c r="D16" i="1"/>
  <c r="J16" i="1"/>
  <c r="L16" i="1"/>
  <c r="I16" i="1"/>
  <c r="N11" i="1"/>
  <c r="N16" i="1" s="1"/>
  <c r="G17" i="6" s="1"/>
  <c r="G27" i="6" l="1"/>
  <c r="F36" i="6" l="1"/>
  <c r="G36" i="6" s="1"/>
  <c r="P16" i="1"/>
  <c r="R21" i="1" s="1"/>
  <c r="G38" i="6"/>
  <c r="C36" i="6"/>
  <c r="C38" i="6" l="1"/>
</calcChain>
</file>

<file path=xl/comments1.xml><?xml version="1.0" encoding="utf-8"?>
<comments xmlns="http://schemas.openxmlformats.org/spreadsheetml/2006/main">
  <authors>
    <author>Rff9457</author>
  </authors>
  <commentList>
    <comment ref="G13" authorId="0" shapeId="0">
      <text>
        <r>
          <rPr>
            <b/>
            <sz val="9"/>
            <color indexed="81"/>
            <rFont val="Tahoma"/>
            <family val="2"/>
          </rPr>
          <t>Rff9457:</t>
        </r>
        <r>
          <rPr>
            <sz val="9"/>
            <color indexed="81"/>
            <rFont val="Tahoma"/>
            <family val="2"/>
          </rPr>
          <t xml:space="preserve">
2015 WA GRC</t>
        </r>
      </text>
    </comment>
  </commentList>
</comments>
</file>

<file path=xl/comments2.xml><?xml version="1.0" encoding="utf-8"?>
<comments xmlns="http://schemas.openxmlformats.org/spreadsheetml/2006/main">
  <authors>
    <author>Rff9457</author>
  </authors>
  <commentList>
    <comment ref="B27" authorId="0" shapeId="0">
      <text>
        <r>
          <rPr>
            <b/>
            <sz val="9"/>
            <color indexed="81"/>
            <rFont val="Tahoma"/>
            <family val="2"/>
          </rPr>
          <t>Rff9457:</t>
        </r>
        <r>
          <rPr>
            <sz val="9"/>
            <color indexed="81"/>
            <rFont val="Tahoma"/>
            <family val="2"/>
          </rPr>
          <t xml:space="preserve">
2015 WA GRC</t>
        </r>
      </text>
    </comment>
  </commentList>
</comments>
</file>

<file path=xl/sharedStrings.xml><?xml version="1.0" encoding="utf-8"?>
<sst xmlns="http://schemas.openxmlformats.org/spreadsheetml/2006/main" count="154" uniqueCount="115">
  <si>
    <t>Total</t>
  </si>
  <si>
    <t>November</t>
  </si>
  <si>
    <t>Avista Utilities</t>
  </si>
  <si>
    <t>Percent</t>
  </si>
  <si>
    <t>Rate</t>
  </si>
  <si>
    <t>Revenue</t>
  </si>
  <si>
    <t>CF</t>
  </si>
  <si>
    <t>Amort</t>
  </si>
  <si>
    <t>Projected Kilowatt-hours</t>
  </si>
  <si>
    <t>$ (000's)</t>
  </si>
  <si>
    <t>and Residential Exchange Amortization</t>
  </si>
  <si>
    <t>Purchase at ASC</t>
  </si>
  <si>
    <t>Sale at PF Exchange Rate</t>
  </si>
  <si>
    <t>WA Credit Amount</t>
  </si>
  <si>
    <t>ID Credit Amount</t>
  </si>
  <si>
    <t xml:space="preserve">   Total</t>
  </si>
  <si>
    <t>Avista Corporation</t>
  </si>
  <si>
    <t>Actual and Projected</t>
  </si>
  <si>
    <t>Balance</t>
  </si>
  <si>
    <t>May credit received in July</t>
  </si>
  <si>
    <t>Amortization</t>
  </si>
  <si>
    <t>Interest</t>
  </si>
  <si>
    <t>June credit received in August</t>
  </si>
  <si>
    <t>July credit received in September</t>
  </si>
  <si>
    <t>(Actual)</t>
  </si>
  <si>
    <t>(Projected)</t>
  </si>
  <si>
    <t>August credit received in October</t>
  </si>
  <si>
    <t>(1)</t>
  </si>
  <si>
    <t>(1) Amortization at existing rate.  Does not include amortization at</t>
  </si>
  <si>
    <t>Proposed Rate</t>
  </si>
  <si>
    <t>Check</t>
  </si>
  <si>
    <t>Credits to be received</t>
  </si>
  <si>
    <t>Net benefit for rate adjustment</t>
  </si>
  <si>
    <t>Revenue requirement</t>
  </si>
  <si>
    <t>Proposed rate</t>
  </si>
  <si>
    <t>Rate Impact</t>
  </si>
  <si>
    <t>Proposed rate credit above</t>
  </si>
  <si>
    <t>Existing rate credit</t>
  </si>
  <si>
    <t xml:space="preserve">   Difference</t>
  </si>
  <si>
    <t>Basic charge</t>
  </si>
  <si>
    <t xml:space="preserve">   Rounded</t>
  </si>
  <si>
    <t>April credit received in June</t>
  </si>
  <si>
    <t>Projected Residential Exchange Program Benefits</t>
  </si>
  <si>
    <t>October</t>
  </si>
  <si>
    <t>Credit</t>
  </si>
  <si>
    <t xml:space="preserve">Avista Corp. </t>
  </si>
  <si>
    <t>BPA Residential Exchange Load Calculation</t>
  </si>
  <si>
    <t>Average</t>
  </si>
  <si>
    <t xml:space="preserve">Total </t>
  </si>
  <si>
    <t>WA</t>
  </si>
  <si>
    <t>ID</t>
  </si>
  <si>
    <t>August</t>
  </si>
  <si>
    <t>September</t>
  </si>
  <si>
    <t>December</t>
  </si>
  <si>
    <t>Projected Loads</t>
  </si>
  <si>
    <t>Total Credit</t>
  </si>
  <si>
    <t>Conversion factor</t>
  </si>
  <si>
    <t>Residential Exchange - State of Washington</t>
  </si>
  <si>
    <t>Washington Residential Exchange Account</t>
  </si>
  <si>
    <t>WA001</t>
  </si>
  <si>
    <t>WA012</t>
  </si>
  <si>
    <t>WA022</t>
  </si>
  <si>
    <t>WA032</t>
  </si>
  <si>
    <t>WA048</t>
  </si>
  <si>
    <t>State of Washington</t>
  </si>
  <si>
    <t>KWH (1)</t>
  </si>
  <si>
    <t>First 800 kWh</t>
  </si>
  <si>
    <t>Over 800 kWh</t>
  </si>
  <si>
    <t>Accounting Adjustment</t>
  </si>
  <si>
    <t>CLEG ADJUSTMENTS</t>
  </si>
  <si>
    <t>July</t>
  </si>
  <si>
    <t>June</t>
  </si>
  <si>
    <t>May</t>
  </si>
  <si>
    <t>April</t>
  </si>
  <si>
    <t>March</t>
  </si>
  <si>
    <t>February</t>
  </si>
  <si>
    <t>January</t>
  </si>
  <si>
    <t>Immaterial Difference</t>
  </si>
  <si>
    <t>Percent rate</t>
  </si>
  <si>
    <t>AVISTA CORPORATION</t>
  </si>
  <si>
    <t>RESIDENTIAL &amp; FARM ENERGY RATE ADJUSTMENT CREDIT</t>
  </si>
  <si>
    <t>Credit Rate</t>
  </si>
  <si>
    <t>On/After</t>
  </si>
  <si>
    <t>Schedule</t>
  </si>
  <si>
    <t>kWh</t>
  </si>
  <si>
    <t>(a)</t>
  </si>
  <si>
    <t>(e)</t>
  </si>
  <si>
    <t>(g)</t>
  </si>
  <si>
    <t>a*c*e=g</t>
  </si>
  <si>
    <t>Schedule Totals</t>
  </si>
  <si>
    <t>Washington portion of 2017 fiscal year benefit amount</t>
  </si>
  <si>
    <t>Estimated under-refunded balance at end of existing rate</t>
  </si>
  <si>
    <t>kWh (000's)</t>
  </si>
  <si>
    <t>Per Verification E-mail sent to BPA 05/15/2017</t>
  </si>
  <si>
    <t>November 1, 2017 - October 31, 2018</t>
  </si>
  <si>
    <t>Projected kWh 11/1/17 - 10/31/18</t>
  </si>
  <si>
    <t>new rate proposed to be effective November 1, 2017.</t>
  </si>
  <si>
    <t>Balance 5/31/17 (Actual)</t>
  </si>
  <si>
    <t>Total Oct-17 thru Sep-18</t>
  </si>
  <si>
    <t>(1) Average of 2015 and 2016 qualifying kilowatt-hours by state.</t>
  </si>
  <si>
    <t>Bill for 938 kWh at present rates with all adders</t>
  </si>
  <si>
    <t>Before 11/1/17</t>
  </si>
  <si>
    <t>Amortization Adjustment - July Unbilled</t>
  </si>
  <si>
    <t xml:space="preserve">JULY 2017 WASHINGTON ELECTRIC </t>
  </si>
  <si>
    <t>JULY UNBILLED</t>
  </si>
  <si>
    <t xml:space="preserve">Incremental </t>
  </si>
  <si>
    <t>Rate Change</t>
  </si>
  <si>
    <t>Present Billed Revenue</t>
  </si>
  <si>
    <t>Proposed</t>
  </si>
  <si>
    <t>Present</t>
  </si>
  <si>
    <t>Change</t>
  </si>
  <si>
    <t>Estimated under-refunded balance</t>
  </si>
  <si>
    <t>Revenue Conversion factor</t>
  </si>
  <si>
    <t>Revenue Requirement</t>
  </si>
  <si>
    <t>Washington portion of benefit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</si>
</sst>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5" formatCode="&quot;$&quot;#,##0_);\(&quot;$&quot;#,##0\)"/>
    <numFmt numFmtId="44" formatCode="_(&quot;$&quot;* #,##0.00_);_(&quot;$&quot;* \(#,##0.00\);_(&quot;$&quot;* &quot;-&quot;??_);_(@_)"/>
    <numFmt numFmtId="43" formatCode="_(* #,##0.00_);_(* \(#,##0.00\);_(* &quot;-&quot;??_);_(@_)"/>
    <numFmt numFmtId="164" formatCode="[$-409]mmm\-yy;@"/>
    <numFmt numFmtId="165" formatCode="&quot;$&quot;#,##0.00000"/>
    <numFmt numFmtId="166" formatCode="#,##0.000000"/>
    <numFmt numFmtId="167" formatCode="&quot;$&quot;#,##0"/>
    <numFmt numFmtId="168" formatCode="&quot;$&quot;#,##0.00"/>
    <numFmt numFmtId="169" formatCode="&quot;$&quot;#,##0.00000_);\(&quot;$&quot;#,##0.00000\)"/>
    <numFmt numFmtId="170" formatCode="&quot;$&quot;#,##0.000"/>
    <numFmt numFmtId="171" formatCode="_(* #,##0_);_(* \(#,##0\);_(* &quot;-&quot;??_);_(@_)"/>
    <numFmt numFmtId="172" formatCode="_(* #,##0.00000_);_(* \(#,##0.00000\);_(* &quot;-&quot;??_);_(@_)"/>
    <numFmt numFmtId="173" formatCode="#,##0.0000"/>
    <numFmt numFmtId="174" formatCode="0.0%"/>
    <numFmt numFmtId="175" formatCode="0.0000000%"/>
    <numFmt numFmtId="176" formatCode="&quot;$&quot;#,##0.0000"/>
    <numFmt numFmtId="177" formatCode="mmm\ yy"/>
    <numFmt numFmtId="178" formatCode="#,##0,;\-#,##0,"/>
    <numFmt numFmtId="179" formatCode="0.000000"/>
    <numFmt numFmtId="180" formatCode="0.00_)"/>
    <numFmt numFmtId="181" formatCode="0.0000%"/>
    <numFmt numFmtId="182" formatCode="d/mmm/yy"/>
    <numFmt numFmtId="183" formatCode="#,##0.000\¢\ ;\(#,##0.000\¢\)"/>
    <numFmt numFmtId="184" formatCode="#,##0\ ;\(#,##0\)"/>
    <numFmt numFmtId="185" formatCode="_(&quot;$&quot;* #,##0.00000_);_(&quot;$&quot;* \(#,##0.00000\);_(&quot;$&quot;* &quot;-&quot;??_);_(@_)"/>
    <numFmt numFmtId="186" formatCode="_(&quot;$&quot;* #,##0_);_(&quot;$&quot;* \(#,##0\);_(&quot;$&quot;* &quot;-&quot;??_);_(@_)"/>
  </numFmts>
  <fonts count="32">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theme="1"/>
      <name val="Arial"/>
      <family val="2"/>
    </font>
    <font>
      <sz val="10"/>
      <color theme="1"/>
      <name val="Arial"/>
      <family val="2"/>
    </font>
    <font>
      <sz val="10"/>
      <name val="Arial"/>
      <family val="2"/>
    </font>
    <font>
      <sz val="10"/>
      <color theme="1"/>
      <name val="Tahoma"/>
      <family val="2"/>
    </font>
    <font>
      <b/>
      <sz val="10"/>
      <color theme="1"/>
      <name val="Tahoma"/>
      <family val="2"/>
    </font>
    <font>
      <sz val="10"/>
      <name val="MS Sans Serif"/>
      <family val="2"/>
    </font>
    <font>
      <sz val="10"/>
      <name val="Arial"/>
      <family val="2"/>
    </font>
    <font>
      <b/>
      <sz val="10"/>
      <name val="Arial"/>
      <family val="2"/>
    </font>
    <font>
      <u/>
      <sz val="10"/>
      <name val="Arial"/>
      <family val="2"/>
    </font>
    <font>
      <sz val="10"/>
      <name val="Arial"/>
      <family val="2"/>
    </font>
    <font>
      <sz val="10"/>
      <color rgb="FF0000FF"/>
      <name val="Arial"/>
      <family val="2"/>
    </font>
    <font>
      <b/>
      <sz val="11"/>
      <color theme="1"/>
      <name val="Calibri"/>
      <family val="2"/>
      <scheme val="minor"/>
    </font>
    <font>
      <b/>
      <sz val="10"/>
      <name val="Helv"/>
    </font>
    <font>
      <sz val="10"/>
      <name val="Tahoma"/>
      <family val="2"/>
    </font>
    <font>
      <sz val="8"/>
      <name val="Arial"/>
      <family val="2"/>
    </font>
    <font>
      <b/>
      <sz val="12"/>
      <name val="Helv"/>
    </font>
    <font>
      <b/>
      <sz val="11"/>
      <name val="Helv"/>
    </font>
    <font>
      <b/>
      <i/>
      <sz val="16"/>
      <name val="Helv"/>
    </font>
    <font>
      <sz val="10"/>
      <name val="Geneva"/>
    </font>
    <font>
      <sz val="10"/>
      <name val="Helv"/>
    </font>
    <font>
      <u/>
      <sz val="10"/>
      <name val="Helv"/>
    </font>
    <font>
      <sz val="10"/>
      <color rgb="FF1015D2"/>
      <name val="Helv"/>
    </font>
    <font>
      <sz val="10"/>
      <name val="Times New Roman"/>
      <family val="1"/>
    </font>
    <font>
      <b/>
      <sz val="9"/>
      <color indexed="81"/>
      <name val="Tahoma"/>
      <family val="2"/>
    </font>
    <font>
      <sz val="9"/>
      <color indexed="81"/>
      <name val="Tahoma"/>
      <family val="2"/>
    </font>
    <font>
      <sz val="12"/>
      <color theme="1"/>
      <name val="Times New Roman"/>
      <family val="1"/>
    </font>
  </fonts>
  <fills count="5">
    <fill>
      <patternFill patternType="none"/>
    </fill>
    <fill>
      <patternFill patternType="gray125"/>
    </fill>
    <fill>
      <patternFill patternType="solid">
        <fgColor theme="3" tint="0.79998168889431442"/>
        <bgColor indexed="64"/>
      </patternFill>
    </fill>
    <fill>
      <patternFill patternType="solid">
        <fgColor indexed="22"/>
        <bgColor indexed="64"/>
      </patternFill>
    </fill>
    <fill>
      <patternFill patternType="solid">
        <fgColor indexed="26"/>
        <bgColor indexed="64"/>
      </patternFill>
    </fill>
  </fills>
  <borders count="7">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23">
    <xf numFmtId="0" fontId="0" fillId="0" borderId="0"/>
    <xf numFmtId="44"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8" fillId="0" borderId="0">
      <alignment readingOrder="1"/>
    </xf>
    <xf numFmtId="43" fontId="8" fillId="0" borderId="0" applyFont="0" applyFill="0" applyBorder="0" applyAlignment="0" applyProtection="0"/>
    <xf numFmtId="9" fontId="8" fillId="0" borderId="0" applyFont="0" applyFill="0" applyBorder="0" applyAlignment="0" applyProtection="0"/>
    <xf numFmtId="0" fontId="5" fillId="0" borderId="0"/>
    <xf numFmtId="3" fontId="7" fillId="0" borderId="0"/>
    <xf numFmtId="3" fontId="7" fillId="0" borderId="0"/>
    <xf numFmtId="0" fontId="4" fillId="0" borderId="0"/>
    <xf numFmtId="43" fontId="4" fillId="0" borderId="0" applyFont="0" applyFill="0" applyBorder="0" applyAlignment="0" applyProtection="0"/>
    <xf numFmtId="0" fontId="8" fillId="0" borderId="0"/>
    <xf numFmtId="0" fontId="9" fillId="0" borderId="0"/>
    <xf numFmtId="0" fontId="8" fillId="0" borderId="0"/>
    <xf numFmtId="43" fontId="9" fillId="0" borderId="0" applyFont="0" applyFill="0" applyBorder="0" applyAlignment="0" applyProtection="0"/>
    <xf numFmtId="9" fontId="9" fillId="0" borderId="0" applyFont="0" applyFill="0" applyBorder="0" applyAlignment="0" applyProtection="0"/>
    <xf numFmtId="0" fontId="11" fillId="0" borderId="0" applyNumberFormat="0" applyFont="0" applyFill="0" applyBorder="0" applyAlignment="0" applyProtection="0">
      <alignment horizontal="left"/>
    </xf>
    <xf numFmtId="0" fontId="12" fillId="0" borderId="0"/>
    <xf numFmtId="43" fontId="12" fillId="0" borderId="0" applyFont="0" applyFill="0" applyBorder="0" applyAlignment="0" applyProtection="0"/>
    <xf numFmtId="44" fontId="12" fillId="0" borderId="0" applyFont="0" applyFill="0" applyBorder="0" applyAlignment="0" applyProtection="0"/>
    <xf numFmtId="0" fontId="15" fillId="0" borderId="0">
      <alignment readingOrder="1"/>
    </xf>
    <xf numFmtId="0" fontId="3" fillId="0" borderId="0"/>
    <xf numFmtId="0" fontId="7" fillId="0" borderId="0"/>
    <xf numFmtId="43" fontId="7" fillId="0" borderId="0" applyFont="0" applyFill="0" applyBorder="0" applyAlignment="0" applyProtection="0"/>
    <xf numFmtId="0" fontId="18" fillId="0" borderId="0"/>
    <xf numFmtId="43" fontId="19"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38" fontId="20" fillId="3" borderId="0" applyNumberFormat="0" applyBorder="0" applyAlignment="0" applyProtection="0"/>
    <xf numFmtId="0" fontId="21" fillId="0" borderId="0">
      <alignment horizontal="left"/>
    </xf>
    <xf numFmtId="10" fontId="20" fillId="4" borderId="5" applyNumberFormat="0" applyBorder="0" applyAlignment="0" applyProtection="0"/>
    <xf numFmtId="0" fontId="22" fillId="0" borderId="6"/>
    <xf numFmtId="180" fontId="23" fillId="0" borderId="0"/>
    <xf numFmtId="0" fontId="2" fillId="0" borderId="0"/>
    <xf numFmtId="0" fontId="15" fillId="0" borderId="0">
      <alignment readingOrder="1"/>
    </xf>
    <xf numFmtId="0" fontId="15" fillId="0" borderId="0">
      <alignment readingOrder="1"/>
    </xf>
    <xf numFmtId="0" fontId="15" fillId="0" borderId="0">
      <alignment readingOrder="1"/>
    </xf>
    <xf numFmtId="0" fontId="15" fillId="0" borderId="0">
      <alignment readingOrder="1"/>
    </xf>
    <xf numFmtId="0" fontId="15" fillId="0" borderId="0">
      <alignment readingOrder="1"/>
    </xf>
    <xf numFmtId="0" fontId="15" fillId="0" borderId="0">
      <alignment readingOrder="1"/>
    </xf>
    <xf numFmtId="0" fontId="15" fillId="0" borderId="0">
      <alignment readingOrder="1"/>
    </xf>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alignment readingOrder="1"/>
    </xf>
    <xf numFmtId="0" fontId="15" fillId="0" borderId="0"/>
    <xf numFmtId="3" fontId="7" fillId="0" borderId="0"/>
    <xf numFmtId="3" fontId="7" fillId="0" borderId="0"/>
    <xf numFmtId="3" fontId="7" fillId="0" borderId="0"/>
    <xf numFmtId="0" fontId="8" fillId="0" borderId="0">
      <alignment readingOrder="1"/>
    </xf>
    <xf numFmtId="0" fontId="2" fillId="0" borderId="0"/>
    <xf numFmtId="0" fontId="8" fillId="0" borderId="0"/>
    <xf numFmtId="0" fontId="2" fillId="0" borderId="0"/>
    <xf numFmtId="0" fontId="7" fillId="0" borderId="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2" fillId="0" borderId="0"/>
    <xf numFmtId="0" fontId="15" fillId="0" borderId="0">
      <alignment readingOrder="1"/>
    </xf>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 fillId="0" borderId="0"/>
    <xf numFmtId="9" fontId="8" fillId="0" borderId="0" applyFont="0" applyFill="0" applyBorder="0" applyAlignment="0" applyProtection="0"/>
    <xf numFmtId="0" fontId="15" fillId="0" borderId="0">
      <alignment readingOrder="1"/>
    </xf>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5" fillId="0" borderId="0">
      <alignment readingOrder="1"/>
    </xf>
    <xf numFmtId="9" fontId="8" fillId="0" borderId="0" applyFont="0" applyFill="0" applyBorder="0" applyAlignment="0" applyProtection="0"/>
    <xf numFmtId="0" fontId="15" fillId="0" borderId="0">
      <alignment readingOrder="1"/>
    </xf>
    <xf numFmtId="0" fontId="15" fillId="0" borderId="0">
      <alignment readingOrder="1"/>
    </xf>
    <xf numFmtId="0" fontId="15" fillId="0" borderId="0">
      <alignment readingOrder="1"/>
    </xf>
    <xf numFmtId="0" fontId="15" fillId="0" borderId="0">
      <alignment readingOrder="1"/>
    </xf>
    <xf numFmtId="0" fontId="15" fillId="0" borderId="0">
      <alignment readingOrder="1"/>
    </xf>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24"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8" fillId="0" borderId="0"/>
  </cellStyleXfs>
  <cellXfs count="177">
    <xf numFmtId="0" fontId="0" fillId="0" borderId="0" xfId="0"/>
    <xf numFmtId="0" fontId="6" fillId="0" borderId="0" xfId="0" applyFont="1"/>
    <xf numFmtId="4" fontId="0" fillId="0" borderId="0" xfId="0" applyNumberFormat="1"/>
    <xf numFmtId="14" fontId="0" fillId="0" borderId="0" xfId="0" applyNumberFormat="1"/>
    <xf numFmtId="168" fontId="0" fillId="0" borderId="0" xfId="0" applyNumberFormat="1"/>
    <xf numFmtId="0" fontId="0" fillId="0" borderId="0" xfId="0" applyFill="1"/>
    <xf numFmtId="3" fontId="8" fillId="0" borderId="0" xfId="0" applyNumberFormat="1" applyFont="1"/>
    <xf numFmtId="3" fontId="8" fillId="0" borderId="1" xfId="0" applyNumberFormat="1" applyFont="1" applyBorder="1"/>
    <xf numFmtId="0" fontId="0" fillId="0" borderId="0" xfId="0" quotePrefix="1" applyFill="1"/>
    <xf numFmtId="43" fontId="0" fillId="0" borderId="0" xfId="2" applyFont="1" applyFill="1"/>
    <xf numFmtId="0" fontId="10" fillId="0" borderId="0" xfId="15" applyFont="1"/>
    <xf numFmtId="0" fontId="9" fillId="0" borderId="0" xfId="15"/>
    <xf numFmtId="0" fontId="9" fillId="0" borderId="0" xfId="15" applyAlignment="1">
      <alignment horizontal="center"/>
    </xf>
    <xf numFmtId="0" fontId="10" fillId="0" borderId="0" xfId="15" applyFont="1" applyFill="1" applyAlignment="1">
      <alignment horizontal="center"/>
    </xf>
    <xf numFmtId="0" fontId="10" fillId="0" borderId="0" xfId="15" applyFont="1" applyAlignment="1">
      <alignment horizontal="center"/>
    </xf>
    <xf numFmtId="0" fontId="10" fillId="0" borderId="1" xfId="15" applyFont="1" applyFill="1" applyBorder="1" applyAlignment="1">
      <alignment horizontal="center"/>
    </xf>
    <xf numFmtId="171" fontId="9" fillId="0" borderId="0" xfId="15" applyNumberFormat="1"/>
    <xf numFmtId="171" fontId="9" fillId="0" borderId="0" xfId="15" applyNumberFormat="1" applyFill="1"/>
    <xf numFmtId="171" fontId="10" fillId="0" borderId="4" xfId="17" applyNumberFormat="1" applyFont="1" applyBorder="1"/>
    <xf numFmtId="171" fontId="10" fillId="0" borderId="4" xfId="17" applyNumberFormat="1" applyFont="1" applyFill="1" applyBorder="1"/>
    <xf numFmtId="9" fontId="9" fillId="0" borderId="0" xfId="15" applyNumberFormat="1"/>
    <xf numFmtId="171" fontId="10" fillId="0" borderId="0" xfId="15" applyNumberFormat="1" applyFont="1"/>
    <xf numFmtId="43" fontId="0" fillId="0" borderId="0" xfId="2" applyFont="1"/>
    <xf numFmtId="171" fontId="0" fillId="0" borderId="0" xfId="0" applyNumberFormat="1"/>
    <xf numFmtId="175" fontId="0" fillId="0" borderId="0" xfId="3" applyNumberFormat="1" applyFont="1"/>
    <xf numFmtId="0" fontId="8" fillId="0" borderId="0" xfId="0" applyFont="1" applyBorder="1" applyAlignment="1"/>
    <xf numFmtId="0" fontId="8" fillId="0" borderId="0" xfId="0" applyFont="1"/>
    <xf numFmtId="167" fontId="8" fillId="0" borderId="0" xfId="0" applyNumberFormat="1" applyFont="1"/>
    <xf numFmtId="0" fontId="8" fillId="0" borderId="1" xfId="0" applyFont="1" applyFill="1" applyBorder="1"/>
    <xf numFmtId="176" fontId="8" fillId="0" borderId="0" xfId="0" applyNumberFormat="1" applyFont="1"/>
    <xf numFmtId="3" fontId="8" fillId="0" borderId="1" xfId="0" applyNumberFormat="1" applyFont="1" applyFill="1" applyBorder="1"/>
    <xf numFmtId="165" fontId="8" fillId="0" borderId="2" xfId="0" applyNumberFormat="1" applyFont="1" applyBorder="1"/>
    <xf numFmtId="165" fontId="8" fillId="0" borderId="0" xfId="0" applyNumberFormat="1" applyFont="1"/>
    <xf numFmtId="0" fontId="14" fillId="0" borderId="0" xfId="0" applyFont="1"/>
    <xf numFmtId="165" fontId="8" fillId="0" borderId="1" xfId="0" applyNumberFormat="1" applyFont="1" applyBorder="1"/>
    <xf numFmtId="165" fontId="8" fillId="0" borderId="3" xfId="0" applyNumberFormat="1" applyFont="1" applyBorder="1"/>
    <xf numFmtId="0" fontId="8" fillId="0" borderId="0" xfId="0" applyFont="1" applyFill="1"/>
    <xf numFmtId="168" fontId="8" fillId="0" borderId="0" xfId="0" applyNumberFormat="1" applyFont="1" applyFill="1"/>
    <xf numFmtId="168" fontId="8" fillId="0" borderId="0" xfId="0" applyNumberFormat="1" applyFont="1"/>
    <xf numFmtId="169" fontId="8" fillId="0" borderId="0" xfId="1" applyNumberFormat="1" applyFont="1" applyFill="1"/>
    <xf numFmtId="170" fontId="8" fillId="0" borderId="0" xfId="0" applyNumberFormat="1" applyFont="1"/>
    <xf numFmtId="165" fontId="8" fillId="0" borderId="0" xfId="0" applyNumberFormat="1" applyFont="1" applyFill="1"/>
    <xf numFmtId="174" fontId="8" fillId="0" borderId="0" xfId="3" applyNumberFormat="1" applyFont="1"/>
    <xf numFmtId="0" fontId="8" fillId="0" borderId="0" xfId="0" applyFont="1" applyBorder="1"/>
    <xf numFmtId="0" fontId="8" fillId="0" borderId="0" xfId="0" applyFont="1" applyBorder="1" applyAlignment="1">
      <alignment horizontal="center"/>
    </xf>
    <xf numFmtId="0" fontId="14" fillId="0" borderId="0" xfId="0" applyFont="1" applyAlignment="1">
      <alignment horizontal="center"/>
    </xf>
    <xf numFmtId="3" fontId="8" fillId="0" borderId="0" xfId="0" applyNumberFormat="1" applyFont="1" applyFill="1"/>
    <xf numFmtId="10" fontId="8" fillId="0" borderId="0" xfId="0" applyNumberFormat="1" applyFont="1"/>
    <xf numFmtId="10" fontId="8" fillId="0" borderId="1" xfId="0" applyNumberFormat="1" applyFont="1" applyBorder="1"/>
    <xf numFmtId="167" fontId="8" fillId="0" borderId="0" xfId="0" applyNumberFormat="1" applyFont="1" applyFill="1"/>
    <xf numFmtId="0" fontId="8" fillId="0" borderId="0" xfId="0" applyFont="1" applyFill="1" applyBorder="1"/>
    <xf numFmtId="173" fontId="8" fillId="0" borderId="0" xfId="0" applyNumberFormat="1" applyFont="1" applyFill="1"/>
    <xf numFmtId="167" fontId="8" fillId="0" borderId="0" xfId="0" applyNumberFormat="1" applyFont="1" applyFill="1" applyBorder="1"/>
    <xf numFmtId="3" fontId="8" fillId="0" borderId="0" xfId="2" applyNumberFormat="1" applyFont="1" applyFill="1"/>
    <xf numFmtId="171" fontId="8" fillId="0" borderId="0" xfId="0" applyNumberFormat="1" applyFont="1" applyFill="1" applyBorder="1"/>
    <xf numFmtId="164" fontId="8" fillId="0" borderId="0" xfId="0" applyNumberFormat="1" applyFont="1" applyAlignment="1">
      <alignment horizontal="center"/>
    </xf>
    <xf numFmtId="0" fontId="8" fillId="0" borderId="0" xfId="0" applyFont="1" applyAlignment="1">
      <alignment horizontal="center"/>
    </xf>
    <xf numFmtId="164" fontId="14" fillId="0" borderId="0" xfId="0" applyNumberFormat="1" applyFont="1" applyAlignment="1">
      <alignment horizontal="center"/>
    </xf>
    <xf numFmtId="0" fontId="8" fillId="0" borderId="0" xfId="0" applyFont="1" applyAlignment="1">
      <alignment horizontal="left"/>
    </xf>
    <xf numFmtId="164" fontId="8" fillId="0" borderId="0" xfId="0" applyNumberFormat="1" applyFont="1"/>
    <xf numFmtId="0" fontId="8" fillId="0" borderId="0" xfId="0" applyFont="1" applyBorder="1">
      <alignment readingOrder="1"/>
    </xf>
    <xf numFmtId="0" fontId="8" fillId="0" borderId="0" xfId="0" applyFont="1">
      <alignment readingOrder="1"/>
    </xf>
    <xf numFmtId="3" fontId="8" fillId="0" borderId="0" xfId="0" applyNumberFormat="1" applyFont="1" applyBorder="1"/>
    <xf numFmtId="177" fontId="13" fillId="0" borderId="0" xfId="0" applyNumberFormat="1" applyFont="1" applyBorder="1">
      <alignment readingOrder="1"/>
    </xf>
    <xf numFmtId="177" fontId="13" fillId="0" borderId="0" xfId="23" applyNumberFormat="1" applyFont="1" applyBorder="1">
      <alignment readingOrder="1"/>
    </xf>
    <xf numFmtId="43" fontId="8" fillId="0" borderId="0" xfId="2" applyFont="1" applyFill="1"/>
    <xf numFmtId="43" fontId="0" fillId="0" borderId="1" xfId="2" applyFont="1" applyFill="1" applyBorder="1"/>
    <xf numFmtId="0" fontId="14" fillId="0" borderId="0" xfId="0" applyFont="1" applyFill="1"/>
    <xf numFmtId="0" fontId="0" fillId="0" borderId="0" xfId="0" applyBorder="1">
      <alignment readingOrder="1"/>
    </xf>
    <xf numFmtId="165" fontId="8" fillId="0" borderId="0" xfId="0" applyNumberFormat="1" applyFont="1" applyFill="1" applyBorder="1"/>
    <xf numFmtId="0" fontId="8" fillId="0" borderId="0" xfId="0" applyFont="1" applyAlignment="1"/>
    <xf numFmtId="166" fontId="8" fillId="0" borderId="1" xfId="0" applyNumberFormat="1" applyFont="1" applyFill="1" applyBorder="1"/>
    <xf numFmtId="0" fontId="10" fillId="0" borderId="1" xfId="15" applyFont="1" applyBorder="1" applyAlignment="1">
      <alignment horizontal="center"/>
    </xf>
    <xf numFmtId="0" fontId="10" fillId="0" borderId="1" xfId="15" applyFont="1" applyFill="1" applyBorder="1" applyAlignment="1">
      <alignment horizontal="center" wrapText="1"/>
    </xf>
    <xf numFmtId="0" fontId="7" fillId="0" borderId="0" xfId="25"/>
    <xf numFmtId="0" fontId="17" fillId="0" borderId="0" xfId="0" applyFont="1" applyBorder="1" applyAlignment="1">
      <alignment horizontal="center"/>
    </xf>
    <xf numFmtId="172" fontId="9" fillId="0" borderId="0" xfId="26" applyNumberFormat="1" applyFont="1"/>
    <xf numFmtId="172" fontId="7" fillId="0" borderId="0" xfId="17" applyNumberFormat="1" applyFont="1"/>
    <xf numFmtId="172" fontId="7" fillId="0" borderId="0" xfId="17" applyNumberFormat="1" applyFont="1" applyAlignment="1">
      <alignment horizontal="center"/>
    </xf>
    <xf numFmtId="171" fontId="17" fillId="0" borderId="0" xfId="0" applyNumberFormat="1" applyFont="1" applyBorder="1" applyAlignment="1">
      <alignment horizontal="center"/>
    </xf>
    <xf numFmtId="171" fontId="17" fillId="0" borderId="4" xfId="2" applyNumberFormat="1" applyFont="1" applyBorder="1" applyAlignment="1">
      <alignment horizontal="center"/>
    </xf>
    <xf numFmtId="171" fontId="7" fillId="0" borderId="0" xfId="17" applyNumberFormat="1" applyFont="1"/>
    <xf numFmtId="171" fontId="7" fillId="0" borderId="0" xfId="17" applyNumberFormat="1" applyFont="1" applyFill="1" applyAlignment="1">
      <alignment horizontal="center"/>
    </xf>
    <xf numFmtId="171" fontId="7" fillId="0" borderId="0" xfId="17" applyNumberFormat="1" applyFont="1" applyFill="1"/>
    <xf numFmtId="171" fontId="17" fillId="0" borderId="0" xfId="2" applyNumberFormat="1" applyFont="1" applyBorder="1" applyAlignment="1">
      <alignment horizontal="center"/>
    </xf>
    <xf numFmtId="171" fontId="17" fillId="0" borderId="1" xfId="2" applyNumberFormat="1" applyFont="1" applyFill="1" applyBorder="1" applyAlignment="1">
      <alignment horizontal="center"/>
    </xf>
    <xf numFmtId="0" fontId="17" fillId="0" borderId="1" xfId="0" applyFont="1" applyBorder="1" applyAlignment="1">
      <alignment horizontal="center"/>
    </xf>
    <xf numFmtId="167" fontId="8" fillId="0" borderId="0" xfId="0" applyNumberFormat="1" applyFont="1" applyBorder="1"/>
    <xf numFmtId="166" fontId="8" fillId="0" borderId="0" xfId="0" applyNumberFormat="1" applyFont="1" applyFill="1" applyBorder="1"/>
    <xf numFmtId="0" fontId="13" fillId="0" borderId="0" xfId="0" applyFont="1" applyAlignment="1">
      <alignment horizontal="right"/>
    </xf>
    <xf numFmtId="178" fontId="15" fillId="0" borderId="0" xfId="80" applyNumberFormat="1" applyFill="1">
      <alignment readingOrder="1"/>
    </xf>
    <xf numFmtId="178" fontId="15" fillId="0" borderId="0" xfId="86" applyNumberFormat="1" applyFill="1">
      <alignment readingOrder="1"/>
    </xf>
    <xf numFmtId="0" fontId="16" fillId="0" borderId="0" xfId="0" applyFont="1" applyFill="1" applyBorder="1" applyAlignment="1">
      <alignment horizontal="left" indent="1" readingOrder="1"/>
    </xf>
    <xf numFmtId="178" fontId="15" fillId="0" borderId="0" xfId="90" applyNumberFormat="1" applyFill="1">
      <alignment readingOrder="1"/>
    </xf>
    <xf numFmtId="171" fontId="8" fillId="0" borderId="0" xfId="2" applyNumberFormat="1" applyFont="1" applyFill="1"/>
    <xf numFmtId="178" fontId="15" fillId="0" borderId="0" xfId="92" applyNumberFormat="1" applyFill="1">
      <alignment readingOrder="1"/>
    </xf>
    <xf numFmtId="178" fontId="15" fillId="0" borderId="0" xfId="93" applyNumberFormat="1" applyFill="1">
      <alignment readingOrder="1"/>
    </xf>
    <xf numFmtId="181" fontId="0" fillId="0" borderId="0" xfId="3" applyNumberFormat="1" applyFont="1"/>
    <xf numFmtId="178" fontId="15" fillId="0" borderId="0" xfId="94" applyNumberFormat="1" applyFill="1">
      <alignment readingOrder="1"/>
    </xf>
    <xf numFmtId="178" fontId="0" fillId="0" borderId="0" xfId="0" applyNumberFormat="1" applyFill="1" applyBorder="1">
      <alignment readingOrder="1"/>
    </xf>
    <xf numFmtId="178" fontId="15" fillId="0" borderId="0" xfId="95" applyNumberFormat="1" applyFill="1">
      <alignment readingOrder="1"/>
    </xf>
    <xf numFmtId="171" fontId="8" fillId="0" borderId="0" xfId="2" applyNumberFormat="1" applyFont="1"/>
    <xf numFmtId="178" fontId="15" fillId="0" borderId="0" xfId="96" applyNumberFormat="1" applyFill="1">
      <alignment readingOrder="1"/>
    </xf>
    <xf numFmtId="0" fontId="8" fillId="0" borderId="0" xfId="0" applyFont="1" applyAlignment="1">
      <alignment horizontal="right"/>
    </xf>
    <xf numFmtId="0" fontId="0" fillId="0" borderId="0" xfId="0"/>
    <xf numFmtId="0" fontId="8" fillId="0" borderId="0" xfId="122"/>
    <xf numFmtId="0" fontId="25" fillId="0" borderId="0" xfId="122" applyFont="1" applyAlignment="1" applyProtection="1">
      <alignment horizontal="center"/>
    </xf>
    <xf numFmtId="0" fontId="25" fillId="0" borderId="0" xfId="122" applyFont="1" applyAlignment="1" applyProtection="1">
      <alignment horizontal="center"/>
      <protection locked="0"/>
    </xf>
    <xf numFmtId="0" fontId="26" fillId="0" borderId="0" xfId="122" applyFont="1" applyAlignment="1" applyProtection="1">
      <alignment horizontal="centerContinuous"/>
    </xf>
    <xf numFmtId="0" fontId="25" fillId="0" borderId="0" xfId="122" applyFont="1" applyAlignment="1" applyProtection="1">
      <alignment horizontal="centerContinuous"/>
    </xf>
    <xf numFmtId="0" fontId="26" fillId="0" borderId="0" xfId="122" applyFont="1" applyAlignment="1" applyProtection="1">
      <alignment horizontal="left"/>
    </xf>
    <xf numFmtId="0" fontId="26" fillId="0" borderId="0" xfId="122" applyFont="1" applyBorder="1" applyAlignment="1" applyProtection="1">
      <alignment horizontal="center"/>
    </xf>
    <xf numFmtId="182" fontId="26" fillId="0" borderId="0" xfId="122" applyNumberFormat="1" applyFont="1" applyAlignment="1" applyProtection="1">
      <alignment horizontal="center"/>
    </xf>
    <xf numFmtId="0" fontId="26" fillId="0" borderId="0" xfId="122" applyFont="1" applyAlignment="1" applyProtection="1">
      <alignment horizontal="center"/>
    </xf>
    <xf numFmtId="0" fontId="25" fillId="0" borderId="0" xfId="122" applyFont="1" applyBorder="1" applyAlignment="1" applyProtection="1">
      <alignment horizontal="center"/>
    </xf>
    <xf numFmtId="43" fontId="25" fillId="0" borderId="0" xfId="2" applyFont="1" applyProtection="1"/>
    <xf numFmtId="4" fontId="25" fillId="0" borderId="0" xfId="122" applyNumberFormat="1" applyFont="1" applyProtection="1"/>
    <xf numFmtId="43" fontId="25" fillId="0" borderId="1" xfId="2" applyFont="1" applyBorder="1" applyProtection="1"/>
    <xf numFmtId="3" fontId="25" fillId="0" borderId="0" xfId="122" applyNumberFormat="1" applyFont="1" applyFill="1" applyProtection="1"/>
    <xf numFmtId="10" fontId="25" fillId="0" borderId="0" xfId="122" applyNumberFormat="1" applyFont="1" applyProtection="1"/>
    <xf numFmtId="43" fontId="25" fillId="0" borderId="0" xfId="122" applyNumberFormat="1" applyFont="1" applyProtection="1"/>
    <xf numFmtId="167" fontId="25" fillId="0" borderId="0" xfId="122" applyNumberFormat="1" applyFont="1" applyProtection="1"/>
    <xf numFmtId="0" fontId="25" fillId="0" borderId="0" xfId="122" applyFont="1" applyProtection="1"/>
    <xf numFmtId="184" fontId="25" fillId="0" borderId="0" xfId="122" applyNumberFormat="1" applyFont="1" applyProtection="1"/>
    <xf numFmtId="0" fontId="26" fillId="0" borderId="0" xfId="122" applyFont="1" applyBorder="1" applyProtection="1"/>
    <xf numFmtId="3" fontId="25" fillId="0" borderId="0" xfId="122" applyNumberFormat="1" applyFont="1" applyFill="1" applyBorder="1" applyProtection="1"/>
    <xf numFmtId="5" fontId="25" fillId="0" borderId="0" xfId="122" applyNumberFormat="1" applyFont="1" applyProtection="1"/>
    <xf numFmtId="0" fontId="25" fillId="0" borderId="0" xfId="122" applyFont="1" applyBorder="1" applyProtection="1"/>
    <xf numFmtId="171" fontId="25" fillId="0" borderId="0" xfId="122" applyNumberFormat="1" applyFont="1" applyBorder="1" applyProtection="1"/>
    <xf numFmtId="43" fontId="8" fillId="0" borderId="0" xfId="122" applyNumberFormat="1"/>
    <xf numFmtId="3" fontId="25" fillId="0" borderId="0" xfId="122" applyNumberFormat="1" applyFont="1" applyBorder="1" applyProtection="1"/>
    <xf numFmtId="3" fontId="25" fillId="0" borderId="0" xfId="122" applyNumberFormat="1" applyFont="1" applyProtection="1"/>
    <xf numFmtId="0" fontId="8" fillId="0" borderId="0" xfId="122" applyBorder="1"/>
    <xf numFmtId="0" fontId="28" fillId="0" borderId="0" xfId="122" applyFont="1" applyProtection="1"/>
    <xf numFmtId="0" fontId="28" fillId="0" borderId="0" xfId="122" applyFont="1"/>
    <xf numFmtId="179" fontId="16" fillId="0" borderId="1" xfId="0" applyNumberFormat="1" applyFont="1" applyFill="1" applyBorder="1"/>
    <xf numFmtId="183" fontId="25" fillId="0" borderId="0" xfId="0" applyNumberFormat="1" applyFont="1" applyProtection="1"/>
    <xf numFmtId="173" fontId="16" fillId="0" borderId="0" xfId="0" applyNumberFormat="1" applyFont="1" applyFill="1"/>
    <xf numFmtId="173" fontId="16" fillId="0" borderId="1" xfId="0" applyNumberFormat="1" applyFont="1" applyFill="1" applyBorder="1"/>
    <xf numFmtId="10" fontId="7" fillId="0" borderId="0" xfId="18" applyNumberFormat="1" applyFont="1"/>
    <xf numFmtId="165" fontId="16" fillId="0" borderId="1" xfId="0" applyNumberFormat="1" applyFont="1" applyFill="1" applyBorder="1"/>
    <xf numFmtId="165" fontId="16" fillId="0" borderId="0" xfId="0" applyNumberFormat="1" applyFont="1" applyFill="1"/>
    <xf numFmtId="3" fontId="8" fillId="0" borderId="0" xfId="0" applyNumberFormat="1" applyFont="1" applyFill="1" applyBorder="1"/>
    <xf numFmtId="0" fontId="0" fillId="0" borderId="0" xfId="0" applyNumberFormat="1" applyFill="1" applyBorder="1">
      <alignment readingOrder="1"/>
    </xf>
    <xf numFmtId="178" fontId="15" fillId="0" borderId="0" xfId="93" applyNumberFormat="1" applyFill="1" applyBorder="1">
      <alignment readingOrder="1"/>
    </xf>
    <xf numFmtId="178" fontId="15" fillId="0" borderId="0" xfId="95" applyNumberFormat="1" applyFill="1" applyBorder="1">
      <alignment readingOrder="1"/>
    </xf>
    <xf numFmtId="178" fontId="15" fillId="0" borderId="0" xfId="94" applyNumberFormat="1" applyFill="1" applyBorder="1">
      <alignment readingOrder="1"/>
    </xf>
    <xf numFmtId="178" fontId="15" fillId="0" borderId="0" xfId="96" applyNumberFormat="1" applyFill="1" applyBorder="1">
      <alignment readingOrder="1"/>
    </xf>
    <xf numFmtId="179" fontId="25" fillId="0" borderId="1" xfId="0" applyNumberFormat="1" applyFont="1" applyFill="1" applyBorder="1" applyProtection="1"/>
    <xf numFmtId="178" fontId="0" fillId="0" borderId="0" xfId="0" applyNumberFormat="1" applyFill="1">
      <alignment readingOrder="1"/>
    </xf>
    <xf numFmtId="43" fontId="0" fillId="0" borderId="1" xfId="2" applyFont="1" applyBorder="1"/>
    <xf numFmtId="44" fontId="0" fillId="0" borderId="0" xfId="1" applyFont="1"/>
    <xf numFmtId="44" fontId="8" fillId="0" borderId="0" xfId="1" applyFont="1" applyFill="1"/>
    <xf numFmtId="44" fontId="0" fillId="0" borderId="0" xfId="1" applyFont="1" applyFill="1"/>
    <xf numFmtId="171" fontId="1" fillId="0" borderId="0" xfId="2" applyNumberFormat="1" applyFont="1" applyBorder="1" applyAlignment="1">
      <alignment horizontal="center"/>
    </xf>
    <xf numFmtId="171" fontId="1" fillId="0" borderId="1" xfId="2" applyNumberFormat="1" applyFont="1" applyFill="1" applyBorder="1" applyAlignment="1">
      <alignment horizontal="center"/>
    </xf>
    <xf numFmtId="171" fontId="1" fillId="0" borderId="0" xfId="2" applyNumberFormat="1" applyFont="1" applyFill="1" applyBorder="1" applyAlignment="1">
      <alignment horizontal="center"/>
    </xf>
    <xf numFmtId="171" fontId="1" fillId="0" borderId="1" xfId="2" applyNumberFormat="1" applyFont="1" applyBorder="1" applyAlignment="1">
      <alignment horizontal="center"/>
    </xf>
    <xf numFmtId="3" fontId="27" fillId="0" borderId="0" xfId="122" applyNumberFormat="1" applyFont="1" applyFill="1" applyBorder="1" applyProtection="1">
      <protection locked="0"/>
    </xf>
    <xf numFmtId="3" fontId="27" fillId="0" borderId="1" xfId="122" applyNumberFormat="1" applyFont="1" applyFill="1" applyBorder="1" applyProtection="1">
      <protection locked="0"/>
    </xf>
    <xf numFmtId="185" fontId="8" fillId="0" borderId="0" xfId="1" applyNumberFormat="1" applyFont="1"/>
    <xf numFmtId="186" fontId="8" fillId="0" borderId="0" xfId="1" applyNumberFormat="1" applyFont="1"/>
    <xf numFmtId="174" fontId="8" fillId="0" borderId="0" xfId="3" applyNumberFormat="1" applyFont="1" applyFill="1" applyBorder="1"/>
    <xf numFmtId="0" fontId="31" fillId="0" borderId="0" xfId="0" applyFont="1"/>
    <xf numFmtId="0" fontId="31" fillId="0" borderId="0" xfId="0" applyFont="1" applyAlignment="1">
      <alignment horizontal="center"/>
    </xf>
    <xf numFmtId="186" fontId="31" fillId="0" borderId="0" xfId="1" applyNumberFormat="1" applyFont="1"/>
    <xf numFmtId="186" fontId="31" fillId="0" borderId="0" xfId="0" applyNumberFormat="1" applyFont="1"/>
    <xf numFmtId="186" fontId="31" fillId="0" borderId="1" xfId="0" applyNumberFormat="1" applyFont="1" applyBorder="1"/>
    <xf numFmtId="186" fontId="31" fillId="0" borderId="1" xfId="1" applyNumberFormat="1" applyFont="1" applyBorder="1"/>
    <xf numFmtId="0" fontId="31" fillId="0" borderId="0" xfId="0" applyFont="1" applyFill="1"/>
    <xf numFmtId="0" fontId="8" fillId="0" borderId="0" xfId="0" applyFont="1" applyAlignment="1">
      <alignment horizontal="center"/>
    </xf>
    <xf numFmtId="0" fontId="14" fillId="0" borderId="0" xfId="0" applyFont="1" applyAlignment="1">
      <alignment horizontal="center"/>
    </xf>
    <xf numFmtId="0" fontId="0" fillId="0" borderId="0" xfId="0" applyAlignment="1">
      <alignment horizontal="center"/>
    </xf>
    <xf numFmtId="0" fontId="10" fillId="0" borderId="0" xfId="15" applyFont="1" applyFill="1" applyAlignment="1">
      <alignment horizontal="center" wrapText="1"/>
    </xf>
    <xf numFmtId="0" fontId="10" fillId="0" borderId="1" xfId="15" applyFont="1" applyFill="1" applyBorder="1" applyAlignment="1">
      <alignment horizontal="center" wrapText="1"/>
    </xf>
    <xf numFmtId="0" fontId="10" fillId="0" borderId="1" xfId="15" applyFont="1" applyBorder="1" applyAlignment="1">
      <alignment horizontal="center"/>
    </xf>
    <xf numFmtId="0" fontId="17" fillId="2" borderId="0" xfId="0" applyFont="1" applyFill="1" applyBorder="1" applyAlignment="1">
      <alignment horizontal="center"/>
    </xf>
  </cellXfs>
  <cellStyles count="123">
    <cellStyle name="category" xfId="27"/>
    <cellStyle name="Comma" xfId="2" builtinId="3"/>
    <cellStyle name="Comma 2" xfId="7"/>
    <cellStyle name="Comma 2 2" xfId="28"/>
    <cellStyle name="Comma 3" xfId="5"/>
    <cellStyle name="Comma 3 2" xfId="29"/>
    <cellStyle name="Comma 3 2 2" xfId="101"/>
    <cellStyle name="Comma 3 3" xfId="26"/>
    <cellStyle name="Comma 3 4" xfId="30"/>
    <cellStyle name="Comma 3 5" xfId="98"/>
    <cellStyle name="Comma 4" xfId="13"/>
    <cellStyle name="Comma 4 2" xfId="31"/>
    <cellStyle name="Comma 4 2 2" xfId="102"/>
    <cellStyle name="Comma 4 3" xfId="100"/>
    <cellStyle name="Comma 5" xfId="17"/>
    <cellStyle name="Comma 6" xfId="21"/>
    <cellStyle name="Comma 6 2" xfId="108"/>
    <cellStyle name="Comma 7" xfId="32"/>
    <cellStyle name="Comma 7 2" xfId="114"/>
    <cellStyle name="Currency" xfId="1" builtinId="4"/>
    <cellStyle name="Currency 2" xfId="22"/>
    <cellStyle name="Currency 2 2" xfId="109"/>
    <cellStyle name="Currency 3" xfId="33"/>
    <cellStyle name="Currency 3 2" xfId="115"/>
    <cellStyle name="Grey" xfId="34"/>
    <cellStyle name="HEADER" xfId="35"/>
    <cellStyle name="Input [yellow]" xfId="36"/>
    <cellStyle name="Model" xfId="37"/>
    <cellStyle name="Normal" xfId="0" builtinId="0"/>
    <cellStyle name="Normal - Style1" xfId="38"/>
    <cellStyle name="Normal 10" xfId="23"/>
    <cellStyle name="Normal 10 2" xfId="107"/>
    <cellStyle name="Normal 11" xfId="39"/>
    <cellStyle name="Normal 11 2" xfId="113"/>
    <cellStyle name="Normal 12" xfId="40"/>
    <cellStyle name="Normal 13" xfId="41"/>
    <cellStyle name="Normal 14" xfId="42"/>
    <cellStyle name="Normal 15" xfId="43"/>
    <cellStyle name="Normal 16" xfId="25"/>
    <cellStyle name="Normal 17" xfId="44"/>
    <cellStyle name="Normal 18" xfId="45"/>
    <cellStyle name="Normal 19" xfId="46"/>
    <cellStyle name="Normal 2" xfId="9"/>
    <cellStyle name="Normal 2 2" xfId="14"/>
    <cellStyle name="Normal 2 2 2" xfId="47"/>
    <cellStyle name="Normal 2 2 3" xfId="48"/>
    <cellStyle name="Normal 2 2 4" xfId="49"/>
    <cellStyle name="Normal 2 2 5" xfId="50"/>
    <cellStyle name="Normal 2 2 5 2" xfId="110"/>
    <cellStyle name="Normal 2 2 6" xfId="51"/>
    <cellStyle name="Normal 2 2 6 2" xfId="116"/>
    <cellStyle name="Normal 2 3" xfId="24"/>
    <cellStyle name="Normal 2 3 2" xfId="52"/>
    <cellStyle name="Normal 2 3 2 2" xfId="111"/>
    <cellStyle name="Normal 2 3 3" xfId="53"/>
    <cellStyle name="Normal 2 3 3 2" xfId="117"/>
    <cellStyle name="Normal 2 3 4" xfId="103"/>
    <cellStyle name="Normal 2 4" xfId="54"/>
    <cellStyle name="Normal 2 4 2" xfId="55"/>
    <cellStyle name="Normal 2 4 2 2" xfId="118"/>
    <cellStyle name="Normal 2 4 3" xfId="112"/>
    <cellStyle name="Normal 2 5" xfId="56"/>
    <cellStyle name="Normal 2 5 2" xfId="119"/>
    <cellStyle name="Normal 2 6" xfId="57"/>
    <cellStyle name="Normal 2 6 2" xfId="120"/>
    <cellStyle name="Normal 2 7" xfId="58"/>
    <cellStyle name="Normal 2 7 2" xfId="121"/>
    <cellStyle name="Normal 2 8" xfId="84"/>
    <cellStyle name="Normal 20" xfId="59"/>
    <cellStyle name="Normal 21" xfId="60"/>
    <cellStyle name="Normal 21 2" xfId="122"/>
    <cellStyle name="Normal 22" xfId="80"/>
    <cellStyle name="Normal 23" xfId="86"/>
    <cellStyle name="Normal 24" xfId="90"/>
    <cellStyle name="Normal 25" xfId="92"/>
    <cellStyle name="Normal 26" xfId="93"/>
    <cellStyle name="Normal 27" xfId="94"/>
    <cellStyle name="Normal 28" xfId="95"/>
    <cellStyle name="Normal 29" xfId="96"/>
    <cellStyle name="Normal 3" xfId="10"/>
    <cellStyle name="Normal 3 2" xfId="16"/>
    <cellStyle name="Normal 3 2 2" xfId="61"/>
    <cellStyle name="Normal 3 3" xfId="62"/>
    <cellStyle name="Normal 3 4" xfId="63"/>
    <cellStyle name="Normal 3 5" xfId="64"/>
    <cellStyle name="Normal 4" xfId="6"/>
    <cellStyle name="Normal 5" xfId="4"/>
    <cellStyle name="Normal 5 2" xfId="65"/>
    <cellStyle name="Normal 5 2 2" xfId="104"/>
    <cellStyle name="Normal 5 3" xfId="66"/>
    <cellStyle name="Normal 5 4" xfId="97"/>
    <cellStyle name="Normal 6" xfId="11"/>
    <cellStyle name="Normal 7" xfId="12"/>
    <cellStyle name="Normal 7 2" xfId="67"/>
    <cellStyle name="Normal 7 2 2" xfId="105"/>
    <cellStyle name="Normal 7 3" xfId="68"/>
    <cellStyle name="Normal 7 4" xfId="99"/>
    <cellStyle name="Normal 8" xfId="15"/>
    <cellStyle name="Normal 9" xfId="20"/>
    <cellStyle name="Normal 9 2" xfId="106"/>
    <cellStyle name="Percent" xfId="3" builtinId="5"/>
    <cellStyle name="Percent [2]" xfId="69"/>
    <cellStyle name="Percent 10" xfId="70"/>
    <cellStyle name="Percent 11" xfId="71"/>
    <cellStyle name="Percent 12" xfId="72"/>
    <cellStyle name="Percent 13" xfId="82"/>
    <cellStyle name="Percent 14" xfId="81"/>
    <cellStyle name="Percent 15" xfId="88"/>
    <cellStyle name="Percent 16" xfId="85"/>
    <cellStyle name="Percent 17" xfId="89"/>
    <cellStyle name="Percent 18" xfId="83"/>
    <cellStyle name="Percent 19" xfId="87"/>
    <cellStyle name="Percent 2" xfId="8"/>
    <cellStyle name="Percent 20" xfId="91"/>
    <cellStyle name="Percent 3" xfId="18"/>
    <cellStyle name="Percent 4" xfId="73"/>
    <cellStyle name="Percent 5" xfId="74"/>
    <cellStyle name="Percent 6" xfId="75"/>
    <cellStyle name="Percent 7" xfId="76"/>
    <cellStyle name="Percent 8" xfId="77"/>
    <cellStyle name="Percent 9" xfId="78"/>
    <cellStyle name="PSChar" xfId="19"/>
    <cellStyle name="subhead" xfId="79"/>
  </cellStyles>
  <dxfs count="2">
    <dxf>
      <fill>
        <patternFill>
          <bgColor theme="8" tint="0.59996337778862885"/>
        </patternFill>
      </fill>
    </dxf>
    <dxf>
      <fill>
        <patternFill>
          <bgColor theme="8" tint="0.79998168889431442"/>
        </patternFill>
      </fill>
      <border>
        <left style="thin">
          <color theme="8" tint="0.59996337778862885"/>
        </left>
        <right style="thin">
          <color theme="8" tint="0.59996337778862885"/>
        </right>
        <top style="thin">
          <color theme="8" tint="0.59996337778862885"/>
        </top>
        <bottom style="thin">
          <color theme="8" tint="0.59996337778862885"/>
        </bottom>
      </border>
    </dxf>
  </dxfs>
  <tableStyles count="1" defaultTableStyle="TableStyleMedium9" defaultPivotStyle="PivotStyleLight16">
    <tableStyle name="Table Style 1" pivot="0" count="2">
      <tableStyleElement type="wholeTable" dxfId="1"/>
      <tableStyleElement type="headerRow" dxfId="0"/>
    </tableStyle>
  </tableStyles>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57150</xdr:colOff>
      <xdr:row>46</xdr:row>
      <xdr:rowOff>76199</xdr:rowOff>
    </xdr:from>
    <xdr:to>
      <xdr:col>7</xdr:col>
      <xdr:colOff>695739</xdr:colOff>
      <xdr:row>50</xdr:row>
      <xdr:rowOff>140804</xdr:rowOff>
    </xdr:to>
    <xdr:sp macro="" textlink="">
      <xdr:nvSpPr>
        <xdr:cNvPr id="2" name="TextBox 1"/>
        <xdr:cNvSpPr txBox="1"/>
      </xdr:nvSpPr>
      <xdr:spPr>
        <a:xfrm>
          <a:off x="57150" y="7696199"/>
          <a:ext cx="5384524" cy="7272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0" i="0">
              <a:solidFill>
                <a:schemeClr val="dk1"/>
              </a:solidFill>
              <a:latin typeface="Arial" pitchFamily="34" charset="0"/>
              <a:ea typeface="+mn-ea"/>
              <a:cs typeface="Arial" pitchFamily="34" charset="0"/>
            </a:rPr>
            <a:t>Note 1: The</a:t>
          </a:r>
          <a:r>
            <a:rPr lang="en-US" sz="1000" b="0" i="0" baseline="0">
              <a:solidFill>
                <a:schemeClr val="dk1"/>
              </a:solidFill>
              <a:latin typeface="Arial" pitchFamily="34" charset="0"/>
              <a:ea typeface="+mn-ea"/>
              <a:cs typeface="Arial" pitchFamily="34" charset="0"/>
            </a:rPr>
            <a:t> July activity recorded above was calculated using only the billed portion of loads and the unbilled portion is recorded in August in order to adjust to a calandar year basis.</a:t>
          </a:r>
        </a:p>
        <a:p>
          <a:pPr marL="0" marR="0" indent="0" defTabSz="914400" eaLnBrk="1" fontAlgn="auto" latinLnBrk="0" hangingPunct="1">
            <a:lnSpc>
              <a:spcPct val="100000"/>
            </a:lnSpc>
            <a:spcBef>
              <a:spcPts val="0"/>
            </a:spcBef>
            <a:spcAft>
              <a:spcPts val="0"/>
            </a:spcAft>
            <a:buClrTx/>
            <a:buSzTx/>
            <a:buFontTx/>
            <a:buNone/>
            <a:tabLst/>
            <a:defRPr/>
          </a:pPr>
          <a:endParaRPr lang="en-US" sz="1000" b="0" i="0" baseline="0">
            <a:solidFill>
              <a:schemeClr val="dk1"/>
            </a:solidFill>
            <a:latin typeface="Arial" pitchFamily="34" charset="0"/>
            <a:ea typeface="+mn-ea"/>
            <a:cs typeface="Arial" pitchFamily="34"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35</xdr:row>
      <xdr:rowOff>9525</xdr:rowOff>
    </xdr:from>
    <xdr:to>
      <xdr:col>13</xdr:col>
      <xdr:colOff>295275</xdr:colOff>
      <xdr:row>41</xdr:row>
      <xdr:rowOff>57150</xdr:rowOff>
    </xdr:to>
    <xdr:sp macro="" textlink="">
      <xdr:nvSpPr>
        <xdr:cNvPr id="2" name="TextBox 1"/>
        <xdr:cNvSpPr txBox="1"/>
      </xdr:nvSpPr>
      <xdr:spPr>
        <a:xfrm>
          <a:off x="457200" y="5676900"/>
          <a:ext cx="9944100" cy="101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The projected kilowatt-hours Included</a:t>
          </a:r>
          <a:r>
            <a:rPr lang="en-US" sz="1100" baseline="0"/>
            <a:t> above contain </a:t>
          </a:r>
          <a:r>
            <a:rPr lang="en-US" sz="1100"/>
            <a:t>both billed and unbilled customer loads. In past filings, prorations had been included for October and November to capture the unbilled loads in the following month when they are billed to customers.  Because both billed and unbilled are included above, no proration is needed.</a:t>
          </a:r>
          <a:r>
            <a:rPr lang="en-US" sz="1100" baseline="0"/>
            <a:t> </a:t>
          </a:r>
        </a:p>
        <a:p>
          <a:endParaRPr lang="en-US" sz="1100" baseline="0"/>
        </a:p>
        <a:p>
          <a:r>
            <a:rPr lang="en-US" sz="1100"/>
            <a:t>Note that either </a:t>
          </a:r>
          <a:r>
            <a:rPr lang="en-US" sz="1100" baseline="0"/>
            <a:t>method would inlcude one calandar year's worth of loads.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0"/>
  <sheetViews>
    <sheetView tabSelected="1" zoomScaleNormal="100" workbookViewId="0">
      <selection activeCell="L12" sqref="L12"/>
    </sheetView>
  </sheetViews>
  <sheetFormatPr defaultRowHeight="12.75"/>
  <cols>
    <col min="1" max="1" width="9.140625" style="26"/>
    <col min="2" max="2" width="3.140625" style="26" customWidth="1"/>
    <col min="3" max="5" width="9.140625" style="26"/>
    <col min="6" max="6" width="9.140625" style="26" bestFit="1" customWidth="1"/>
    <col min="7" max="7" width="12.7109375" style="26" customWidth="1"/>
    <col min="8" max="8" width="13.85546875" style="26" bestFit="1" customWidth="1"/>
    <col min="9" max="16384" width="9.140625" style="26"/>
  </cols>
  <sheetData>
    <row r="1" spans="1:8">
      <c r="A1" s="170" t="s">
        <v>16</v>
      </c>
      <c r="B1" s="170"/>
      <c r="C1" s="170"/>
      <c r="D1" s="170"/>
      <c r="E1" s="170"/>
      <c r="F1" s="170"/>
      <c r="G1" s="170"/>
      <c r="H1" s="170"/>
    </row>
    <row r="2" spans="1:8">
      <c r="A2" s="170" t="s">
        <v>57</v>
      </c>
      <c r="B2" s="170"/>
      <c r="C2" s="170"/>
      <c r="D2" s="170"/>
      <c r="E2" s="170"/>
      <c r="F2" s="170"/>
      <c r="G2" s="170"/>
      <c r="H2" s="170"/>
    </row>
    <row r="3" spans="1:8">
      <c r="A3" s="170" t="s">
        <v>29</v>
      </c>
      <c r="B3" s="170"/>
      <c r="C3" s="170"/>
      <c r="D3" s="170"/>
      <c r="E3" s="170"/>
      <c r="F3" s="170"/>
      <c r="G3" s="170"/>
      <c r="H3" s="170"/>
    </row>
    <row r="4" spans="1:8">
      <c r="A4" s="171" t="s">
        <v>94</v>
      </c>
      <c r="B4" s="171"/>
      <c r="C4" s="171"/>
      <c r="D4" s="171"/>
      <c r="E4" s="171"/>
      <c r="F4" s="171"/>
      <c r="G4" s="171"/>
      <c r="H4" s="171"/>
    </row>
    <row r="7" spans="1:8">
      <c r="A7" s="26" t="s">
        <v>90</v>
      </c>
      <c r="G7" s="27">
        <f>-'Projected Benefits'!F7</f>
        <v>-1935136.1547244031</v>
      </c>
      <c r="H7" s="27"/>
    </row>
    <row r="8" spans="1:8">
      <c r="H8" s="27"/>
    </row>
    <row r="9" spans="1:8">
      <c r="A9" s="36" t="s">
        <v>91</v>
      </c>
      <c r="G9" s="7">
        <f>'Washington ResX Balances'!F38</f>
        <v>-33324.788380218932</v>
      </c>
      <c r="H9" s="27"/>
    </row>
    <row r="10" spans="1:8">
      <c r="G10" s="36"/>
      <c r="H10" s="27"/>
    </row>
    <row r="11" spans="1:8">
      <c r="A11" s="26" t="s">
        <v>32</v>
      </c>
      <c r="G11" s="49">
        <f>G7+G9</f>
        <v>-1968460.943104622</v>
      </c>
      <c r="H11" s="27"/>
    </row>
    <row r="12" spans="1:8">
      <c r="G12" s="36"/>
      <c r="H12" s="27"/>
    </row>
    <row r="13" spans="1:8">
      <c r="A13" s="26" t="s">
        <v>56</v>
      </c>
      <c r="G13" s="135">
        <v>0.95385299999999995</v>
      </c>
      <c r="H13" s="29"/>
    </row>
    <row r="14" spans="1:8">
      <c r="G14" s="36"/>
      <c r="H14" s="27"/>
    </row>
    <row r="15" spans="1:8">
      <c r="A15" s="26" t="s">
        <v>33</v>
      </c>
      <c r="G15" s="49">
        <f>G11/G13</f>
        <v>-2063694.2412558561</v>
      </c>
      <c r="H15" s="27"/>
    </row>
    <row r="16" spans="1:8">
      <c r="G16" s="36"/>
      <c r="H16" s="27"/>
    </row>
    <row r="17" spans="1:8">
      <c r="A17" s="26" t="s">
        <v>95</v>
      </c>
      <c r="G17" s="30">
        <f>'Projected kWhs'!N16*1000</f>
        <v>2556105729.5266004</v>
      </c>
      <c r="H17" s="27"/>
    </row>
    <row r="18" spans="1:8">
      <c r="H18" s="27"/>
    </row>
    <row r="19" spans="1:8" ht="13.5" thickBot="1">
      <c r="A19" s="26" t="s">
        <v>34</v>
      </c>
      <c r="G19" s="31">
        <f>ROUND(G15/G17,5)</f>
        <v>-8.0999999999999996E-4</v>
      </c>
      <c r="H19" s="32"/>
    </row>
    <row r="20" spans="1:8" ht="13.5" thickTop="1">
      <c r="H20" s="27"/>
    </row>
    <row r="21" spans="1:8">
      <c r="H21" s="27"/>
    </row>
    <row r="22" spans="1:8">
      <c r="H22" s="27"/>
    </row>
    <row r="23" spans="1:8">
      <c r="H23" s="27"/>
    </row>
    <row r="24" spans="1:8">
      <c r="A24" s="33" t="s">
        <v>35</v>
      </c>
      <c r="H24" s="27"/>
    </row>
    <row r="25" spans="1:8">
      <c r="A25" s="26" t="s">
        <v>36</v>
      </c>
      <c r="G25" s="141">
        <f>ROUND(G19,5)</f>
        <v>-8.0999999999999996E-4</v>
      </c>
      <c r="H25" s="32"/>
    </row>
    <row r="26" spans="1:8">
      <c r="A26" s="26" t="s">
        <v>37</v>
      </c>
      <c r="G26" s="34">
        <f>'Projected kWhs'!C25</f>
        <v>-5.1000000000000004E-4</v>
      </c>
      <c r="H26" s="32"/>
    </row>
    <row r="27" spans="1:8" ht="13.5" thickBot="1">
      <c r="A27" s="26" t="s">
        <v>38</v>
      </c>
      <c r="G27" s="35">
        <f>G25-G26</f>
        <v>-2.9999999999999992E-4</v>
      </c>
      <c r="H27" s="32"/>
    </row>
    <row r="28" spans="1:8" ht="13.5" thickTop="1">
      <c r="H28" s="27"/>
    </row>
    <row r="29" spans="1:8">
      <c r="A29" s="36" t="s">
        <v>100</v>
      </c>
      <c r="E29" s="36"/>
      <c r="F29" s="36"/>
      <c r="G29" s="36"/>
      <c r="H29" s="27"/>
    </row>
    <row r="30" spans="1:8">
      <c r="A30" s="26" t="s">
        <v>39</v>
      </c>
      <c r="E30" s="36"/>
      <c r="F30" s="36"/>
      <c r="G30" s="37">
        <v>8.5</v>
      </c>
      <c r="H30" s="38"/>
    </row>
    <row r="31" spans="1:8">
      <c r="A31" s="26" t="s">
        <v>66</v>
      </c>
      <c r="E31" s="36">
        <v>800</v>
      </c>
      <c r="F31" s="39">
        <v>7.986E-2</v>
      </c>
      <c r="G31" s="37">
        <f>ROUND(E31*F31,2)</f>
        <v>63.89</v>
      </c>
      <c r="H31" s="40"/>
    </row>
    <row r="32" spans="1:8">
      <c r="A32" s="26" t="s">
        <v>67</v>
      </c>
      <c r="E32" s="36">
        <v>138</v>
      </c>
      <c r="F32" s="39">
        <v>9.1939999999999994E-2</v>
      </c>
      <c r="G32" s="37">
        <f>ROUND(E32*F32,2)</f>
        <v>12.69</v>
      </c>
      <c r="H32" s="40"/>
    </row>
    <row r="33" spans="1:8">
      <c r="A33" s="26" t="s">
        <v>15</v>
      </c>
      <c r="E33" s="36"/>
      <c r="F33" s="36"/>
      <c r="G33" s="37">
        <f>SUM(G30:G32)</f>
        <v>85.08</v>
      </c>
      <c r="H33" s="40"/>
    </row>
    <row r="34" spans="1:8">
      <c r="A34" s="26" t="s">
        <v>40</v>
      </c>
      <c r="E34" s="36"/>
      <c r="F34" s="36"/>
      <c r="G34" s="37">
        <f>ROUND(G33,2)</f>
        <v>85.08</v>
      </c>
      <c r="H34" s="38"/>
    </row>
    <row r="35" spans="1:8">
      <c r="E35" s="28"/>
      <c r="F35" s="36"/>
      <c r="H35" s="27"/>
    </row>
    <row r="36" spans="1:8">
      <c r="A36" s="26" t="s">
        <v>34</v>
      </c>
      <c r="C36" s="104" t="str">
        <f>IF(F36&lt;0,"Decrease","Increase")</f>
        <v>Decrease</v>
      </c>
      <c r="E36" s="36">
        <f>SUM(E31:E35)</f>
        <v>938</v>
      </c>
      <c r="F36" s="41">
        <f>G27</f>
        <v>-2.9999999999999992E-4</v>
      </c>
      <c r="G36" s="38">
        <f>E36*F36</f>
        <v>-0.28139999999999993</v>
      </c>
      <c r="H36" s="38"/>
    </row>
    <row r="37" spans="1:8">
      <c r="E37" s="36"/>
      <c r="F37" s="36"/>
      <c r="H37" s="38"/>
    </row>
    <row r="38" spans="1:8">
      <c r="B38" s="103" t="s">
        <v>78</v>
      </c>
      <c r="C38" s="104" t="str">
        <f>IF(F36&lt;0,"Decrease","Increase")</f>
        <v>Decrease</v>
      </c>
      <c r="E38" s="36"/>
      <c r="F38" s="36"/>
      <c r="G38" s="47">
        <f>G36/G33</f>
        <v>-3.307475317348377E-3</v>
      </c>
      <c r="H38" s="42"/>
    </row>
    <row r="39" spans="1:8">
      <c r="E39" s="36"/>
      <c r="F39" s="36"/>
    </row>
    <row r="40" spans="1:8">
      <c r="E40" s="36"/>
      <c r="F40" s="36"/>
      <c r="G40" s="38"/>
    </row>
  </sheetData>
  <mergeCells count="4">
    <mergeCell ref="A2:H2"/>
    <mergeCell ref="A1:H1"/>
    <mergeCell ref="A3:H3"/>
    <mergeCell ref="A4:H4"/>
  </mergeCells>
  <pageMargins left="1.01" right="0.7" top="0.75" bottom="0.75" header="0.3" footer="0.3"/>
  <pageSetup orientation="portrait" r:id="rId1"/>
  <headerFooter>
    <oddFooter>&amp;L&amp;A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J11"/>
  <sheetViews>
    <sheetView showGridLines="0" workbookViewId="0">
      <selection activeCell="F17" sqref="F17"/>
    </sheetView>
  </sheetViews>
  <sheetFormatPr defaultRowHeight="15.75"/>
  <cols>
    <col min="1" max="4" width="9.140625" style="163"/>
    <col min="5" max="5" width="2.7109375" style="163" customWidth="1"/>
    <col min="6" max="6" width="17.140625" style="163" bestFit="1" customWidth="1"/>
    <col min="7" max="7" width="4.140625" style="163" customWidth="1"/>
    <col min="8" max="8" width="17.140625" style="163" bestFit="1" customWidth="1"/>
    <col min="9" max="9" width="4" style="163" customWidth="1"/>
    <col min="10" max="10" width="17.140625" style="163" bestFit="1" customWidth="1"/>
    <col min="11" max="16384" width="9.140625" style="163"/>
  </cols>
  <sheetData>
    <row r="6" spans="1:10">
      <c r="F6" s="164">
        <v>2017</v>
      </c>
      <c r="G6" s="164"/>
      <c r="H6" s="164">
        <v>2016</v>
      </c>
    </row>
    <row r="7" spans="1:10">
      <c r="F7" s="164" t="s">
        <v>108</v>
      </c>
      <c r="G7" s="164"/>
      <c r="H7" s="164" t="s">
        <v>109</v>
      </c>
      <c r="I7" s="164"/>
      <c r="J7" s="164" t="s">
        <v>110</v>
      </c>
    </row>
    <row r="8" spans="1:10">
      <c r="A8" s="163" t="s">
        <v>114</v>
      </c>
      <c r="F8" s="165">
        <f>-'Projected Benefits'!F7</f>
        <v>-1935136.1547244031</v>
      </c>
      <c r="G8" s="165"/>
      <c r="H8" s="165">
        <v>-850223</v>
      </c>
      <c r="J8" s="166">
        <f>F8-H8</f>
        <v>-1084913.1547244031</v>
      </c>
    </row>
    <row r="9" spans="1:10">
      <c r="A9" s="163" t="s">
        <v>111</v>
      </c>
      <c r="F9" s="165">
        <f>'Proposed ResEx Rate'!G9</f>
        <v>-33324.788380218932</v>
      </c>
      <c r="G9" s="165"/>
      <c r="H9" s="165">
        <v>-411767</v>
      </c>
      <c r="J9" s="166">
        <f t="shared" ref="J9:J11" si="0">F9-H9</f>
        <v>378442.2116197811</v>
      </c>
    </row>
    <row r="10" spans="1:10">
      <c r="A10" s="163" t="s">
        <v>112</v>
      </c>
      <c r="F10" s="167">
        <f>F11-F9-F8</f>
        <v>-95233.298151234165</v>
      </c>
      <c r="G10" s="166"/>
      <c r="H10" s="168">
        <f>H11-H9-H8</f>
        <v>-61054</v>
      </c>
      <c r="J10" s="167">
        <f t="shared" si="0"/>
        <v>-34179.298151234165</v>
      </c>
    </row>
    <row r="11" spans="1:10">
      <c r="A11" s="169" t="s">
        <v>113</v>
      </c>
      <c r="F11" s="165">
        <f>'Proposed ResEx Rate'!G15</f>
        <v>-2063694.2412558561</v>
      </c>
      <c r="G11" s="165"/>
      <c r="H11" s="165">
        <v>-1323044</v>
      </c>
      <c r="J11" s="166">
        <f t="shared" si="0"/>
        <v>-740650.24125585612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115" zoomScaleNormal="115" workbookViewId="0">
      <selection activeCell="J22" sqref="J22"/>
    </sheetView>
  </sheetViews>
  <sheetFormatPr defaultRowHeight="12.75"/>
  <cols>
    <col min="1" max="1" width="7.7109375" customWidth="1"/>
    <col min="2" max="2" width="10.140625" bestFit="1" customWidth="1"/>
    <col min="6" max="6" width="16.5703125" bestFit="1" customWidth="1"/>
    <col min="8" max="8" width="11.28515625" bestFit="1" customWidth="1"/>
    <col min="11" max="11" width="11.7109375" bestFit="1" customWidth="1"/>
    <col min="12" max="12" width="10.7109375" bestFit="1" customWidth="1"/>
    <col min="14" max="14" width="11.140625" bestFit="1" customWidth="1"/>
  </cols>
  <sheetData>
    <row r="1" spans="1:8">
      <c r="A1" s="172" t="s">
        <v>16</v>
      </c>
      <c r="B1" s="172"/>
      <c r="C1" s="172"/>
      <c r="D1" s="172"/>
      <c r="E1" s="172"/>
      <c r="F1" s="172"/>
      <c r="G1" s="172"/>
      <c r="H1" s="172"/>
    </row>
    <row r="2" spans="1:8">
      <c r="A2" s="172" t="s">
        <v>58</v>
      </c>
      <c r="B2" s="172"/>
      <c r="C2" s="172"/>
      <c r="D2" s="172"/>
      <c r="E2" s="172"/>
      <c r="F2" s="172"/>
      <c r="G2" s="172"/>
      <c r="H2" s="172"/>
    </row>
    <row r="3" spans="1:8">
      <c r="A3" s="172" t="s">
        <v>17</v>
      </c>
      <c r="B3" s="172"/>
      <c r="C3" s="172"/>
      <c r="D3" s="172"/>
      <c r="E3" s="172"/>
      <c r="F3" s="172"/>
      <c r="G3" s="172"/>
      <c r="H3" s="172"/>
    </row>
    <row r="5" spans="1:8">
      <c r="F5" s="9"/>
    </row>
    <row r="6" spans="1:8">
      <c r="A6" t="s">
        <v>18</v>
      </c>
      <c r="B6" s="3">
        <v>42886</v>
      </c>
      <c r="C6" t="s">
        <v>24</v>
      </c>
      <c r="F6" s="153">
        <v>-220184.85</v>
      </c>
      <c r="H6" s="97">
        <v>1.21E-2</v>
      </c>
    </row>
    <row r="7" spans="1:8">
      <c r="B7" t="s">
        <v>41</v>
      </c>
      <c r="F7" s="9">
        <v>-67595.48</v>
      </c>
    </row>
    <row r="8" spans="1:8">
      <c r="B8" t="s">
        <v>20</v>
      </c>
      <c r="F8" s="65">
        <v>78842.570000000007</v>
      </c>
    </row>
    <row r="9" spans="1:8">
      <c r="B9" t="s">
        <v>21</v>
      </c>
      <c r="F9" s="66">
        <v>-200</v>
      </c>
    </row>
    <row r="10" spans="1:8">
      <c r="A10" t="s">
        <v>18</v>
      </c>
      <c r="B10" s="3">
        <v>42916</v>
      </c>
      <c r="C10" t="s">
        <v>24</v>
      </c>
      <c r="F10" s="9">
        <f>SUM(F6:F9)</f>
        <v>-209137.76</v>
      </c>
    </row>
    <row r="11" spans="1:8">
      <c r="B11" t="s">
        <v>19</v>
      </c>
      <c r="F11" s="9">
        <v>-59793.11</v>
      </c>
    </row>
    <row r="12" spans="1:8">
      <c r="B12" t="s">
        <v>20</v>
      </c>
      <c r="F12" s="65">
        <v>88668.64</v>
      </c>
      <c r="G12" s="5"/>
    </row>
    <row r="13" spans="1:8">
      <c r="B13" t="s">
        <v>21</v>
      </c>
      <c r="F13" s="66">
        <v>-210.88</v>
      </c>
      <c r="G13" s="5"/>
      <c r="H13" s="24"/>
    </row>
    <row r="14" spans="1:8">
      <c r="A14" t="s">
        <v>18</v>
      </c>
      <c r="B14" s="3">
        <v>42947</v>
      </c>
      <c r="C14" s="5" t="s">
        <v>24</v>
      </c>
      <c r="F14" s="9">
        <f>SUM(F10:F13)</f>
        <v>-180473.11</v>
      </c>
      <c r="G14" s="5"/>
    </row>
    <row r="15" spans="1:8">
      <c r="B15" t="s">
        <v>22</v>
      </c>
      <c r="F15" s="9">
        <v>-53145.47</v>
      </c>
      <c r="G15" s="5"/>
      <c r="H15" s="22"/>
    </row>
    <row r="16" spans="1:8" s="104" customFormat="1">
      <c r="B16" s="104" t="s">
        <v>102</v>
      </c>
      <c r="F16" s="9">
        <f>-'July Unbilled'!D22</f>
        <v>57261.344809427006</v>
      </c>
      <c r="G16" s="5"/>
      <c r="H16" s="22"/>
    </row>
    <row r="17" spans="1:17">
      <c r="B17" t="s">
        <v>20</v>
      </c>
      <c r="F17" s="65">
        <f>-'Projected kWhs'!B28*1000</f>
        <v>94455.27246731137</v>
      </c>
      <c r="G17" s="5"/>
      <c r="H17" s="9"/>
      <c r="I17" s="5"/>
      <c r="K17" s="4"/>
      <c r="N17" s="4"/>
      <c r="P17" s="4"/>
      <c r="Q17" s="4"/>
    </row>
    <row r="18" spans="1:17">
      <c r="B18" t="s">
        <v>21</v>
      </c>
      <c r="F18" s="66">
        <f>(F14*H6)/12</f>
        <v>-181.97705258333329</v>
      </c>
      <c r="G18" s="5"/>
      <c r="H18" s="9"/>
    </row>
    <row r="19" spans="1:17">
      <c r="A19" t="s">
        <v>18</v>
      </c>
      <c r="B19" s="3">
        <v>42978</v>
      </c>
      <c r="C19" s="104" t="s">
        <v>25</v>
      </c>
      <c r="F19" s="9">
        <f>SUM(F14:F18)</f>
        <v>-82083.939775844934</v>
      </c>
      <c r="G19" s="5"/>
      <c r="H19" s="22"/>
    </row>
    <row r="20" spans="1:17">
      <c r="B20" t="s">
        <v>23</v>
      </c>
      <c r="F20" s="9">
        <v>-57275.31</v>
      </c>
      <c r="G20" s="5"/>
      <c r="H20" s="22"/>
    </row>
    <row r="21" spans="1:17">
      <c r="B21" t="s">
        <v>20</v>
      </c>
      <c r="F21" s="65">
        <f>-'Projected kWhs'!C28*1000</f>
        <v>79523.873091411078</v>
      </c>
      <c r="G21" s="8" t="s">
        <v>27</v>
      </c>
      <c r="H21" s="22"/>
    </row>
    <row r="22" spans="1:17">
      <c r="B22" t="s">
        <v>21</v>
      </c>
      <c r="F22" s="66">
        <f>(F19*H6)/12</f>
        <v>-82.767972607310313</v>
      </c>
      <c r="G22" s="5"/>
      <c r="H22" s="22"/>
    </row>
    <row r="23" spans="1:17">
      <c r="A23" t="s">
        <v>18</v>
      </c>
      <c r="B23" s="3">
        <v>43008</v>
      </c>
      <c r="C23" t="s">
        <v>25</v>
      </c>
      <c r="F23" s="9">
        <f>SUM(F19:F22)</f>
        <v>-59918.14465704115</v>
      </c>
      <c r="G23" s="5"/>
      <c r="H23" s="22"/>
    </row>
    <row r="24" spans="1:17">
      <c r="B24" t="s">
        <v>26</v>
      </c>
      <c r="F24" s="9">
        <v>-66109.539999999994</v>
      </c>
      <c r="G24" s="5"/>
      <c r="H24" s="22"/>
    </row>
    <row r="25" spans="1:17">
      <c r="B25" t="s">
        <v>20</v>
      </c>
      <c r="F25" s="65">
        <f>-'Projected kWhs'!D28*1000</f>
        <v>92763.313739351477</v>
      </c>
      <c r="G25" s="8" t="s">
        <v>27</v>
      </c>
      <c r="H25" s="22"/>
    </row>
    <row r="26" spans="1:17">
      <c r="B26" t="s">
        <v>21</v>
      </c>
      <c r="F26" s="66">
        <f>(F23*H6)/12</f>
        <v>-60.417462529183155</v>
      </c>
      <c r="G26" s="5"/>
      <c r="H26" s="22"/>
    </row>
    <row r="27" spans="1:17">
      <c r="A27" s="104" t="s">
        <v>18</v>
      </c>
      <c r="B27" s="3">
        <v>43039</v>
      </c>
      <c r="C27" s="104" t="s">
        <v>25</v>
      </c>
      <c r="F27" s="152">
        <f>SUM(F23:F26)</f>
        <v>-33324.788380218852</v>
      </c>
      <c r="G27" s="8"/>
      <c r="H27" s="22"/>
    </row>
    <row r="28" spans="1:17">
      <c r="F28" s="4"/>
      <c r="H28" s="22"/>
    </row>
    <row r="29" spans="1:17">
      <c r="A29" t="s">
        <v>28</v>
      </c>
      <c r="F29" s="4"/>
      <c r="H29" s="22"/>
    </row>
    <row r="30" spans="1:17">
      <c r="A30" t="s">
        <v>96</v>
      </c>
      <c r="F30" s="4"/>
      <c r="H30" s="22"/>
    </row>
    <row r="31" spans="1:17">
      <c r="F31" s="4"/>
    </row>
    <row r="32" spans="1:17">
      <c r="A32" s="1" t="s">
        <v>30</v>
      </c>
      <c r="F32" s="4"/>
    </row>
    <row r="33" spans="1:6">
      <c r="A33" t="s">
        <v>97</v>
      </c>
      <c r="F33" s="151">
        <f>F6</f>
        <v>-220184.85</v>
      </c>
    </row>
    <row r="34" spans="1:6">
      <c r="A34" t="s">
        <v>31</v>
      </c>
      <c r="F34" s="22">
        <f>F20+F24+F15+F11+F7</f>
        <v>-303918.90999999997</v>
      </c>
    </row>
    <row r="35" spans="1:6">
      <c r="A35" t="s">
        <v>68</v>
      </c>
      <c r="F35" s="2">
        <f>F16</f>
        <v>57261.344809427006</v>
      </c>
    </row>
    <row r="36" spans="1:6">
      <c r="A36" t="s">
        <v>20</v>
      </c>
      <c r="F36" s="2">
        <f>F21+F25+F17+F12+F8</f>
        <v>434253.66929807392</v>
      </c>
    </row>
    <row r="37" spans="1:6">
      <c r="A37" t="s">
        <v>21</v>
      </c>
      <c r="F37" s="150">
        <f>F22+F26+F18+F13+F9</f>
        <v>-736.0424877198268</v>
      </c>
    </row>
    <row r="38" spans="1:6">
      <c r="A38" t="s">
        <v>18</v>
      </c>
      <c r="F38" s="151">
        <f>SUM(F33:F37)</f>
        <v>-33324.788380218932</v>
      </c>
    </row>
    <row r="39" spans="1:6">
      <c r="F39" s="4"/>
    </row>
    <row r="43" spans="1:6">
      <c r="A43" s="104"/>
    </row>
  </sheetData>
  <mergeCells count="3">
    <mergeCell ref="A1:H1"/>
    <mergeCell ref="A2:H2"/>
    <mergeCell ref="A3:H3"/>
  </mergeCells>
  <pageMargins left="1.01" right="0.7" top="0.75" bottom="0.75" header="0.3" footer="0.3"/>
  <pageSetup orientation="portrait" r:id="rId1"/>
  <headerFooter>
    <oddFooter>&amp;L&amp;A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view="pageLayout" zoomScaleNormal="100" workbookViewId="0">
      <selection activeCell="G17" sqref="G17"/>
    </sheetView>
  </sheetViews>
  <sheetFormatPr defaultRowHeight="12.75"/>
  <cols>
    <col min="1" max="2" width="9.140625" style="26"/>
    <col min="3" max="3" width="6.85546875" style="26" customWidth="1"/>
    <col min="4" max="4" width="14" style="26" bestFit="1" customWidth="1"/>
    <col min="5" max="5" width="8.28515625" style="26" bestFit="1" customWidth="1"/>
    <col min="6" max="6" width="12.28515625" style="26" customWidth="1"/>
    <col min="7" max="7" width="12.7109375" style="26" bestFit="1" customWidth="1"/>
    <col min="8" max="8" width="8.28515625" style="26" bestFit="1" customWidth="1"/>
    <col min="9" max="9" width="10.140625" style="26" bestFit="1" customWidth="1"/>
    <col min="10" max="10" width="12.7109375" style="26" bestFit="1" customWidth="1"/>
    <col min="11" max="11" width="5.7109375" style="26" bestFit="1" customWidth="1"/>
    <col min="12" max="12" width="12.28515625" style="26" customWidth="1"/>
    <col min="13" max="16384" width="9.140625" style="26"/>
  </cols>
  <sheetData>
    <row r="1" spans="1:14">
      <c r="A1" s="170" t="s">
        <v>16</v>
      </c>
      <c r="B1" s="170"/>
      <c r="C1" s="170"/>
      <c r="D1" s="170"/>
      <c r="E1" s="170"/>
      <c r="F1" s="170"/>
      <c r="G1" s="170"/>
      <c r="H1" s="170"/>
      <c r="I1" s="170"/>
      <c r="J1" s="170"/>
      <c r="K1" s="170"/>
      <c r="L1" s="70"/>
      <c r="M1" s="70"/>
      <c r="N1" s="70"/>
    </row>
    <row r="2" spans="1:14" ht="14.25" customHeight="1">
      <c r="A2" s="170" t="s">
        <v>42</v>
      </c>
      <c r="B2" s="170"/>
      <c r="C2" s="170"/>
      <c r="D2" s="170"/>
      <c r="E2" s="170"/>
      <c r="F2" s="170"/>
      <c r="G2" s="170"/>
      <c r="H2" s="170"/>
      <c r="I2" s="170"/>
      <c r="J2" s="170"/>
      <c r="K2" s="170"/>
      <c r="L2" s="70"/>
      <c r="M2" s="70"/>
      <c r="N2" s="70"/>
    </row>
    <row r="4" spans="1:14">
      <c r="G4" s="25"/>
      <c r="H4" s="43"/>
      <c r="I4" s="44"/>
      <c r="J4" s="43"/>
      <c r="K4" s="43"/>
      <c r="L4" s="43"/>
    </row>
    <row r="5" spans="1:14">
      <c r="G5" s="43"/>
      <c r="H5" s="43"/>
      <c r="I5" s="43"/>
      <c r="J5" s="43"/>
      <c r="K5" s="43"/>
    </row>
    <row r="6" spans="1:14">
      <c r="A6" s="67" t="s">
        <v>98</v>
      </c>
      <c r="D6" s="45" t="s">
        <v>65</v>
      </c>
      <c r="E6" s="45" t="s">
        <v>3</v>
      </c>
      <c r="F6" s="45" t="s">
        <v>44</v>
      </c>
      <c r="J6" s="43"/>
      <c r="K6" s="43"/>
    </row>
    <row r="7" spans="1:14">
      <c r="A7" s="26" t="s">
        <v>13</v>
      </c>
      <c r="D7" s="46">
        <f>'Load Calculation'!E24</f>
        <v>2525298388</v>
      </c>
      <c r="E7" s="47">
        <f>D7/D9</f>
        <v>0.6774012977958116</v>
      </c>
      <c r="F7" s="27">
        <f>F9*E7</f>
        <v>1935136.1547244031</v>
      </c>
    </row>
    <row r="8" spans="1:14">
      <c r="A8" s="26" t="s">
        <v>14</v>
      </c>
      <c r="D8" s="30">
        <f>'Load Calculation'!F24</f>
        <v>1202622412</v>
      </c>
      <c r="E8" s="48">
        <f>D8/D9</f>
        <v>0.32259870220418846</v>
      </c>
      <c r="F8" s="7">
        <f>F9*E8</f>
        <v>921569.55431560136</v>
      </c>
    </row>
    <row r="9" spans="1:14">
      <c r="A9" s="26" t="s">
        <v>15</v>
      </c>
      <c r="D9" s="6">
        <f>D7+D8</f>
        <v>3727920800</v>
      </c>
      <c r="E9" s="47">
        <f>E7+E8</f>
        <v>1</v>
      </c>
      <c r="F9" s="49">
        <f>D17</f>
        <v>2856705.7090400043</v>
      </c>
    </row>
    <row r="12" spans="1:14">
      <c r="A12" s="26" t="s">
        <v>11</v>
      </c>
      <c r="C12" s="50"/>
      <c r="D12" s="137">
        <v>54.67</v>
      </c>
    </row>
    <row r="13" spans="1:14">
      <c r="A13" s="36" t="s">
        <v>12</v>
      </c>
      <c r="C13" s="52"/>
      <c r="D13" s="138">
        <v>53.903700000000001</v>
      </c>
      <c r="E13" s="36"/>
    </row>
    <row r="14" spans="1:14">
      <c r="C14" s="52"/>
      <c r="D14" s="51">
        <f>D12-D13</f>
        <v>0.76630000000000109</v>
      </c>
      <c r="E14" s="36"/>
    </row>
    <row r="15" spans="1:14">
      <c r="C15" s="52"/>
      <c r="D15" s="51"/>
      <c r="E15" s="36"/>
    </row>
    <row r="16" spans="1:14">
      <c r="A16" s="26" t="s">
        <v>54</v>
      </c>
      <c r="C16" s="52"/>
      <c r="D16" s="53">
        <f>D9</f>
        <v>3727920800</v>
      </c>
      <c r="E16" s="36"/>
    </row>
    <row r="17" spans="1:18">
      <c r="A17" s="26" t="s">
        <v>55</v>
      </c>
      <c r="C17" s="54"/>
      <c r="D17" s="53">
        <f>D14*D16/1000</f>
        <v>2856705.7090400043</v>
      </c>
      <c r="E17" s="36"/>
      <c r="P17" s="55"/>
      <c r="Q17" s="55"/>
      <c r="R17" s="55"/>
    </row>
    <row r="18" spans="1:18">
      <c r="E18" s="36"/>
      <c r="P18" s="56"/>
      <c r="Q18" s="56"/>
      <c r="R18" s="56"/>
    </row>
    <row r="19" spans="1:18">
      <c r="E19" s="36"/>
      <c r="P19" s="56"/>
      <c r="Q19" s="56"/>
      <c r="R19" s="56"/>
    </row>
    <row r="20" spans="1:18">
      <c r="A20" s="26" t="s">
        <v>99</v>
      </c>
      <c r="C20" s="50"/>
      <c r="D20" s="36"/>
      <c r="E20" s="36"/>
      <c r="P20" s="56"/>
      <c r="Q20" s="56"/>
      <c r="R20" s="56"/>
    </row>
    <row r="21" spans="1:18">
      <c r="C21" s="52"/>
      <c r="D21" s="36"/>
      <c r="E21" s="36"/>
      <c r="P21" s="57"/>
      <c r="Q21" s="57"/>
      <c r="R21" s="57"/>
    </row>
    <row r="22" spans="1:18">
      <c r="C22" s="52"/>
      <c r="D22" s="36"/>
      <c r="E22" s="36"/>
    </row>
    <row r="23" spans="1:18">
      <c r="C23" s="50"/>
      <c r="D23" s="36"/>
      <c r="E23" s="36"/>
    </row>
    <row r="24" spans="1:18">
      <c r="C24" s="52"/>
      <c r="D24" s="36"/>
      <c r="E24" s="36"/>
    </row>
    <row r="25" spans="1:18">
      <c r="C25" s="54"/>
      <c r="D25" s="36"/>
      <c r="E25" s="36"/>
    </row>
    <row r="26" spans="1:18">
      <c r="C26" s="54"/>
      <c r="D26" s="36"/>
      <c r="E26" s="36"/>
    </row>
    <row r="27" spans="1:18">
      <c r="C27" s="50"/>
      <c r="D27" s="36"/>
      <c r="E27" s="36"/>
    </row>
    <row r="28" spans="1:18">
      <c r="C28" s="50"/>
      <c r="D28" s="36"/>
      <c r="E28" s="36"/>
    </row>
    <row r="29" spans="1:18">
      <c r="C29" s="36"/>
      <c r="D29" s="36"/>
      <c r="E29" s="36"/>
    </row>
  </sheetData>
  <mergeCells count="2">
    <mergeCell ref="A1:K1"/>
    <mergeCell ref="A2:K2"/>
  </mergeCells>
  <pageMargins left="1.01" right="0.7" top="0.75" bottom="0.75" header="0.3" footer="0.3"/>
  <pageSetup orientation="landscape" r:id="rId1"/>
  <headerFooter>
    <oddFooter>&amp;L&amp;A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2"/>
  <sheetViews>
    <sheetView zoomScaleNormal="100" workbookViewId="0">
      <selection activeCell="M24" sqref="M24"/>
    </sheetView>
  </sheetViews>
  <sheetFormatPr defaultRowHeight="12.75"/>
  <cols>
    <col min="1" max="1" width="13.140625" style="26" bestFit="1" customWidth="1"/>
    <col min="2" max="2" width="11.7109375" style="26" customWidth="1"/>
    <col min="3" max="4" width="11.5703125" style="26" bestFit="1" customWidth="1"/>
    <col min="5" max="5" width="11.28515625" style="26" bestFit="1" customWidth="1"/>
    <col min="6" max="7" width="11.85546875" style="26" bestFit="1" customWidth="1"/>
    <col min="8" max="13" width="11.42578125" style="26" bestFit="1" customWidth="1"/>
    <col min="14" max="14" width="12.85546875" style="26" bestFit="1" customWidth="1"/>
    <col min="15" max="16" width="11.28515625" style="26" bestFit="1" customWidth="1"/>
    <col min="17" max="17" width="9.140625" style="26"/>
    <col min="18" max="18" width="16" style="26" bestFit="1" customWidth="1"/>
    <col min="19" max="16384" width="9.140625" style="26"/>
  </cols>
  <sheetData>
    <row r="1" spans="1:18">
      <c r="A1" s="170" t="s">
        <v>2</v>
      </c>
      <c r="B1" s="170"/>
      <c r="C1" s="170"/>
      <c r="D1" s="170"/>
      <c r="E1" s="170"/>
      <c r="F1" s="170"/>
      <c r="G1" s="170"/>
      <c r="H1" s="170"/>
      <c r="I1" s="170"/>
      <c r="J1" s="170"/>
      <c r="K1" s="170"/>
      <c r="L1" s="170"/>
      <c r="M1" s="170"/>
      <c r="N1" s="170"/>
      <c r="O1" s="170"/>
      <c r="P1" s="170"/>
    </row>
    <row r="2" spans="1:18">
      <c r="A2" s="170" t="s">
        <v>8</v>
      </c>
      <c r="B2" s="170"/>
      <c r="C2" s="170"/>
      <c r="D2" s="170"/>
      <c r="E2" s="170"/>
      <c r="F2" s="170"/>
      <c r="G2" s="170"/>
      <c r="H2" s="170"/>
      <c r="I2" s="170"/>
      <c r="J2" s="170"/>
      <c r="K2" s="170"/>
      <c r="L2" s="170"/>
      <c r="M2" s="170"/>
      <c r="N2" s="170"/>
      <c r="O2" s="170"/>
      <c r="P2" s="170"/>
    </row>
    <row r="3" spans="1:18">
      <c r="A3" s="170" t="s">
        <v>10</v>
      </c>
      <c r="B3" s="170"/>
      <c r="C3" s="170"/>
      <c r="D3" s="170"/>
      <c r="E3" s="170"/>
      <c r="F3" s="170"/>
      <c r="G3" s="170"/>
      <c r="H3" s="170"/>
      <c r="I3" s="170"/>
      <c r="J3" s="170"/>
      <c r="K3" s="170"/>
      <c r="L3" s="170"/>
      <c r="M3" s="170"/>
      <c r="N3" s="170"/>
      <c r="O3" s="170"/>
      <c r="P3" s="170"/>
    </row>
    <row r="4" spans="1:18">
      <c r="A4" s="171" t="s">
        <v>64</v>
      </c>
      <c r="B4" s="171"/>
      <c r="C4" s="171"/>
      <c r="D4" s="171"/>
      <c r="E4" s="171"/>
      <c r="F4" s="171"/>
      <c r="G4" s="171"/>
      <c r="H4" s="171"/>
      <c r="I4" s="171"/>
      <c r="J4" s="171"/>
      <c r="K4" s="171"/>
      <c r="L4" s="171"/>
      <c r="M4" s="171"/>
      <c r="N4" s="171"/>
      <c r="O4" s="171"/>
      <c r="P4" s="171"/>
    </row>
    <row r="6" spans="1:18">
      <c r="A6" s="58" t="s">
        <v>92</v>
      </c>
    </row>
    <row r="7" spans="1:18">
      <c r="A7" s="58" t="s">
        <v>9</v>
      </c>
    </row>
    <row r="8" spans="1:18">
      <c r="P8" s="26" t="s">
        <v>105</v>
      </c>
    </row>
    <row r="9" spans="1:18">
      <c r="A9" s="59"/>
      <c r="B9" s="64">
        <v>43040</v>
      </c>
      <c r="C9" s="64">
        <v>43070</v>
      </c>
      <c r="D9" s="64">
        <v>43101</v>
      </c>
      <c r="E9" s="64">
        <v>43132</v>
      </c>
      <c r="F9" s="64">
        <v>43160</v>
      </c>
      <c r="G9" s="64">
        <v>43191</v>
      </c>
      <c r="H9" s="64">
        <v>43221</v>
      </c>
      <c r="I9" s="64">
        <v>43252</v>
      </c>
      <c r="J9" s="64">
        <v>43282</v>
      </c>
      <c r="K9" s="64">
        <v>43313</v>
      </c>
      <c r="L9" s="64">
        <v>43344</v>
      </c>
      <c r="M9" s="64">
        <v>43374</v>
      </c>
      <c r="N9" s="89" t="s">
        <v>0</v>
      </c>
      <c r="P9" s="26" t="s">
        <v>106</v>
      </c>
    </row>
    <row r="10" spans="1:18">
      <c r="A10" s="33" t="s">
        <v>0</v>
      </c>
    </row>
    <row r="11" spans="1:18">
      <c r="A11" s="60" t="s">
        <v>59</v>
      </c>
      <c r="B11" s="101">
        <v>227355.43486213201</v>
      </c>
      <c r="C11" s="101">
        <v>285752.423761749</v>
      </c>
      <c r="D11" s="101">
        <v>276988.69123352302</v>
      </c>
      <c r="E11" s="101">
        <v>221800.95618741499</v>
      </c>
      <c r="F11" s="101">
        <v>217487.02482509901</v>
      </c>
      <c r="G11" s="101">
        <v>180931.20526870899</v>
      </c>
      <c r="H11" s="101">
        <v>165504.78680450199</v>
      </c>
      <c r="I11" s="101">
        <v>159180.00484981199</v>
      </c>
      <c r="J11" s="101">
        <v>194722.36415325801</v>
      </c>
      <c r="K11" s="101">
        <v>184091.05752748001</v>
      </c>
      <c r="L11" s="101">
        <v>157560.68852248401</v>
      </c>
      <c r="M11" s="101">
        <v>181198.32948622</v>
      </c>
      <c r="N11" s="6">
        <f>SUM(B11:M11)</f>
        <v>2452572.9674823834</v>
      </c>
      <c r="R11" s="6"/>
    </row>
    <row r="12" spans="1:18">
      <c r="A12" s="61" t="s">
        <v>60</v>
      </c>
      <c r="B12" s="101">
        <v>5355.8309842260796</v>
      </c>
      <c r="C12" s="101">
        <v>6678.7388403042696</v>
      </c>
      <c r="D12" s="101">
        <v>6797.0910642403696</v>
      </c>
      <c r="E12" s="101">
        <v>5573.6146279981403</v>
      </c>
      <c r="F12" s="101">
        <v>5393.22681657458</v>
      </c>
      <c r="G12" s="101">
        <v>4467.2200119482504</v>
      </c>
      <c r="H12" s="101">
        <v>4169.6832989539298</v>
      </c>
      <c r="I12" s="101">
        <v>3929.9677008140002</v>
      </c>
      <c r="J12" s="101">
        <v>4409.8711920005398</v>
      </c>
      <c r="K12" s="101">
        <v>4248.9194730863901</v>
      </c>
      <c r="L12" s="101">
        <v>3944.6643527494498</v>
      </c>
      <c r="M12" s="101">
        <v>4521.0616803749599</v>
      </c>
      <c r="N12" s="6">
        <f>SUM(B12:M12)</f>
        <v>59489.890043270956</v>
      </c>
      <c r="R12" s="6"/>
    </row>
    <row r="13" spans="1:18">
      <c r="A13" s="61" t="s">
        <v>61</v>
      </c>
      <c r="B13" s="101">
        <v>2796.3838801970801</v>
      </c>
      <c r="C13" s="101">
        <v>3315.2117018183399</v>
      </c>
      <c r="D13" s="101">
        <v>3374.1921326955498</v>
      </c>
      <c r="E13" s="101">
        <v>2802.9142246306901</v>
      </c>
      <c r="F13" s="101">
        <v>2798.29291672407</v>
      </c>
      <c r="G13" s="101">
        <v>2443.9842877108799</v>
      </c>
      <c r="H13" s="101">
        <v>2396.5726326448598</v>
      </c>
      <c r="I13" s="101">
        <v>2349.5315922535101</v>
      </c>
      <c r="J13" s="101">
        <v>2750.80861064792</v>
      </c>
      <c r="K13" s="101">
        <v>2611.81897466496</v>
      </c>
      <c r="L13" s="101">
        <v>2331.8475358914902</v>
      </c>
      <c r="M13" s="101">
        <v>2525.7763534276</v>
      </c>
      <c r="N13" s="6">
        <f>SUM(B13:M13)</f>
        <v>32497.334843306948</v>
      </c>
      <c r="R13" s="6"/>
    </row>
    <row r="14" spans="1:18">
      <c r="A14" s="61" t="s">
        <v>62</v>
      </c>
      <c r="B14" s="101">
        <v>279.12262629639997</v>
      </c>
      <c r="C14" s="101">
        <v>276.22101176759003</v>
      </c>
      <c r="D14" s="101">
        <v>293.12098760393201</v>
      </c>
      <c r="E14" s="101">
        <v>247.15496540386201</v>
      </c>
      <c r="F14" s="101">
        <v>268.569106633959</v>
      </c>
      <c r="G14" s="101">
        <v>485.937462434162</v>
      </c>
      <c r="H14" s="101">
        <v>792.90036708913397</v>
      </c>
      <c r="I14" s="101">
        <v>1168.81556460402</v>
      </c>
      <c r="J14" s="101">
        <v>1762.50677767671</v>
      </c>
      <c r="K14" s="101">
        <v>1589.1383522715901</v>
      </c>
      <c r="L14" s="101">
        <v>992.31534183824397</v>
      </c>
      <c r="M14" s="101">
        <v>539.60259401956296</v>
      </c>
      <c r="N14" s="6">
        <f>SUM(B14:M14)</f>
        <v>8695.4051576391666</v>
      </c>
      <c r="R14" s="6"/>
    </row>
    <row r="15" spans="1:18">
      <c r="A15" s="60" t="s">
        <v>63</v>
      </c>
      <c r="B15" s="30">
        <v>237.511</v>
      </c>
      <c r="C15" s="30">
        <v>237.511</v>
      </c>
      <c r="D15" s="30">
        <v>237.511</v>
      </c>
      <c r="E15" s="30">
        <v>237.511</v>
      </c>
      <c r="F15" s="30">
        <v>237.511</v>
      </c>
      <c r="G15" s="30">
        <v>237.511</v>
      </c>
      <c r="H15" s="30">
        <v>237.511</v>
      </c>
      <c r="I15" s="30">
        <v>237.511</v>
      </c>
      <c r="J15" s="30">
        <v>237.511</v>
      </c>
      <c r="K15" s="30">
        <v>237.511</v>
      </c>
      <c r="L15" s="30">
        <v>237.511</v>
      </c>
      <c r="M15" s="30">
        <v>237.511</v>
      </c>
      <c r="N15" s="7">
        <f>SUM(B15:M15)</f>
        <v>2850.1320000000001</v>
      </c>
    </row>
    <row r="16" spans="1:18">
      <c r="A16" s="26" t="s">
        <v>0</v>
      </c>
      <c r="B16" s="46">
        <f t="shared" ref="B16:N16" si="0">SUM(B11:B15)</f>
        <v>236024.28335285155</v>
      </c>
      <c r="C16" s="46">
        <f t="shared" si="0"/>
        <v>296260.10631563916</v>
      </c>
      <c r="D16" s="46">
        <f t="shared" si="0"/>
        <v>287690.60641806287</v>
      </c>
      <c r="E16" s="46">
        <f t="shared" si="0"/>
        <v>230662.1510054477</v>
      </c>
      <c r="F16" s="46">
        <f t="shared" si="0"/>
        <v>226184.62466503162</v>
      </c>
      <c r="G16" s="46">
        <f t="shared" si="0"/>
        <v>188565.85803080231</v>
      </c>
      <c r="H16" s="46">
        <f t="shared" si="0"/>
        <v>173101.4541031899</v>
      </c>
      <c r="I16" s="46">
        <f t="shared" si="0"/>
        <v>166865.83070748352</v>
      </c>
      <c r="J16" s="46">
        <f t="shared" si="0"/>
        <v>203883.06173358316</v>
      </c>
      <c r="K16" s="46">
        <f t="shared" si="0"/>
        <v>192778.44532750294</v>
      </c>
      <c r="L16" s="46">
        <f t="shared" si="0"/>
        <v>165067.0267529632</v>
      </c>
      <c r="M16" s="46">
        <f t="shared" si="0"/>
        <v>189022.2811140421</v>
      </c>
      <c r="N16" s="6">
        <f t="shared" si="0"/>
        <v>2556105.7295266003</v>
      </c>
      <c r="P16" s="160">
        <f>ROUND('Proposed ResEx Rate'!$G$27,5)</f>
        <v>-2.9999999999999997E-4</v>
      </c>
      <c r="R16" s="6">
        <f>(N16*1000)*P16</f>
        <v>-766831.71885797998</v>
      </c>
    </row>
    <row r="18" spans="1:25">
      <c r="A18" s="33" t="s">
        <v>101</v>
      </c>
      <c r="B18" s="64">
        <v>42948</v>
      </c>
      <c r="C18" s="64">
        <v>42979</v>
      </c>
      <c r="D18" s="64">
        <v>43009</v>
      </c>
      <c r="E18" s="47"/>
    </row>
    <row r="19" spans="1:25">
      <c r="A19" s="26" t="str">
        <f t="shared" ref="A19:A24" si="1">A11</f>
        <v>WA001</v>
      </c>
      <c r="B19" s="101">
        <v>185468.54699806601</v>
      </c>
      <c r="C19" s="101">
        <v>156014.65515072201</v>
      </c>
      <c r="D19" s="101">
        <v>182887.49137639799</v>
      </c>
      <c r="E19" s="6"/>
      <c r="F19" s="6"/>
      <c r="G19" s="6"/>
      <c r="H19" s="6"/>
      <c r="I19" s="6"/>
      <c r="J19" s="6"/>
      <c r="K19" s="6"/>
      <c r="L19" s="6"/>
      <c r="M19" s="6"/>
      <c r="N19" s="6"/>
      <c r="O19" s="6"/>
      <c r="P19" s="6" t="s">
        <v>107</v>
      </c>
      <c r="R19" s="161">
        <v>515561000</v>
      </c>
    </row>
    <row r="20" spans="1:25">
      <c r="A20" s="26" t="str">
        <f t="shared" si="1"/>
        <v>WA012</v>
      </c>
      <c r="B20" s="101">
        <v>4193.7605352799601</v>
      </c>
      <c r="C20" s="101">
        <v>3900.2441699959199</v>
      </c>
      <c r="D20" s="101">
        <v>4469.9056523894096</v>
      </c>
      <c r="E20" s="6"/>
      <c r="F20" s="6"/>
      <c r="G20" s="6"/>
      <c r="H20" s="46"/>
      <c r="I20" s="46"/>
      <c r="J20" s="46"/>
      <c r="K20" s="46"/>
      <c r="L20" s="46"/>
      <c r="M20" s="46"/>
      <c r="N20" s="46"/>
      <c r="O20" s="46"/>
      <c r="P20" s="46"/>
      <c r="Q20" s="36"/>
      <c r="R20" s="36"/>
      <c r="S20" s="36"/>
      <c r="T20" s="36"/>
      <c r="U20" s="36"/>
      <c r="V20" s="36"/>
    </row>
    <row r="21" spans="1:25">
      <c r="A21" s="26" t="str">
        <f t="shared" si="1"/>
        <v>WA022</v>
      </c>
      <c r="B21" s="101">
        <v>2660.1052734947698</v>
      </c>
      <c r="C21" s="101">
        <v>2346.4927360936399</v>
      </c>
      <c r="D21" s="101">
        <v>2564.0123159196801</v>
      </c>
      <c r="E21" s="62"/>
      <c r="F21" s="62"/>
      <c r="G21" s="62"/>
      <c r="H21" s="142"/>
      <c r="I21" s="142"/>
      <c r="J21" s="142"/>
      <c r="K21" s="142"/>
      <c r="L21" s="142"/>
      <c r="M21" s="142"/>
      <c r="N21" s="142"/>
      <c r="O21" s="142"/>
      <c r="P21" s="142"/>
      <c r="Q21" s="50"/>
      <c r="R21" s="162">
        <f>R16/R19</f>
        <v>-1.4873734026778207E-3</v>
      </c>
      <c r="S21" s="36"/>
      <c r="T21" s="36"/>
      <c r="U21" s="36"/>
      <c r="V21" s="36"/>
    </row>
    <row r="22" spans="1:25">
      <c r="A22" s="26" t="str">
        <f t="shared" si="1"/>
        <v>WA032</v>
      </c>
      <c r="B22" s="101">
        <v>1606.69998379715</v>
      </c>
      <c r="C22" s="101">
        <v>974.04604995376997</v>
      </c>
      <c r="D22" s="101">
        <v>529.63488268816195</v>
      </c>
      <c r="E22" s="43"/>
      <c r="F22" s="62"/>
      <c r="G22" s="62"/>
      <c r="H22" s="149"/>
      <c r="I22" s="149"/>
      <c r="J22" s="149"/>
      <c r="K22" s="149"/>
      <c r="L22" s="149"/>
      <c r="M22" s="149"/>
      <c r="N22" s="149"/>
      <c r="O22" s="149"/>
      <c r="P22" s="149"/>
      <c r="Q22" s="149"/>
      <c r="R22" s="149"/>
      <c r="S22" s="149"/>
      <c r="T22" s="50"/>
      <c r="U22" s="50"/>
      <c r="V22" s="50"/>
      <c r="W22" s="50"/>
      <c r="X22" s="50"/>
      <c r="Y22" s="50"/>
    </row>
    <row r="23" spans="1:25">
      <c r="A23" s="26" t="str">
        <f t="shared" si="1"/>
        <v>WA048</v>
      </c>
      <c r="B23" s="30">
        <v>237.511</v>
      </c>
      <c r="C23" s="30">
        <v>237.511</v>
      </c>
      <c r="D23" s="30">
        <v>237.511</v>
      </c>
      <c r="E23" s="62"/>
      <c r="F23" s="62"/>
      <c r="G23" s="62"/>
      <c r="H23" s="142"/>
      <c r="I23" s="142"/>
      <c r="J23" s="142"/>
      <c r="K23" s="142"/>
      <c r="L23" s="142"/>
      <c r="M23" s="142"/>
      <c r="N23" s="142"/>
      <c r="O23" s="142"/>
      <c r="P23" s="142"/>
      <c r="Q23" s="142"/>
      <c r="R23" s="142"/>
      <c r="S23" s="142"/>
      <c r="T23" s="50"/>
      <c r="U23" s="50"/>
      <c r="V23" s="50"/>
      <c r="W23" s="50"/>
      <c r="X23" s="50"/>
      <c r="Y23" s="50"/>
    </row>
    <row r="24" spans="1:25">
      <c r="A24" s="26" t="str">
        <f t="shared" si="1"/>
        <v>Total</v>
      </c>
      <c r="B24" s="6">
        <f>SUM(B19:B23)</f>
        <v>194166.62379063788</v>
      </c>
      <c r="C24" s="6">
        <f>SUM(C19:C23)</f>
        <v>163472.94910676533</v>
      </c>
      <c r="D24" s="6">
        <f>SUM(D19:D23)</f>
        <v>190688.55522739523</v>
      </c>
      <c r="E24" s="62"/>
      <c r="F24" s="62"/>
      <c r="G24" s="62"/>
      <c r="H24" s="142"/>
      <c r="I24" s="142"/>
      <c r="J24" s="142"/>
      <c r="K24" s="142"/>
      <c r="L24" s="142"/>
      <c r="M24" s="142"/>
      <c r="N24" s="142"/>
      <c r="O24" s="142"/>
      <c r="P24" s="142"/>
      <c r="Q24" s="50"/>
      <c r="R24" s="50"/>
      <c r="S24" s="50"/>
      <c r="T24" s="50"/>
      <c r="U24" s="50"/>
      <c r="V24" s="50"/>
      <c r="W24" s="50"/>
      <c r="X24" s="50"/>
      <c r="Y24" s="50"/>
    </row>
    <row r="25" spans="1:25">
      <c r="A25" s="26" t="s">
        <v>4</v>
      </c>
      <c r="B25" s="140">
        <v>-5.1000000000000004E-4</v>
      </c>
      <c r="C25" s="140">
        <f>B25</f>
        <v>-5.1000000000000004E-4</v>
      </c>
      <c r="D25" s="140">
        <f>C25</f>
        <v>-5.1000000000000004E-4</v>
      </c>
      <c r="E25" s="62"/>
      <c r="F25" s="62"/>
      <c r="G25" s="62"/>
      <c r="H25" s="92"/>
      <c r="I25" s="143"/>
      <c r="J25" s="143"/>
      <c r="K25" s="143"/>
      <c r="L25" s="143"/>
      <c r="M25" s="143"/>
      <c r="N25" s="143"/>
      <c r="O25" s="143"/>
      <c r="P25" s="143"/>
      <c r="Q25" s="143"/>
      <c r="R25" s="143"/>
      <c r="S25" s="143"/>
      <c r="T25" s="143"/>
      <c r="U25" s="143"/>
      <c r="V25" s="143"/>
      <c r="W25" s="143"/>
      <c r="X25" s="143"/>
      <c r="Y25" s="50"/>
    </row>
    <row r="26" spans="1:25">
      <c r="A26" s="26" t="s">
        <v>5</v>
      </c>
      <c r="B26" s="27">
        <f>B24*B25</f>
        <v>-99.024978133225332</v>
      </c>
      <c r="C26" s="27">
        <f>C24*C25</f>
        <v>-83.371204044450323</v>
      </c>
      <c r="D26" s="27">
        <f>D24*D25</f>
        <v>-97.251163165971576</v>
      </c>
      <c r="E26" s="69"/>
      <c r="F26" s="62"/>
      <c r="G26" s="62"/>
      <c r="H26" s="92"/>
      <c r="I26" s="143"/>
      <c r="J26" s="143"/>
      <c r="K26" s="143"/>
      <c r="L26" s="143"/>
      <c r="M26" s="143"/>
      <c r="N26" s="143"/>
      <c r="O26" s="143"/>
      <c r="P26" s="143"/>
      <c r="Q26" s="143"/>
      <c r="R26" s="143"/>
      <c r="S26" s="143"/>
      <c r="T26" s="143"/>
      <c r="U26" s="143"/>
      <c r="V26" s="143"/>
      <c r="W26" s="143"/>
      <c r="X26" s="143"/>
      <c r="Y26" s="50"/>
    </row>
    <row r="27" spans="1:25">
      <c r="A27" s="26" t="s">
        <v>6</v>
      </c>
      <c r="B27" s="135">
        <f>'Proposed ResEx Rate'!G13</f>
        <v>0.95385299999999995</v>
      </c>
      <c r="C27" s="71">
        <f>B27</f>
        <v>0.95385299999999995</v>
      </c>
      <c r="D27" s="71">
        <f>B27</f>
        <v>0.95385299999999995</v>
      </c>
      <c r="E27" s="87"/>
      <c r="F27" s="62"/>
      <c r="G27" s="62"/>
      <c r="H27" s="92"/>
      <c r="I27" s="143"/>
      <c r="J27" s="143"/>
      <c r="K27" s="143"/>
      <c r="L27" s="143"/>
      <c r="M27" s="143"/>
      <c r="N27" s="143"/>
      <c r="O27" s="143"/>
      <c r="P27" s="143"/>
      <c r="Q27" s="143"/>
      <c r="R27" s="143"/>
      <c r="S27" s="143"/>
      <c r="T27" s="143"/>
      <c r="U27" s="143"/>
      <c r="V27" s="143"/>
      <c r="W27" s="143"/>
      <c r="X27" s="143"/>
      <c r="Y27" s="50"/>
    </row>
    <row r="28" spans="1:25">
      <c r="A28" s="26" t="s">
        <v>7</v>
      </c>
      <c r="B28" s="27">
        <f>B26*B27</f>
        <v>-94.455272467311374</v>
      </c>
      <c r="C28" s="27">
        <f>C26*C27</f>
        <v>-79.523873091411076</v>
      </c>
      <c r="D28" s="27">
        <f>D26*D27</f>
        <v>-92.763313739351474</v>
      </c>
      <c r="E28" s="88"/>
      <c r="F28" s="62"/>
      <c r="G28" s="62"/>
      <c r="H28" s="92"/>
      <c r="I28" s="143"/>
      <c r="J28" s="143"/>
      <c r="K28" s="143"/>
      <c r="L28" s="143"/>
      <c r="M28" s="143"/>
      <c r="N28" s="143"/>
      <c r="O28" s="143"/>
      <c r="P28" s="143"/>
      <c r="Q28" s="143"/>
      <c r="R28" s="143"/>
      <c r="S28" s="143"/>
      <c r="T28" s="143"/>
      <c r="U28" s="143"/>
      <c r="V28" s="143"/>
      <c r="W28" s="143"/>
      <c r="X28" s="143"/>
      <c r="Y28" s="50"/>
    </row>
    <row r="29" spans="1:25">
      <c r="C29" s="6"/>
      <c r="D29" s="87"/>
      <c r="E29" s="87"/>
      <c r="F29" s="62"/>
      <c r="G29" s="62"/>
      <c r="H29" s="92"/>
      <c r="I29" s="143"/>
      <c r="J29" s="143"/>
      <c r="K29" s="143"/>
      <c r="L29" s="143"/>
      <c r="M29" s="143"/>
      <c r="N29" s="143"/>
      <c r="O29" s="143"/>
      <c r="P29" s="143"/>
      <c r="Q29" s="143"/>
      <c r="R29" s="143"/>
      <c r="S29" s="143"/>
      <c r="T29" s="143"/>
      <c r="U29" s="143"/>
      <c r="V29" s="143"/>
      <c r="W29" s="143"/>
      <c r="X29" s="143"/>
      <c r="Y29" s="50"/>
    </row>
    <row r="30" spans="1:25">
      <c r="D30" s="43"/>
      <c r="E30" s="43"/>
      <c r="F30" s="43"/>
      <c r="G30" s="43"/>
      <c r="H30" s="92"/>
      <c r="I30" s="143"/>
      <c r="J30" s="143"/>
      <c r="K30" s="143"/>
      <c r="L30" s="143"/>
      <c r="M30" s="143"/>
      <c r="N30" s="143"/>
      <c r="O30" s="143"/>
      <c r="P30" s="143"/>
      <c r="Q30" s="143"/>
      <c r="R30" s="143"/>
      <c r="S30" s="143"/>
      <c r="T30" s="143"/>
      <c r="U30" s="143"/>
      <c r="V30" s="143"/>
      <c r="W30" s="143"/>
      <c r="X30" s="143"/>
      <c r="Y30" s="50"/>
    </row>
    <row r="31" spans="1:25">
      <c r="D31" s="43"/>
      <c r="E31" s="43"/>
      <c r="F31" s="25"/>
      <c r="G31" s="43"/>
      <c r="H31" s="144"/>
      <c r="I31" s="144"/>
      <c r="J31" s="144"/>
      <c r="K31" s="144"/>
      <c r="L31" s="144"/>
      <c r="M31" s="144"/>
      <c r="N31" s="144"/>
      <c r="O31" s="50"/>
      <c r="P31" s="50"/>
      <c r="Q31" s="50"/>
      <c r="R31" s="50"/>
      <c r="S31" s="50"/>
      <c r="T31" s="50"/>
      <c r="U31" s="50"/>
      <c r="V31" s="50"/>
      <c r="W31" s="50"/>
      <c r="X31" s="50"/>
      <c r="Y31" s="50"/>
    </row>
    <row r="32" spans="1:25">
      <c r="D32" s="68"/>
      <c r="E32" s="63"/>
      <c r="F32" s="63"/>
      <c r="G32" s="43"/>
      <c r="H32" s="145"/>
      <c r="I32" s="145"/>
      <c r="J32" s="145"/>
      <c r="K32" s="145"/>
      <c r="L32" s="145"/>
      <c r="M32" s="145"/>
      <c r="N32" s="145"/>
      <c r="O32" s="50"/>
      <c r="P32" s="50"/>
      <c r="Q32" s="50"/>
      <c r="R32" s="50"/>
      <c r="S32" s="50"/>
      <c r="T32" s="50"/>
      <c r="U32" s="50"/>
      <c r="V32" s="50"/>
      <c r="W32" s="50"/>
      <c r="X32" s="50"/>
      <c r="Y32" s="50"/>
    </row>
    <row r="33" spans="1:25">
      <c r="A33" s="36"/>
      <c r="B33" s="36"/>
      <c r="C33" s="36"/>
      <c r="D33" s="50"/>
      <c r="E33" s="92"/>
      <c r="F33" s="99"/>
      <c r="G33" s="50"/>
      <c r="H33" s="146"/>
      <c r="I33" s="146"/>
      <c r="J33" s="146"/>
      <c r="K33" s="146"/>
      <c r="L33" s="146"/>
      <c r="M33" s="146"/>
      <c r="N33" s="146"/>
      <c r="O33" s="50"/>
      <c r="P33" s="50"/>
      <c r="Q33" s="50"/>
      <c r="R33" s="50"/>
      <c r="S33" s="50"/>
      <c r="T33" s="50"/>
      <c r="U33" s="50"/>
      <c r="V33" s="50"/>
      <c r="W33" s="50"/>
      <c r="X33" s="50"/>
      <c r="Y33" s="50"/>
    </row>
    <row r="34" spans="1:25">
      <c r="A34" s="36"/>
      <c r="B34" s="36"/>
      <c r="C34" s="36"/>
      <c r="D34" s="50"/>
      <c r="E34" s="92"/>
      <c r="F34" s="99"/>
      <c r="G34" s="50"/>
      <c r="H34" s="147"/>
      <c r="I34" s="147"/>
      <c r="J34" s="147"/>
      <c r="K34" s="147"/>
      <c r="L34" s="147"/>
      <c r="M34" s="147"/>
      <c r="N34" s="147"/>
      <c r="O34" s="50"/>
      <c r="P34" s="50"/>
      <c r="Q34" s="50"/>
      <c r="R34" s="50"/>
      <c r="S34" s="50"/>
      <c r="T34" s="50"/>
      <c r="U34" s="50"/>
      <c r="V34" s="50"/>
      <c r="W34" s="50"/>
      <c r="X34" s="50"/>
      <c r="Y34" s="50"/>
    </row>
    <row r="35" spans="1:25">
      <c r="A35" s="90"/>
      <c r="B35" s="90"/>
      <c r="C35" s="96"/>
      <c r="D35" s="96"/>
      <c r="E35" s="96"/>
      <c r="F35" s="96"/>
      <c r="G35" s="96"/>
      <c r="H35" s="36"/>
      <c r="I35" s="36"/>
      <c r="J35" s="36"/>
      <c r="K35" s="36"/>
      <c r="L35" s="36"/>
      <c r="M35" s="36"/>
      <c r="N35" s="36"/>
      <c r="O35" s="36"/>
    </row>
    <row r="36" spans="1:25">
      <c r="A36" s="91"/>
      <c r="B36" s="91"/>
      <c r="C36" s="100"/>
      <c r="D36" s="100"/>
      <c r="E36" s="100"/>
      <c r="F36" s="100"/>
      <c r="G36" s="100"/>
      <c r="H36" s="94"/>
      <c r="I36" s="94"/>
      <c r="J36" s="94"/>
      <c r="K36" s="94"/>
      <c r="L36" s="94"/>
      <c r="M36" s="94"/>
      <c r="N36" s="94"/>
      <c r="O36" s="36"/>
    </row>
    <row r="37" spans="1:25">
      <c r="A37" s="93"/>
      <c r="B37" s="93"/>
      <c r="C37" s="98"/>
      <c r="D37" s="98"/>
      <c r="E37" s="98"/>
      <c r="F37" s="98"/>
      <c r="G37" s="98"/>
      <c r="H37" s="94"/>
      <c r="I37" s="94"/>
      <c r="J37" s="94"/>
      <c r="K37" s="94"/>
      <c r="L37" s="94"/>
      <c r="M37" s="94"/>
      <c r="N37" s="94"/>
      <c r="O37" s="36"/>
    </row>
    <row r="38" spans="1:25">
      <c r="A38" s="95"/>
      <c r="B38" s="95"/>
      <c r="C38" s="102"/>
      <c r="D38" s="102"/>
      <c r="E38" s="102"/>
      <c r="F38" s="102"/>
      <c r="G38" s="102"/>
      <c r="H38" s="94"/>
      <c r="I38" s="94"/>
      <c r="J38" s="94"/>
      <c r="K38" s="94"/>
      <c r="L38" s="94"/>
      <c r="M38" s="94"/>
      <c r="N38" s="94"/>
      <c r="O38" s="36"/>
    </row>
    <row r="39" spans="1:25">
      <c r="A39" s="36"/>
      <c r="B39" s="36"/>
      <c r="C39" s="36"/>
      <c r="D39" s="50"/>
      <c r="E39" s="69"/>
      <c r="F39" s="69"/>
      <c r="G39" s="50"/>
      <c r="H39" s="94"/>
      <c r="I39" s="94"/>
      <c r="J39" s="94"/>
      <c r="K39" s="94"/>
      <c r="L39" s="94"/>
      <c r="M39" s="94"/>
      <c r="N39" s="94"/>
      <c r="O39" s="36"/>
    </row>
    <row r="40" spans="1:25">
      <c r="A40" s="94"/>
      <c r="B40" s="94"/>
      <c r="C40" s="94"/>
      <c r="D40" s="94"/>
      <c r="E40" s="94"/>
      <c r="F40" s="94"/>
      <c r="G40" s="94"/>
      <c r="H40" s="36"/>
      <c r="I40" s="36"/>
      <c r="J40" s="36"/>
      <c r="K40" s="36"/>
      <c r="L40" s="36"/>
      <c r="M40" s="36"/>
      <c r="N40" s="36"/>
      <c r="O40" s="36"/>
    </row>
    <row r="41" spans="1:25">
      <c r="A41" s="94"/>
      <c r="B41" s="94"/>
      <c r="C41" s="94"/>
      <c r="D41" s="94"/>
      <c r="E41" s="94"/>
      <c r="F41" s="94"/>
      <c r="G41" s="94"/>
    </row>
    <row r="42" spans="1:25">
      <c r="A42" s="94"/>
      <c r="B42" s="94"/>
      <c r="C42" s="94"/>
      <c r="D42" s="94"/>
      <c r="E42" s="94"/>
      <c r="F42" s="94"/>
      <c r="G42" s="94"/>
    </row>
    <row r="43" spans="1:25">
      <c r="A43" s="94"/>
      <c r="B43" s="94"/>
      <c r="C43" s="94"/>
      <c r="D43" s="94"/>
      <c r="E43" s="94"/>
      <c r="F43" s="94"/>
      <c r="G43" s="94"/>
    </row>
    <row r="44" spans="1:25">
      <c r="A44" s="36"/>
      <c r="B44" s="36"/>
      <c r="C44" s="36"/>
      <c r="D44" s="50"/>
      <c r="E44" s="50"/>
      <c r="F44" s="50"/>
      <c r="G44" s="50"/>
    </row>
    <row r="48" spans="1:25">
      <c r="H48" s="6"/>
      <c r="I48" s="6"/>
      <c r="J48" s="6"/>
      <c r="K48" s="6"/>
      <c r="L48" s="6"/>
      <c r="M48" s="6"/>
      <c r="N48" s="6"/>
    </row>
    <row r="52" spans="4:7">
      <c r="D52" s="6"/>
      <c r="E52" s="6"/>
      <c r="F52" s="6"/>
      <c r="G52" s="6"/>
    </row>
  </sheetData>
  <mergeCells count="4">
    <mergeCell ref="A1:P1"/>
    <mergeCell ref="A2:P2"/>
    <mergeCell ref="A4:P4"/>
    <mergeCell ref="A3:P3"/>
  </mergeCells>
  <pageMargins left="1.01" right="0.7" top="0.75" bottom="0.75" header="0.3" footer="0.3"/>
  <pageSetup scale="57" orientation="landscape" r:id="rId1"/>
  <headerFooter>
    <oddFooter>&amp;L&amp;A</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zoomScaleNormal="100" workbookViewId="0">
      <selection activeCell="E28" sqref="E28"/>
    </sheetView>
  </sheetViews>
  <sheetFormatPr defaultRowHeight="12.75"/>
  <cols>
    <col min="1" max="1" width="10" style="11" bestFit="1" customWidth="1"/>
    <col min="2" max="6" width="17.140625" style="11" customWidth="1"/>
    <col min="7" max="7" width="16.85546875" style="11" bestFit="1" customWidth="1"/>
    <col min="8" max="8" width="17.140625" style="11" customWidth="1"/>
    <col min="9" max="9" width="17.7109375" style="11" customWidth="1"/>
    <col min="10" max="10" width="17.140625" style="12" customWidth="1"/>
    <col min="11" max="13" width="17.140625" style="11" customWidth="1"/>
    <col min="14" max="16384" width="9.140625" style="11"/>
  </cols>
  <sheetData>
    <row r="1" spans="1:13" ht="15">
      <c r="A1" s="10" t="s">
        <v>45</v>
      </c>
      <c r="B1" s="75"/>
      <c r="C1" s="75"/>
      <c r="D1" s="75"/>
      <c r="E1" s="75"/>
      <c r="F1" s="75"/>
      <c r="G1" s="75"/>
      <c r="H1"/>
      <c r="I1" s="74"/>
      <c r="J1" s="74"/>
      <c r="K1" s="74"/>
      <c r="L1" s="74"/>
      <c r="M1" s="74"/>
    </row>
    <row r="2" spans="1:13" ht="15">
      <c r="A2" s="10" t="s">
        <v>46</v>
      </c>
      <c r="B2" s="75"/>
      <c r="C2" s="75"/>
      <c r="D2" s="75"/>
      <c r="E2" s="75"/>
      <c r="F2" s="75"/>
      <c r="G2" s="75"/>
      <c r="H2"/>
      <c r="I2" s="74"/>
      <c r="J2" s="74"/>
      <c r="K2" s="74"/>
      <c r="L2" s="74"/>
      <c r="M2" s="74"/>
    </row>
    <row r="3" spans="1:13" ht="15">
      <c r="A3"/>
      <c r="B3" s="75"/>
      <c r="C3" s="75"/>
      <c r="D3" s="75"/>
      <c r="E3" s="75"/>
      <c r="F3" s="75"/>
      <c r="G3" s="75"/>
      <c r="H3"/>
      <c r="I3"/>
      <c r="J3"/>
      <c r="K3"/>
      <c r="L3"/>
      <c r="M3"/>
    </row>
    <row r="4" spans="1:13" ht="12.75" customHeight="1">
      <c r="A4"/>
      <c r="B4" s="75"/>
      <c r="C4" s="75"/>
      <c r="D4" s="75"/>
      <c r="E4" s="75"/>
      <c r="F4" s="75"/>
      <c r="G4" s="75"/>
      <c r="H4"/>
      <c r="I4" s="173" t="s">
        <v>93</v>
      </c>
      <c r="J4" s="13"/>
      <c r="K4" s="74"/>
      <c r="L4" s="74"/>
      <c r="M4" s="74"/>
    </row>
    <row r="5" spans="1:13" ht="15">
      <c r="A5"/>
      <c r="B5" s="175">
        <v>2015</v>
      </c>
      <c r="C5" s="175"/>
      <c r="D5" s="14"/>
      <c r="E5" s="175">
        <v>2016</v>
      </c>
      <c r="F5" s="175"/>
      <c r="G5" s="75"/>
      <c r="H5"/>
      <c r="I5" s="173"/>
      <c r="J5" s="13"/>
      <c r="K5" s="175" t="s">
        <v>47</v>
      </c>
      <c r="L5" s="175"/>
      <c r="M5" s="175"/>
    </row>
    <row r="6" spans="1:13" ht="34.5" customHeight="1">
      <c r="A6"/>
      <c r="B6" s="86" t="s">
        <v>49</v>
      </c>
      <c r="C6" s="86" t="s">
        <v>50</v>
      </c>
      <c r="D6" s="86" t="s">
        <v>0</v>
      </c>
      <c r="E6" s="86" t="s">
        <v>49</v>
      </c>
      <c r="F6" s="86" t="s">
        <v>50</v>
      </c>
      <c r="G6" s="86" t="s">
        <v>0</v>
      </c>
      <c r="H6" s="15" t="s">
        <v>47</v>
      </c>
      <c r="I6" s="174"/>
      <c r="J6" s="73" t="s">
        <v>77</v>
      </c>
      <c r="K6" s="72" t="s">
        <v>49</v>
      </c>
      <c r="L6" s="72" t="s">
        <v>50</v>
      </c>
      <c r="M6" s="15" t="s">
        <v>48</v>
      </c>
    </row>
    <row r="7" spans="1:13" ht="15">
      <c r="A7" t="s">
        <v>76</v>
      </c>
      <c r="B7" s="154">
        <v>299959981</v>
      </c>
      <c r="C7" s="154">
        <v>144703816</v>
      </c>
      <c r="D7" s="84">
        <f t="shared" ref="D7:D18" si="0">SUM(B7:C7)</f>
        <v>444663797</v>
      </c>
      <c r="E7" s="156">
        <v>305035443</v>
      </c>
      <c r="F7" s="156">
        <v>147835714</v>
      </c>
      <c r="G7" s="84">
        <f t="shared" ref="G7:G18" si="1">SUM(E7:F7)</f>
        <v>452871157</v>
      </c>
      <c r="H7" s="23">
        <f t="shared" ref="H7:H18" si="2">AVERAGE(G7,D7)</f>
        <v>448767477</v>
      </c>
      <c r="I7" s="83">
        <v>448767477</v>
      </c>
      <c r="J7" s="82">
        <f t="shared" ref="J7:J18" si="3">H7-I7</f>
        <v>0</v>
      </c>
      <c r="K7" s="81">
        <f t="shared" ref="K7:K18" si="4">AVERAGE(E7,B7)</f>
        <v>302497712</v>
      </c>
      <c r="L7" s="81">
        <f t="shared" ref="L7:L18" si="5">AVERAGE(F7,C7)</f>
        <v>146269765</v>
      </c>
      <c r="M7" s="16">
        <f t="shared" ref="M7:M18" si="6">K7+L7</f>
        <v>448767477</v>
      </c>
    </row>
    <row r="8" spans="1:13" ht="15">
      <c r="A8" t="s">
        <v>75</v>
      </c>
      <c r="B8" s="154">
        <v>281689327</v>
      </c>
      <c r="C8" s="154">
        <v>127353002</v>
      </c>
      <c r="D8" s="84">
        <f t="shared" si="0"/>
        <v>409042329</v>
      </c>
      <c r="E8" s="154">
        <v>250728525</v>
      </c>
      <c r="F8" s="154">
        <v>119599533</v>
      </c>
      <c r="G8" s="84">
        <f t="shared" si="1"/>
        <v>370328058</v>
      </c>
      <c r="H8" s="23">
        <f t="shared" si="2"/>
        <v>389685193.5</v>
      </c>
      <c r="I8" s="83">
        <v>389685194</v>
      </c>
      <c r="J8" s="82">
        <f t="shared" si="3"/>
        <v>-0.5</v>
      </c>
      <c r="K8" s="81">
        <f t="shared" si="4"/>
        <v>266208926</v>
      </c>
      <c r="L8" s="81">
        <f t="shared" si="5"/>
        <v>123476267.5</v>
      </c>
      <c r="M8" s="16">
        <f t="shared" si="6"/>
        <v>389685193.5</v>
      </c>
    </row>
    <row r="9" spans="1:13" ht="15">
      <c r="A9" t="s">
        <v>74</v>
      </c>
      <c r="B9" s="154">
        <v>218321721</v>
      </c>
      <c r="C9" s="154">
        <v>106805888</v>
      </c>
      <c r="D9" s="84">
        <f t="shared" si="0"/>
        <v>325127609</v>
      </c>
      <c r="E9" s="154">
        <v>215850615</v>
      </c>
      <c r="F9" s="154">
        <v>105248114</v>
      </c>
      <c r="G9" s="84">
        <f t="shared" si="1"/>
        <v>321098729</v>
      </c>
      <c r="H9" s="23">
        <f t="shared" si="2"/>
        <v>323113169</v>
      </c>
      <c r="I9" s="83">
        <v>323113169</v>
      </c>
      <c r="J9" s="82">
        <f t="shared" si="3"/>
        <v>0</v>
      </c>
      <c r="K9" s="81">
        <f t="shared" si="4"/>
        <v>217086168</v>
      </c>
      <c r="L9" s="81">
        <f t="shared" si="5"/>
        <v>106027001</v>
      </c>
      <c r="M9" s="16">
        <f t="shared" si="6"/>
        <v>323113169</v>
      </c>
    </row>
    <row r="10" spans="1:13" ht="15">
      <c r="A10" t="s">
        <v>73</v>
      </c>
      <c r="B10" s="154">
        <v>193606875</v>
      </c>
      <c r="C10" s="154">
        <v>92488584</v>
      </c>
      <c r="D10" s="84">
        <f t="shared" si="0"/>
        <v>286095459</v>
      </c>
      <c r="E10" s="154">
        <v>191113601</v>
      </c>
      <c r="F10" s="154">
        <v>94021050</v>
      </c>
      <c r="G10" s="84">
        <f t="shared" si="1"/>
        <v>285134651</v>
      </c>
      <c r="H10" s="23">
        <f t="shared" si="2"/>
        <v>285615055</v>
      </c>
      <c r="I10" s="83">
        <v>285615055</v>
      </c>
      <c r="J10" s="82">
        <f t="shared" si="3"/>
        <v>0</v>
      </c>
      <c r="K10" s="81">
        <f t="shared" si="4"/>
        <v>192360238</v>
      </c>
      <c r="L10" s="81">
        <f t="shared" si="5"/>
        <v>93254817</v>
      </c>
      <c r="M10" s="16">
        <f t="shared" si="6"/>
        <v>285615055</v>
      </c>
    </row>
    <row r="11" spans="1:13" ht="15">
      <c r="A11" t="s">
        <v>72</v>
      </c>
      <c r="B11" s="154">
        <v>171177162</v>
      </c>
      <c r="C11" s="154">
        <v>82318564</v>
      </c>
      <c r="D11" s="84">
        <f t="shared" si="0"/>
        <v>253495726</v>
      </c>
      <c r="E11" s="154">
        <v>162247728</v>
      </c>
      <c r="F11" s="154">
        <v>77840410</v>
      </c>
      <c r="G11" s="84">
        <f t="shared" si="1"/>
        <v>240088138</v>
      </c>
      <c r="H11" s="23">
        <f t="shared" si="2"/>
        <v>246791932</v>
      </c>
      <c r="I11" s="83">
        <v>246791932</v>
      </c>
      <c r="J11" s="82">
        <f t="shared" si="3"/>
        <v>0</v>
      </c>
      <c r="K11" s="81">
        <f t="shared" si="4"/>
        <v>166712445</v>
      </c>
      <c r="L11" s="81">
        <f t="shared" si="5"/>
        <v>80079487</v>
      </c>
      <c r="M11" s="16">
        <f t="shared" si="6"/>
        <v>246791932</v>
      </c>
    </row>
    <row r="12" spans="1:13" ht="15">
      <c r="A12" t="s">
        <v>71</v>
      </c>
      <c r="B12" s="154">
        <v>171629089</v>
      </c>
      <c r="C12" s="154">
        <v>81300832</v>
      </c>
      <c r="D12" s="84">
        <f t="shared" si="0"/>
        <v>252929921</v>
      </c>
      <c r="E12" s="154">
        <v>169830674</v>
      </c>
      <c r="F12" s="154">
        <v>79125061</v>
      </c>
      <c r="G12" s="84">
        <f t="shared" si="1"/>
        <v>248955735</v>
      </c>
      <c r="H12" s="23">
        <f t="shared" si="2"/>
        <v>250942828</v>
      </c>
      <c r="I12" s="83">
        <v>250942828</v>
      </c>
      <c r="J12" s="82">
        <f t="shared" si="3"/>
        <v>0</v>
      </c>
      <c r="K12" s="81">
        <f t="shared" si="4"/>
        <v>170729881.5</v>
      </c>
      <c r="L12" s="81">
        <f t="shared" si="5"/>
        <v>80212946.5</v>
      </c>
      <c r="M12" s="16">
        <f t="shared" si="6"/>
        <v>250942828</v>
      </c>
    </row>
    <row r="13" spans="1:13" ht="15">
      <c r="A13" t="s">
        <v>70</v>
      </c>
      <c r="B13" s="154">
        <v>224880044</v>
      </c>
      <c r="C13" s="154">
        <v>102067977</v>
      </c>
      <c r="D13" s="84">
        <f t="shared" si="0"/>
        <v>326948021</v>
      </c>
      <c r="E13" s="154">
        <v>179024527</v>
      </c>
      <c r="F13" s="154">
        <v>84907599</v>
      </c>
      <c r="G13" s="84">
        <f t="shared" si="1"/>
        <v>263932126</v>
      </c>
      <c r="H13" s="23">
        <f t="shared" si="2"/>
        <v>295440073.5</v>
      </c>
      <c r="I13" s="83">
        <v>295440073</v>
      </c>
      <c r="J13" s="82">
        <f t="shared" si="3"/>
        <v>0.5</v>
      </c>
      <c r="K13" s="81">
        <f t="shared" si="4"/>
        <v>201952285.5</v>
      </c>
      <c r="L13" s="81">
        <f t="shared" si="5"/>
        <v>93487788</v>
      </c>
      <c r="M13" s="16">
        <f t="shared" si="6"/>
        <v>295440073.5</v>
      </c>
    </row>
    <row r="14" spans="1:13" ht="15">
      <c r="A14" t="s">
        <v>51</v>
      </c>
      <c r="B14" s="154">
        <v>205430386</v>
      </c>
      <c r="C14" s="154">
        <v>93870796</v>
      </c>
      <c r="D14" s="84">
        <f t="shared" si="0"/>
        <v>299301182</v>
      </c>
      <c r="E14" s="154">
        <v>193727961</v>
      </c>
      <c r="F14" s="154">
        <v>92711152</v>
      </c>
      <c r="G14" s="84">
        <f t="shared" si="1"/>
        <v>286439113</v>
      </c>
      <c r="H14" s="23">
        <f t="shared" si="2"/>
        <v>292870147.5</v>
      </c>
      <c r="I14" s="83">
        <v>292870148</v>
      </c>
      <c r="J14" s="82">
        <f t="shared" si="3"/>
        <v>-0.5</v>
      </c>
      <c r="K14" s="81">
        <f t="shared" si="4"/>
        <v>199579173.5</v>
      </c>
      <c r="L14" s="81">
        <f t="shared" si="5"/>
        <v>93290974</v>
      </c>
      <c r="M14" s="16">
        <f t="shared" si="6"/>
        <v>292870147.5</v>
      </c>
    </row>
    <row r="15" spans="1:13" ht="15">
      <c r="A15" t="s">
        <v>52</v>
      </c>
      <c r="B15" s="154">
        <v>191643298</v>
      </c>
      <c r="C15" s="154">
        <v>85191552</v>
      </c>
      <c r="D15" s="84">
        <f t="shared" si="0"/>
        <v>276834850</v>
      </c>
      <c r="E15" s="154">
        <v>193429515</v>
      </c>
      <c r="F15" s="154">
        <v>83558676</v>
      </c>
      <c r="G15" s="84">
        <f t="shared" si="1"/>
        <v>276988191</v>
      </c>
      <c r="H15" s="23">
        <f t="shared" si="2"/>
        <v>276911520.5</v>
      </c>
      <c r="I15" s="83">
        <v>276911520</v>
      </c>
      <c r="J15" s="82">
        <f t="shared" si="3"/>
        <v>0.5</v>
      </c>
      <c r="K15" s="81">
        <f t="shared" si="4"/>
        <v>192536406.5</v>
      </c>
      <c r="L15" s="81">
        <f t="shared" si="5"/>
        <v>84375114</v>
      </c>
      <c r="M15" s="16">
        <f t="shared" si="6"/>
        <v>276911520.5</v>
      </c>
    </row>
    <row r="16" spans="1:13" ht="15">
      <c r="A16" t="s">
        <v>43</v>
      </c>
      <c r="B16" s="154">
        <v>155636670</v>
      </c>
      <c r="C16" s="154">
        <v>74336449</v>
      </c>
      <c r="D16" s="84">
        <f t="shared" si="0"/>
        <v>229973119</v>
      </c>
      <c r="E16" s="154">
        <v>162198634</v>
      </c>
      <c r="F16" s="154">
        <v>77945941</v>
      </c>
      <c r="G16" s="84">
        <f t="shared" si="1"/>
        <v>240144575</v>
      </c>
      <c r="H16" s="23">
        <f t="shared" si="2"/>
        <v>235058847</v>
      </c>
      <c r="I16" s="17">
        <v>235058847</v>
      </c>
      <c r="J16" s="82">
        <f t="shared" si="3"/>
        <v>0</v>
      </c>
      <c r="K16" s="81">
        <f t="shared" si="4"/>
        <v>158917652</v>
      </c>
      <c r="L16" s="81">
        <f t="shared" si="5"/>
        <v>76141195</v>
      </c>
      <c r="M16" s="16">
        <f t="shared" si="6"/>
        <v>235058847</v>
      </c>
    </row>
    <row r="17" spans="1:13" ht="15">
      <c r="A17" t="s">
        <v>1</v>
      </c>
      <c r="B17" s="154">
        <v>191725483</v>
      </c>
      <c r="C17" s="154">
        <v>91128426</v>
      </c>
      <c r="D17" s="84">
        <f t="shared" si="0"/>
        <v>282853909</v>
      </c>
      <c r="E17" s="154">
        <v>186942042</v>
      </c>
      <c r="F17" s="154">
        <v>91006761</v>
      </c>
      <c r="G17" s="84">
        <f t="shared" si="1"/>
        <v>277948803</v>
      </c>
      <c r="H17" s="23">
        <f t="shared" si="2"/>
        <v>280401356</v>
      </c>
      <c r="I17" s="83">
        <v>280401356</v>
      </c>
      <c r="J17" s="82">
        <f t="shared" si="3"/>
        <v>0</v>
      </c>
      <c r="K17" s="81">
        <f t="shared" si="4"/>
        <v>189333762.5</v>
      </c>
      <c r="L17" s="81">
        <f t="shared" si="5"/>
        <v>91067593.5</v>
      </c>
      <c r="M17" s="16">
        <f t="shared" si="6"/>
        <v>280401356</v>
      </c>
    </row>
    <row r="18" spans="1:13" ht="15">
      <c r="A18" t="s">
        <v>53</v>
      </c>
      <c r="B18" s="155">
        <v>268998101</v>
      </c>
      <c r="C18" s="155">
        <v>135918086</v>
      </c>
      <c r="D18" s="85">
        <f t="shared" si="0"/>
        <v>404916187</v>
      </c>
      <c r="E18" s="157">
        <v>265769374</v>
      </c>
      <c r="F18" s="157">
        <v>133960841</v>
      </c>
      <c r="G18" s="84">
        <f t="shared" si="1"/>
        <v>399730215</v>
      </c>
      <c r="H18" s="23">
        <f t="shared" si="2"/>
        <v>402323201</v>
      </c>
      <c r="I18" s="83">
        <v>402323201</v>
      </c>
      <c r="J18" s="82">
        <f t="shared" si="3"/>
        <v>0</v>
      </c>
      <c r="K18" s="81">
        <f t="shared" si="4"/>
        <v>267383737.5</v>
      </c>
      <c r="L18" s="81">
        <f t="shared" si="5"/>
        <v>134939463.5</v>
      </c>
      <c r="M18" s="16">
        <f t="shared" si="6"/>
        <v>402323201</v>
      </c>
    </row>
    <row r="19" spans="1:13" ht="15">
      <c r="A19"/>
      <c r="B19" s="80">
        <f t="shared" ref="B19:H19" si="7">SUM(B7:B18)</f>
        <v>2574698137</v>
      </c>
      <c r="C19" s="80">
        <f t="shared" si="7"/>
        <v>1217483972</v>
      </c>
      <c r="D19" s="80">
        <f t="shared" si="7"/>
        <v>3792182109</v>
      </c>
      <c r="E19" s="80">
        <f t="shared" si="7"/>
        <v>2475898639</v>
      </c>
      <c r="F19" s="80">
        <f t="shared" si="7"/>
        <v>1187760852</v>
      </c>
      <c r="G19" s="80">
        <f t="shared" si="7"/>
        <v>3663659491</v>
      </c>
      <c r="H19" s="80">
        <f t="shared" si="7"/>
        <v>3727920800</v>
      </c>
      <c r="I19" s="19">
        <v>3867544659</v>
      </c>
      <c r="J19" s="19">
        <f>SUM(J7:J18)</f>
        <v>0</v>
      </c>
      <c r="K19" s="18">
        <f>SUM(K7:K18)</f>
        <v>2525298388</v>
      </c>
      <c r="L19" s="18">
        <f>SUM(L7:L18)</f>
        <v>1202622412</v>
      </c>
      <c r="M19" s="18">
        <f>SUM(M7:M18)</f>
        <v>3727920800</v>
      </c>
    </row>
    <row r="20" spans="1:13" ht="15">
      <c r="A20"/>
      <c r="B20" s="75"/>
      <c r="C20" s="75"/>
      <c r="D20" s="75"/>
      <c r="E20" s="75"/>
      <c r="F20" s="75"/>
      <c r="G20" s="75"/>
      <c r="H20"/>
      <c r="I20" s="74"/>
      <c r="J20" s="74"/>
      <c r="K20" s="139">
        <f>K19/M19</f>
        <v>0.6774012977958116</v>
      </c>
      <c r="L20" s="139">
        <f>L19/M19</f>
        <v>0.32259870220418846</v>
      </c>
      <c r="M20" s="20">
        <f>SUM(K20:L20)</f>
        <v>1</v>
      </c>
    </row>
    <row r="21" spans="1:13" ht="15">
      <c r="A21"/>
      <c r="B21" s="75"/>
      <c r="C21" s="75"/>
      <c r="D21" s="75"/>
      <c r="E21" s="75"/>
      <c r="F21" s="75"/>
      <c r="G21" s="75"/>
      <c r="H21"/>
      <c r="I21" s="16"/>
      <c r="J21" s="74"/>
      <c r="K21" s="74"/>
      <c r="L21" s="74"/>
      <c r="M21" s="74"/>
    </row>
    <row r="22" spans="1:13" ht="15">
      <c r="A22"/>
      <c r="B22" s="75"/>
      <c r="C22" s="75"/>
      <c r="D22" s="75"/>
      <c r="E22" s="72" t="s">
        <v>49</v>
      </c>
      <c r="F22" s="72" t="s">
        <v>50</v>
      </c>
      <c r="G22" s="75"/>
      <c r="H22"/>
      <c r="I22" s="74"/>
      <c r="J22" s="74"/>
      <c r="K22" s="74"/>
      <c r="L22" s="74"/>
      <c r="M22" s="74"/>
    </row>
    <row r="23" spans="1:13" ht="15">
      <c r="A23"/>
      <c r="B23" s="75"/>
      <c r="C23" s="75"/>
      <c r="D23" s="75"/>
      <c r="E23" s="16">
        <f>B19+E19</f>
        <v>5050596776</v>
      </c>
      <c r="F23" s="16">
        <f>C19+F19</f>
        <v>2405244824</v>
      </c>
      <c r="G23" s="75"/>
      <c r="H23"/>
      <c r="I23" s="74"/>
      <c r="J23" s="74"/>
      <c r="K23" s="74"/>
      <c r="L23" s="74"/>
      <c r="M23" s="74"/>
    </row>
    <row r="24" spans="1:13" ht="15">
      <c r="A24"/>
      <c r="B24" s="75"/>
      <c r="C24" s="75"/>
      <c r="D24" s="75"/>
      <c r="E24" s="21">
        <f>E23/2</f>
        <v>2525298388</v>
      </c>
      <c r="F24" s="21">
        <f>F23/2</f>
        <v>1202622412</v>
      </c>
      <c r="G24" s="75"/>
      <c r="H24"/>
      <c r="I24" s="74"/>
      <c r="J24" s="74"/>
      <c r="K24" s="74"/>
      <c r="L24" s="74"/>
      <c r="M24" s="74"/>
    </row>
    <row r="25" spans="1:13" ht="15">
      <c r="A25"/>
      <c r="B25" s="75"/>
      <c r="C25" s="79"/>
      <c r="D25" s="75"/>
      <c r="E25" s="75"/>
      <c r="F25" s="75"/>
      <c r="G25" s="75"/>
      <c r="H25"/>
      <c r="I25" s="77"/>
      <c r="J25" s="78"/>
      <c r="K25" s="77"/>
      <c r="L25" s="76"/>
      <c r="M25" s="74"/>
    </row>
    <row r="26" spans="1:13" ht="15">
      <c r="A26"/>
      <c r="B26" s="176" t="s">
        <v>69</v>
      </c>
      <c r="C26" s="176"/>
      <c r="D26" s="75"/>
      <c r="E26" s="75"/>
      <c r="F26" s="75"/>
      <c r="G26" s="75"/>
      <c r="H26"/>
      <c r="I26" s="74"/>
      <c r="J26" s="74"/>
      <c r="K26" s="74"/>
      <c r="L26" s="74"/>
      <c r="M26" s="74"/>
    </row>
    <row r="33" spans="1:1" s="11" customFormat="1">
      <c r="A33" s="10"/>
    </row>
  </sheetData>
  <mergeCells count="5">
    <mergeCell ref="I4:I6"/>
    <mergeCell ref="B5:C5"/>
    <mergeCell ref="E5:F5"/>
    <mergeCell ref="K5:M5"/>
    <mergeCell ref="B26:C26"/>
  </mergeCells>
  <pageMargins left="1.01" right="0.7" top="0.75" bottom="0.75" header="0.3" footer="0.3"/>
  <pageSetup scale="55" orientation="landscape" r:id="rId1"/>
  <headerFooter>
    <oddFooter>&amp;L&amp;A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activeCell="F25" sqref="F25"/>
    </sheetView>
  </sheetViews>
  <sheetFormatPr defaultRowHeight="12.75"/>
  <cols>
    <col min="1" max="1" width="24.140625" style="104" customWidth="1"/>
    <col min="2" max="2" width="13.7109375" style="104" customWidth="1"/>
    <col min="3" max="3" width="16" style="104" bestFit="1" customWidth="1"/>
    <col min="4" max="4" width="14.85546875" style="104" customWidth="1"/>
    <col min="5" max="5" width="12.85546875" style="104" bestFit="1" customWidth="1"/>
    <col min="6" max="16384" width="9.140625" style="104"/>
  </cols>
  <sheetData>
    <row r="1" spans="1:7">
      <c r="A1" s="105"/>
      <c r="B1" s="106" t="s">
        <v>79</v>
      </c>
      <c r="C1" s="105"/>
      <c r="D1" s="105"/>
      <c r="E1" s="105"/>
      <c r="F1" s="105"/>
      <c r="G1" s="105"/>
    </row>
    <row r="2" spans="1:7">
      <c r="A2" s="106"/>
      <c r="B2" s="106" t="s">
        <v>103</v>
      </c>
      <c r="C2" s="106"/>
      <c r="D2" s="106"/>
      <c r="E2" s="106"/>
      <c r="F2" s="106"/>
      <c r="G2" s="106"/>
    </row>
    <row r="3" spans="1:7">
      <c r="A3" s="106"/>
      <c r="B3" s="107" t="s">
        <v>80</v>
      </c>
      <c r="C3" s="106"/>
      <c r="D3" s="106"/>
      <c r="E3" s="106"/>
      <c r="F3" s="106"/>
      <c r="G3" s="106"/>
    </row>
    <row r="4" spans="1:7">
      <c r="A4" s="106"/>
      <c r="B4" s="106" t="s">
        <v>104</v>
      </c>
      <c r="C4" s="106"/>
      <c r="D4" s="106"/>
      <c r="E4" s="106"/>
      <c r="F4" s="106"/>
      <c r="G4" s="106"/>
    </row>
    <row r="5" spans="1:7">
      <c r="A5" s="106"/>
      <c r="B5" s="106"/>
      <c r="C5" s="106"/>
      <c r="D5" s="106"/>
      <c r="E5" s="106"/>
      <c r="F5" s="106"/>
      <c r="G5" s="106"/>
    </row>
    <row r="6" spans="1:7">
      <c r="A6" s="106"/>
      <c r="B6" s="106"/>
      <c r="C6" s="106"/>
      <c r="D6" s="106"/>
      <c r="E6" s="106"/>
      <c r="F6" s="106"/>
      <c r="G6" s="106"/>
    </row>
    <row r="7" spans="1:7">
      <c r="A7" s="106"/>
      <c r="B7" s="106"/>
      <c r="C7" s="106"/>
      <c r="D7" s="106"/>
      <c r="E7" s="106"/>
      <c r="F7" s="106"/>
      <c r="G7" s="106"/>
    </row>
    <row r="8" spans="1:7">
      <c r="A8" s="106"/>
      <c r="B8" s="105"/>
      <c r="C8" s="108" t="s">
        <v>81</v>
      </c>
      <c r="D8" s="109"/>
      <c r="E8" s="106"/>
      <c r="F8" s="106"/>
      <c r="G8" s="106"/>
    </row>
    <row r="9" spans="1:7">
      <c r="A9" s="106"/>
      <c r="B9" s="106"/>
      <c r="C9" s="106" t="s">
        <v>82</v>
      </c>
      <c r="D9" s="106" t="s">
        <v>82</v>
      </c>
      <c r="E9" s="106"/>
      <c r="F9" s="106"/>
      <c r="G9" s="106"/>
    </row>
    <row r="10" spans="1:7">
      <c r="A10" s="110" t="s">
        <v>83</v>
      </c>
      <c r="B10" s="111" t="s">
        <v>84</v>
      </c>
      <c r="C10" s="112">
        <v>42644</v>
      </c>
      <c r="D10" s="112">
        <v>42644</v>
      </c>
      <c r="E10" s="113"/>
      <c r="F10" s="113"/>
      <c r="G10" s="113"/>
    </row>
    <row r="11" spans="1:7">
      <c r="A11" s="110"/>
      <c r="B11" s="114" t="s">
        <v>85</v>
      </c>
      <c r="C11" s="114" t="s">
        <v>86</v>
      </c>
      <c r="D11" s="114" t="s">
        <v>87</v>
      </c>
      <c r="E11" s="113"/>
      <c r="F11" s="113"/>
      <c r="G11" s="113"/>
    </row>
    <row r="12" spans="1:7">
      <c r="A12" s="105"/>
      <c r="B12" s="105"/>
      <c r="C12" s="105"/>
      <c r="D12" s="106" t="s">
        <v>88</v>
      </c>
      <c r="E12" s="105"/>
      <c r="F12" s="105"/>
      <c r="G12" s="105"/>
    </row>
    <row r="13" spans="1:7">
      <c r="A13" s="105"/>
      <c r="B13" s="105"/>
      <c r="C13" s="105"/>
      <c r="D13" s="106"/>
      <c r="E13" s="105"/>
      <c r="F13" s="105"/>
      <c r="G13" s="105"/>
    </row>
    <row r="14" spans="1:7">
      <c r="A14" s="106">
        <v>1</v>
      </c>
      <c r="B14" s="158">
        <v>113077554</v>
      </c>
      <c r="C14" s="136">
        <v>-5.0999999999999997E-2</v>
      </c>
      <c r="D14" s="115">
        <f>(B14*C14)/100</f>
        <v>-57669.552539999997</v>
      </c>
      <c r="F14" s="105"/>
      <c r="G14" s="116"/>
    </row>
    <row r="15" spans="1:7">
      <c r="A15" s="106">
        <v>12</v>
      </c>
      <c r="B15" s="158">
        <v>2435833</v>
      </c>
      <c r="C15" s="136">
        <f>C14</f>
        <v>-5.0999999999999997E-2</v>
      </c>
      <c r="D15" s="115">
        <f>(B15*C15)/100</f>
        <v>-1242.2748299999998</v>
      </c>
      <c r="E15" s="116"/>
      <c r="F15" s="105"/>
      <c r="G15" s="105"/>
    </row>
    <row r="16" spans="1:7">
      <c r="A16" s="106">
        <v>22</v>
      </c>
      <c r="B16" s="158">
        <v>1509530</v>
      </c>
      <c r="C16" s="136">
        <f>C14</f>
        <v>-5.0999999999999997E-2</v>
      </c>
      <c r="D16" s="115">
        <f>(B16*C16)/100</f>
        <v>-769.86029999999994</v>
      </c>
      <c r="E16" s="116"/>
      <c r="F16" s="105"/>
      <c r="G16" s="105"/>
    </row>
    <row r="17" spans="1:10">
      <c r="A17" s="106">
        <v>32</v>
      </c>
      <c r="B17" s="158">
        <v>686150</v>
      </c>
      <c r="C17" s="136">
        <f>C14</f>
        <v>-5.0999999999999997E-2</v>
      </c>
      <c r="D17" s="115">
        <f>(B17*C17)/100</f>
        <v>-349.93649999999997</v>
      </c>
      <c r="E17" s="116"/>
      <c r="F17" s="105"/>
      <c r="G17" s="105"/>
      <c r="H17" s="105"/>
      <c r="I17" s="105"/>
      <c r="J17" s="105"/>
    </row>
    <row r="18" spans="1:10">
      <c r="A18" s="106">
        <v>48</v>
      </c>
      <c r="B18" s="159">
        <v>0</v>
      </c>
      <c r="C18" s="136">
        <f>C14</f>
        <v>-5.0999999999999997E-2</v>
      </c>
      <c r="D18" s="117">
        <f>(B18*C18)/100</f>
        <v>0</v>
      </c>
      <c r="E18" s="116"/>
      <c r="F18" s="105"/>
      <c r="G18" s="105"/>
      <c r="H18" s="105"/>
      <c r="I18" s="105"/>
      <c r="J18" s="105"/>
    </row>
    <row r="19" spans="1:10">
      <c r="A19" s="105"/>
      <c r="B19" s="118"/>
      <c r="C19" s="119"/>
      <c r="D19" s="120"/>
      <c r="E19" s="105"/>
      <c r="F19" s="121"/>
      <c r="G19" s="105"/>
      <c r="H19" s="105"/>
      <c r="I19" s="105"/>
      <c r="J19" s="105"/>
    </row>
    <row r="20" spans="1:10">
      <c r="A20" s="122" t="s">
        <v>89</v>
      </c>
      <c r="B20" s="118">
        <f>SUM(B14:B19)</f>
        <v>117709067</v>
      </c>
      <c r="C20" s="116"/>
      <c r="D20" s="120">
        <f>SUM(D14:D19)</f>
        <v>-60031.624170000003</v>
      </c>
      <c r="E20" s="105"/>
      <c r="F20" s="105"/>
      <c r="G20" s="105"/>
      <c r="H20" s="105"/>
      <c r="I20" s="105"/>
      <c r="J20" s="120"/>
    </row>
    <row r="21" spans="1:10">
      <c r="A21" s="105"/>
      <c r="B21" s="118"/>
      <c r="C21" s="123" t="s">
        <v>56</v>
      </c>
      <c r="D21" s="148">
        <f>'Proposed ResEx Rate'!G13</f>
        <v>0.95385299999999995</v>
      </c>
      <c r="E21" s="105"/>
      <c r="F21" s="105"/>
      <c r="G21" s="105"/>
      <c r="H21" s="105"/>
      <c r="I21" s="105"/>
      <c r="J21" s="105"/>
    </row>
    <row r="22" spans="1:10">
      <c r="A22" s="124"/>
      <c r="B22" s="125"/>
      <c r="C22" s="126" t="s">
        <v>20</v>
      </c>
      <c r="D22" s="120">
        <f>D20*D21</f>
        <v>-57261.344809427006</v>
      </c>
      <c r="E22" s="105"/>
      <c r="F22" s="105"/>
      <c r="G22" s="105"/>
      <c r="H22" s="105"/>
      <c r="I22" s="105"/>
      <c r="J22" s="105"/>
    </row>
    <row r="23" spans="1:10">
      <c r="A23" s="127"/>
      <c r="B23" s="128"/>
      <c r="C23" s="105"/>
      <c r="D23" s="129"/>
      <c r="E23" s="105"/>
      <c r="F23" s="105"/>
      <c r="G23" s="105"/>
      <c r="H23" s="105"/>
      <c r="I23" s="105"/>
      <c r="J23" s="105"/>
    </row>
    <row r="24" spans="1:10">
      <c r="A24" s="127"/>
      <c r="B24" s="130"/>
      <c r="C24" s="131"/>
      <c r="D24" s="131"/>
      <c r="E24" s="105"/>
      <c r="F24" s="105"/>
      <c r="G24" s="105"/>
      <c r="H24" s="105"/>
      <c r="I24" s="105"/>
      <c r="J24" s="105"/>
    </row>
    <row r="25" spans="1:10">
      <c r="A25" s="132"/>
      <c r="B25" s="128"/>
      <c r="C25" s="131"/>
      <c r="D25" s="131"/>
      <c r="E25" s="105"/>
      <c r="F25" s="105"/>
      <c r="G25" s="105"/>
      <c r="H25" s="105"/>
      <c r="I25" s="105"/>
      <c r="J25" s="105"/>
    </row>
    <row r="26" spans="1:10">
      <c r="A26" s="133"/>
      <c r="B26" s="131"/>
      <c r="C26" s="105"/>
      <c r="D26" s="105"/>
      <c r="E26" s="105"/>
      <c r="F26" s="105"/>
      <c r="G26" s="105"/>
      <c r="H26" s="105"/>
      <c r="I26" s="105"/>
      <c r="J26" s="105"/>
    </row>
    <row r="27" spans="1:10">
      <c r="A27" s="105"/>
      <c r="B27" s="131"/>
      <c r="C27" s="105"/>
      <c r="D27" s="105"/>
      <c r="E27" s="105"/>
      <c r="F27" s="105"/>
      <c r="G27" s="105"/>
      <c r="H27" s="105"/>
      <c r="I27" s="105"/>
      <c r="J27" s="105"/>
    </row>
    <row r="28" spans="1:10">
      <c r="A28" s="105"/>
      <c r="B28" s="105"/>
      <c r="C28" s="105"/>
      <c r="D28" s="105"/>
      <c r="E28" s="105"/>
      <c r="F28" s="105"/>
      <c r="G28" s="105"/>
      <c r="H28" s="105"/>
      <c r="I28" s="105"/>
      <c r="J28" s="105"/>
    </row>
    <row r="29" spans="1:10">
      <c r="A29" s="134"/>
      <c r="B29" s="105"/>
      <c r="C29" s="105"/>
      <c r="D29" s="105"/>
      <c r="E29" s="105"/>
      <c r="F29" s="105"/>
      <c r="G29" s="105"/>
      <c r="H29" s="105"/>
      <c r="I29" s="105"/>
      <c r="J29" s="105"/>
    </row>
    <row r="30" spans="1:10">
      <c r="A30" s="105"/>
      <c r="B30" s="105"/>
      <c r="C30" s="105"/>
      <c r="D30" s="105"/>
      <c r="E30" s="105"/>
      <c r="F30" s="105"/>
      <c r="G30" s="105"/>
      <c r="H30" s="105"/>
      <c r="I30" s="105"/>
      <c r="J30" s="105"/>
    </row>
    <row r="31" spans="1:10">
      <c r="A31" s="105"/>
      <c r="B31" s="105"/>
      <c r="C31" s="105"/>
      <c r="D31" s="105"/>
      <c r="E31" s="105"/>
      <c r="F31" s="105"/>
      <c r="G31" s="105"/>
      <c r="H31" s="105"/>
      <c r="I31" s="105"/>
      <c r="J31" s="10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78AC306711B574D8E12CEAC6B479397" ma:contentTypeVersion="104" ma:contentTypeDescription="" ma:contentTypeScope="" ma:versionID="beebcb1b35021b63df3e6135fc6f6b8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2017-08-31T07:00:00+00:00</OpenedDate>
    <Date1 xmlns="dc463f71-b30c-4ab2-9473-d307f9d35888">2017-08-31T07:00:00+00:00</Date1>
    <IsDocumentOrder xmlns="dc463f71-b30c-4ab2-9473-d307f9d35888" xsi:nil="true"/>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170928</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8FB5B4D6-1443-4229-AA54-63A72A91822B}"/>
</file>

<file path=customXml/itemProps2.xml><?xml version="1.0" encoding="utf-8"?>
<ds:datastoreItem xmlns:ds="http://schemas.openxmlformats.org/officeDocument/2006/customXml" ds:itemID="{A89DD5B5-F114-4D54-84A6-15321A2E6D65}"/>
</file>

<file path=customXml/itemProps3.xml><?xml version="1.0" encoding="utf-8"?>
<ds:datastoreItem xmlns:ds="http://schemas.openxmlformats.org/officeDocument/2006/customXml" ds:itemID="{39A78892-8A90-4882-9319-6B131302E5C1}"/>
</file>

<file path=customXml/itemProps4.xml><?xml version="1.0" encoding="utf-8"?>
<ds:datastoreItem xmlns:ds="http://schemas.openxmlformats.org/officeDocument/2006/customXml" ds:itemID="{AAC26065-0AEB-4818-A5EE-E4727BBA94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Proposed ResEx Rate</vt:lpstr>
      <vt:lpstr>Table</vt:lpstr>
      <vt:lpstr>Washington ResX Balances</vt:lpstr>
      <vt:lpstr>Projected Benefits</vt:lpstr>
      <vt:lpstr>Projected kWhs</vt:lpstr>
      <vt:lpstr>Load Calculation</vt:lpstr>
      <vt:lpstr>July Unbilled</vt:lpstr>
      <vt:lpstr>'Projected Benefits'!Print_Area</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McKenzie</dc:creator>
  <cp:lastModifiedBy>Joe Miller</cp:lastModifiedBy>
  <cp:lastPrinted>2017-08-28T16:00:20Z</cp:lastPrinted>
  <dcterms:created xsi:type="dcterms:W3CDTF">2010-06-18T20:31:54Z</dcterms:created>
  <dcterms:modified xsi:type="dcterms:W3CDTF">2017-08-28T16:26:14Z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0x0101006E56B4D1795A2E4DB2F0B01679ED314A00D78AC306711B574D8E12CEAC6B479397</vt:lpwstr>
  </property>
  <property fmtid="{D5CDD505-2E9C-101B-9397-08002B2CF9AE}" pid="3" name="_docset_NoMedatataSyncRequired">
    <vt:lpwstr>False</vt:lpwstr>
  </property>
  <property fmtid="{D5CDD505-2E9C-101B-9397-08002B2CF9AE}" pid="4" name="IsEFSEC">
    <vt:bool>false</vt:bool>
  </property>
</Properties>
</file>