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 Filings\Tariff # 8 Effective 1.1.12\7.1.17 Commodity\"/>
    </mc:Choice>
  </mc:AlternateContent>
  <bookViews>
    <workbookView xWindow="0" yWindow="45" windowWidth="15570" windowHeight="11820"/>
  </bookViews>
  <sheets>
    <sheet name="G-14 Residential" sheetId="1" r:id="rId1"/>
    <sheet name="G-14 Multi" sheetId="2" r:id="rId2"/>
    <sheet name="Single Family Commodities" sheetId="5" r:id="rId3"/>
    <sheet name="Multi Family Commodities" sheetId="6" r:id="rId4"/>
  </sheets>
  <definedNames>
    <definedName name="_xlnm.Print_Area" localSheetId="1">'G-14 Multi'!$A$1:$J$57</definedName>
    <definedName name="_xlnm.Print_Area" localSheetId="0">'G-14 Residential'!$A$1:$J$57</definedName>
  </definedNames>
  <calcPr calcId="152511"/>
</workbook>
</file>

<file path=xl/calcChain.xml><?xml version="1.0" encoding="utf-8"?>
<calcChain xmlns="http://schemas.openxmlformats.org/spreadsheetml/2006/main">
  <c r="F30" i="6" l="1"/>
  <c r="H30" i="6"/>
  <c r="F30" i="5"/>
  <c r="G30" i="5"/>
  <c r="H30" i="5"/>
  <c r="H28" i="6" l="1"/>
  <c r="F28" i="6"/>
  <c r="F26" i="6"/>
  <c r="H26" i="6"/>
  <c r="F22" i="5"/>
  <c r="F24" i="6"/>
  <c r="H24" i="6"/>
  <c r="H18" i="5"/>
  <c r="H22" i="6"/>
  <c r="F22" i="6"/>
  <c r="J20" i="6"/>
  <c r="H20" i="6"/>
  <c r="F20" i="6"/>
  <c r="H18" i="6"/>
  <c r="F18" i="6"/>
  <c r="H16" i="6"/>
  <c r="F16" i="6"/>
  <c r="H14" i="6"/>
  <c r="F14" i="6"/>
  <c r="H12" i="6"/>
  <c r="F12" i="6"/>
  <c r="H10" i="6"/>
  <c r="F10" i="6"/>
  <c r="H8" i="6"/>
  <c r="F8" i="6"/>
  <c r="C30" i="5" l="1"/>
  <c r="F28" i="5"/>
  <c r="C28" i="5"/>
  <c r="G28" i="5"/>
  <c r="H28" i="5"/>
  <c r="F26" i="5"/>
  <c r="C26" i="5"/>
  <c r="G26" i="5"/>
  <c r="H26" i="5"/>
  <c r="F24" i="5"/>
  <c r="G24" i="5"/>
  <c r="H24" i="5"/>
  <c r="H22" i="5"/>
  <c r="G22" i="5"/>
  <c r="H20" i="5"/>
  <c r="G20" i="5"/>
  <c r="F20" i="5"/>
  <c r="G18" i="5"/>
  <c r="F18" i="5"/>
  <c r="H16" i="5"/>
  <c r="G16" i="5"/>
  <c r="F16" i="5"/>
  <c r="H14" i="5"/>
  <c r="G14" i="5"/>
  <c r="F14" i="5"/>
  <c r="H12" i="5"/>
  <c r="G12" i="5"/>
  <c r="F12" i="5"/>
  <c r="H10" i="5"/>
  <c r="G10" i="5"/>
  <c r="F10" i="5"/>
  <c r="H8" i="5"/>
  <c r="G8" i="5"/>
  <c r="F8" i="5"/>
  <c r="O30" i="5" l="1"/>
  <c r="B30" i="6" l="1"/>
  <c r="J20" i="5" l="1"/>
  <c r="B28" i="6" l="1"/>
  <c r="O28" i="5"/>
  <c r="G22" i="6"/>
  <c r="D30" i="5" l="1"/>
  <c r="B30" i="5"/>
  <c r="D28" i="6" l="1"/>
  <c r="D30" i="6"/>
  <c r="D26" i="6" l="1"/>
  <c r="B26" i="6"/>
  <c r="D24" i="6"/>
  <c r="B24" i="6"/>
  <c r="D28" i="5" l="1"/>
  <c r="B28" i="5"/>
  <c r="D26" i="5"/>
  <c r="B26" i="5"/>
  <c r="D24" i="5"/>
  <c r="C24" i="5"/>
  <c r="B24" i="5"/>
  <c r="D22" i="6"/>
  <c r="B22" i="6"/>
  <c r="D20" i="6"/>
  <c r="B20" i="6"/>
  <c r="O20" i="6"/>
  <c r="D18" i="6"/>
  <c r="B18" i="6"/>
  <c r="D16" i="6"/>
  <c r="B16" i="6"/>
  <c r="D14" i="6"/>
  <c r="B14" i="6"/>
  <c r="D12" i="6"/>
  <c r="B12" i="6"/>
  <c r="J30" i="6"/>
  <c r="J28" i="6"/>
  <c r="J26" i="6"/>
  <c r="J24" i="6"/>
  <c r="J22" i="6"/>
  <c r="J14" i="6"/>
  <c r="J12" i="6"/>
  <c r="J10" i="6"/>
  <c r="J8" i="6"/>
  <c r="D10" i="6"/>
  <c r="B10" i="6"/>
  <c r="D8" i="6"/>
  <c r="B8" i="6"/>
  <c r="C22" i="5"/>
  <c r="D22" i="5"/>
  <c r="B22" i="5"/>
  <c r="C20" i="5"/>
  <c r="D20" i="5"/>
  <c r="B20" i="5"/>
  <c r="C18" i="5"/>
  <c r="D18" i="5"/>
  <c r="B18" i="5"/>
  <c r="D16" i="5"/>
  <c r="C16" i="5"/>
  <c r="B16" i="5"/>
  <c r="D14" i="5"/>
  <c r="C14" i="5"/>
  <c r="B14" i="5"/>
  <c r="C12" i="5"/>
  <c r="D12" i="5"/>
  <c r="B12" i="5"/>
  <c r="J18" i="6" l="1"/>
  <c r="J16" i="6"/>
  <c r="C10" i="5" l="1"/>
  <c r="D10" i="5"/>
  <c r="B10" i="5"/>
  <c r="D8" i="5"/>
  <c r="C8" i="5"/>
  <c r="B8" i="5"/>
  <c r="I32" i="6" l="1"/>
  <c r="H32" i="6"/>
  <c r="G32" i="6"/>
  <c r="F32" i="6"/>
  <c r="N30" i="6"/>
  <c r="L30" i="6"/>
  <c r="N28" i="6"/>
  <c r="N26" i="6"/>
  <c r="L26" i="6"/>
  <c r="J32" i="6"/>
  <c r="I32" i="5"/>
  <c r="H32" i="5"/>
  <c r="G32" i="5"/>
  <c r="F32" i="5"/>
  <c r="J30" i="5"/>
  <c r="J28" i="5"/>
  <c r="J26" i="5"/>
  <c r="J24" i="5"/>
  <c r="J22" i="5"/>
  <c r="J18" i="5"/>
  <c r="J16" i="5"/>
  <c r="J14" i="5"/>
  <c r="J12" i="5"/>
  <c r="J10" i="5"/>
  <c r="J8" i="5"/>
  <c r="E21" i="1" l="1"/>
  <c r="O24" i="5"/>
  <c r="E19" i="1" s="1"/>
  <c r="O20" i="5"/>
  <c r="E17" i="1" s="1"/>
  <c r="O14" i="6"/>
  <c r="E14" i="2" s="1"/>
  <c r="O30" i="6"/>
  <c r="E22" i="2" s="1"/>
  <c r="M32" i="6"/>
  <c r="O12" i="6"/>
  <c r="E13" i="2" s="1"/>
  <c r="E17" i="2"/>
  <c r="O28" i="6"/>
  <c r="E21" i="2" s="1"/>
  <c r="O18" i="6"/>
  <c r="E16" i="2" s="1"/>
  <c r="O26" i="6"/>
  <c r="E20" i="2" s="1"/>
  <c r="K32" i="6"/>
  <c r="O16" i="6"/>
  <c r="E15" i="2" s="1"/>
  <c r="O24" i="6"/>
  <c r="E19" i="2" s="1"/>
  <c r="O12" i="5"/>
  <c r="E13" i="1" s="1"/>
  <c r="N32" i="5"/>
  <c r="O16" i="5"/>
  <c r="E15" i="1" s="1"/>
  <c r="E22" i="1"/>
  <c r="M32" i="5"/>
  <c r="O10" i="5"/>
  <c r="O26" i="5"/>
  <c r="E20" i="1" s="1"/>
  <c r="O22" i="5"/>
  <c r="E18" i="1" s="1"/>
  <c r="O18" i="5"/>
  <c r="E16" i="1" s="1"/>
  <c r="O14" i="5"/>
  <c r="E14" i="1" s="1"/>
  <c r="L32" i="5"/>
  <c r="K32" i="5"/>
  <c r="O8" i="5"/>
  <c r="E8" i="1" s="1"/>
  <c r="J32" i="5"/>
  <c r="E9" i="1" l="1"/>
  <c r="O32" i="5"/>
  <c r="C24" i="2" l="1"/>
  <c r="G38" i="2" s="1"/>
  <c r="G22" i="2" l="1"/>
  <c r="G21" i="2"/>
  <c r="G20" i="2"/>
  <c r="G19" i="2"/>
  <c r="G17" i="2"/>
  <c r="G16" i="2"/>
  <c r="G15" i="2"/>
  <c r="G14" i="2"/>
  <c r="G13" i="2"/>
  <c r="C11" i="2"/>
  <c r="C26" i="2" s="1"/>
  <c r="E24" i="1" l="1"/>
  <c r="C24" i="1"/>
  <c r="G38" i="1" s="1"/>
  <c r="G22" i="1"/>
  <c r="G21" i="1"/>
  <c r="G20" i="1"/>
  <c r="G19" i="1"/>
  <c r="G18" i="1"/>
  <c r="G17" i="1"/>
  <c r="G16" i="1"/>
  <c r="G15" i="1"/>
  <c r="G14" i="1"/>
  <c r="G13" i="1"/>
  <c r="E11" i="1"/>
  <c r="C11" i="1"/>
  <c r="G9" i="1"/>
  <c r="G8" i="1"/>
  <c r="C26" i="1" l="1"/>
  <c r="E26" i="1"/>
  <c r="G26" i="1" l="1"/>
  <c r="H30" i="1"/>
  <c r="H54" i="1" l="1"/>
  <c r="J54" i="1" s="1"/>
  <c r="H48" i="1"/>
  <c r="G39" i="1"/>
  <c r="H48" i="2" l="1"/>
  <c r="G39" i="2"/>
  <c r="G33" i="2" l="1"/>
  <c r="G34" i="2" s="1"/>
  <c r="H39" i="2" s="1"/>
  <c r="G33" i="1"/>
  <c r="G34" i="1" s="1"/>
  <c r="H39" i="1" s="1"/>
  <c r="H41" i="1" s="1"/>
  <c r="H49" i="1" s="1"/>
  <c r="H51" i="1" s="1"/>
  <c r="J51" i="1" s="1"/>
  <c r="J57" i="1" s="1"/>
  <c r="N32" i="6"/>
  <c r="O22" i="6"/>
  <c r="E18" i="2" s="1"/>
  <c r="G18" i="2" l="1"/>
  <c r="E24" i="2"/>
  <c r="O8" i="6" l="1"/>
  <c r="E8" i="2" s="1"/>
  <c r="G8" i="2" s="1"/>
  <c r="L32" i="6"/>
  <c r="O10" i="6"/>
  <c r="E9" i="2"/>
  <c r="E11" i="2" l="1"/>
  <c r="E26" i="2" s="1"/>
  <c r="G26" i="2" s="1"/>
  <c r="H54" i="2" s="1"/>
  <c r="J54" i="2" s="1"/>
  <c r="O32" i="6"/>
  <c r="G9" i="2"/>
  <c r="H30" i="2" l="1"/>
  <c r="H41" i="2" s="1"/>
  <c r="H49" i="2" s="1"/>
  <c r="H51" i="2" s="1"/>
  <c r="J51" i="2" s="1"/>
  <c r="J57" i="2" s="1"/>
</calcChain>
</file>

<file path=xl/sharedStrings.xml><?xml version="1.0" encoding="utf-8"?>
<sst xmlns="http://schemas.openxmlformats.org/spreadsheetml/2006/main" count="150" uniqueCount="68">
  <si>
    <t>Sanitary Service Company, Inc.</t>
  </si>
  <si>
    <t>Commodity Price Adjustment</t>
  </si>
  <si>
    <t>Total</t>
  </si>
  <si>
    <t>Commodity</t>
  </si>
  <si>
    <t>Revenue</t>
  </si>
  <si>
    <t>Customers</t>
  </si>
  <si>
    <t>per customer</t>
  </si>
  <si>
    <t>Month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</si>
  <si>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</si>
  <si>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</si>
  <si>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</si>
  <si>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</si>
  <si>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</si>
  <si>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</si>
  <si>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</si>
  <si>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</si>
  <si>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</si>
  <si>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</si>
  <si>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</si>
  <si>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</si>
  <si>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Commodity Gain/Loss calculation</t>
  </si>
  <si>
    <t>Actual Commodity Revenues</t>
  </si>
  <si>
    <t>Monthly Base Credit per Customer</t>
  </si>
  <si>
    <t>Base Credits Billed</t>
  </si>
  <si>
    <t>Excess Commodity Credits</t>
  </si>
  <si>
    <t>Total Annual Customers</t>
  </si>
  <si>
    <t>12 month running average BASE CREDIT</t>
  </si>
  <si>
    <t>Monthly Base Credit per Yard</t>
  </si>
  <si>
    <t>Total Annual Yards</t>
  </si>
  <si>
    <t>Sanitary Service Company</t>
  </si>
  <si>
    <t>Glass/Cans</t>
  </si>
  <si>
    <t>Cardboard</t>
  </si>
  <si>
    <t>Mixed Paper</t>
  </si>
  <si>
    <t>Newspaper</t>
  </si>
  <si>
    <t>Multi-family</t>
  </si>
  <si>
    <t>Price per ton</t>
  </si>
  <si>
    <t>Tons</t>
  </si>
  <si>
    <t>Revenue (loss)</t>
  </si>
  <si>
    <t>Single Family</t>
  </si>
  <si>
    <t>Yards</t>
  </si>
  <si>
    <t>Commodity Price Adjustment - Single Family</t>
  </si>
  <si>
    <t>Commodity Price Adjustment - Multi Family</t>
  </si>
  <si>
    <t>For the year ending April 30, 2017</t>
  </si>
  <si>
    <t>May-June 2016</t>
  </si>
  <si>
    <t>July-16- April 17</t>
  </si>
  <si>
    <t>Customers from 5/16-06/16</t>
  </si>
  <si>
    <t>Customers from 07/16-04/17</t>
  </si>
  <si>
    <t>July 1, 2017 Commodity Price Adjustment</t>
  </si>
  <si>
    <t>2016-17 True-up Calculation</t>
  </si>
  <si>
    <t>2016-17 monthly True-up Charge</t>
  </si>
  <si>
    <t>2017-18 Projected Credit</t>
  </si>
  <si>
    <t>2017-18 Commodity Price Adjustment</t>
  </si>
  <si>
    <t>July 16- April 17</t>
  </si>
  <si>
    <t>Yards from 05/16-06/16</t>
  </si>
  <si>
    <t>Yards from 07/16-04/17</t>
  </si>
  <si>
    <t>May 2016-April 2017</t>
  </si>
  <si>
    <t xml:space="preserve"> May-16</t>
  </si>
  <si>
    <t xml:space="preserve"> Jun-16</t>
  </si>
  <si>
    <t xml:space="preserve"> Jul-16</t>
  </si>
  <si>
    <t xml:space="preserve"> Aug-16</t>
  </si>
  <si>
    <t xml:space="preserve"> Sep-16</t>
  </si>
  <si>
    <t xml:space="preserve"> Oct-16</t>
  </si>
  <si>
    <t xml:space="preserve"> Nov-16</t>
  </si>
  <si>
    <t xml:space="preserve"> Dec-16</t>
  </si>
  <si>
    <t xml:space="preserve"> Jan 17</t>
  </si>
  <si>
    <t xml:space="preserve"> Feb-17</t>
  </si>
  <si>
    <t xml:space="preserve"> Mar-17</t>
  </si>
  <si>
    <t xml:space="preserve"> Apr-17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</si>
</sst>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8">
    <xf numFmtId="0" fontId="0" fillId="0" borderId="0" xfId="0"/>
    <xf numFmtId="2" fontId="0" fillId="0" borderId="0" xfId="0" applyNumberFormat="1"/>
    <xf numFmtId="1" fontId="0" fillId="0" borderId="0" xfId="0" applyNumberFormat="1"/>
    <xf numFmtId="0" fontId="4" fillId="0" borderId="0" xfId="1"/>
    <xf numFmtId="2" fontId="4" fillId="0" borderId="0" xfId="1" applyNumberFormat="1"/>
    <xf numFmtId="1" fontId="4" fillId="0" borderId="0" xfId="1" applyNumberFormat="1"/>
    <xf numFmtId="2" fontId="0" fillId="2" borderId="0" xfId="0" applyNumberFormat="1" applyFill="1"/>
    <xf numFmtId="2" fontId="4" fillId="2" borderId="0" xfId="1" applyNumberFormat="1" applyFill="1"/>
    <xf numFmtId="0" fontId="2" fillId="0" borderId="0" xfId="4" applyFill="1"/>
    <xf numFmtId="0" fontId="4" fillId="0" borderId="0" xfId="1" applyFont="1"/>
    <xf numFmtId="0" fontId="4" fillId="0" borderId="0" xfId="1" applyAlignment="1">
      <alignment horizontal="center"/>
    </xf>
    <xf numFmtId="43" fontId="2" fillId="0" borderId="0" xfId="4" applyNumberFormat="1" applyFill="1"/>
    <xf numFmtId="0" fontId="5" fillId="0" borderId="1" xfId="4" applyFont="1" applyFill="1" applyBorder="1" applyAlignment="1">
      <alignment horizontal="center"/>
    </xf>
    <xf numFmtId="0" fontId="5" fillId="0" borderId="4" xfId="4" applyFont="1" applyFill="1" applyBorder="1" applyAlignment="1">
      <alignment horizontal="center"/>
    </xf>
    <xf numFmtId="43" fontId="0" fillId="0" borderId="5" xfId="5" applyFont="1" applyFill="1" applyBorder="1"/>
    <xf numFmtId="43" fontId="0" fillId="0" borderId="0" xfId="5" applyFont="1" applyFill="1" applyBorder="1"/>
    <xf numFmtId="43" fontId="0" fillId="0" borderId="6" xfId="5" applyFont="1" applyFill="1" applyBorder="1"/>
    <xf numFmtId="43" fontId="0" fillId="0" borderId="7" xfId="5" applyFont="1" applyFill="1" applyBorder="1"/>
    <xf numFmtId="43" fontId="0" fillId="0" borderId="8" xfId="5" applyFont="1" applyFill="1" applyBorder="1"/>
    <xf numFmtId="43" fontId="0" fillId="0" borderId="9" xfId="5" applyFont="1" applyFill="1" applyBorder="1"/>
    <xf numFmtId="43" fontId="0" fillId="0" borderId="0" xfId="5" applyFont="1" applyFill="1"/>
    <xf numFmtId="43" fontId="0" fillId="0" borderId="13" xfId="5" applyFont="1" applyFill="1" applyBorder="1"/>
    <xf numFmtId="2" fontId="2" fillId="0" borderId="0" xfId="4" applyNumberFormat="1" applyFill="1"/>
    <xf numFmtId="0" fontId="3" fillId="0" borderId="0" xfId="2" applyFill="1"/>
    <xf numFmtId="0" fontId="0" fillId="0" borderId="0" xfId="0" applyFill="1"/>
    <xf numFmtId="43" fontId="0" fillId="0" borderId="10" xfId="5" applyFont="1" applyFill="1" applyBorder="1"/>
    <xf numFmtId="43" fontId="0" fillId="0" borderId="11" xfId="5" applyFont="1" applyFill="1" applyBorder="1"/>
    <xf numFmtId="43" fontId="0" fillId="0" borderId="12" xfId="5" applyFont="1" applyFill="1" applyBorder="1"/>
    <xf numFmtId="0" fontId="4" fillId="0" borderId="0" xfId="0" applyFont="1"/>
    <xf numFmtId="41" fontId="4" fillId="0" borderId="0" xfId="1" applyNumberFormat="1"/>
    <xf numFmtId="41" fontId="4" fillId="0" borderId="0" xfId="1" applyNumberFormat="1" applyFill="1"/>
    <xf numFmtId="2" fontId="0" fillId="0" borderId="0" xfId="0" applyNumberFormat="1" applyFill="1"/>
    <xf numFmtId="0" fontId="1" fillId="0" borderId="0" xfId="4" applyFont="1" applyFill="1"/>
    <xf numFmtId="16" fontId="1" fillId="0" borderId="0" xfId="4" applyNumberFormat="1" applyFont="1" applyFill="1"/>
    <xf numFmtId="0" fontId="0" fillId="0" borderId="0" xfId="0" applyAlignment="1">
      <alignment horizontal="center"/>
    </xf>
    <xf numFmtId="0" fontId="5" fillId="0" borderId="2" xfId="4" applyFont="1" applyFill="1" applyBorder="1" applyAlignment="1">
      <alignment horizontal="center"/>
    </xf>
    <xf numFmtId="0" fontId="5" fillId="0" borderId="3" xfId="4" applyFont="1" applyFill="1" applyBorder="1" applyAlignment="1">
      <alignment horizontal="center"/>
    </xf>
    <xf numFmtId="0" fontId="5" fillId="0" borderId="4" xfId="4" applyFont="1" applyFill="1" applyBorder="1" applyAlignment="1">
      <alignment horizontal="center"/>
    </xf>
  </cellXfs>
  <cellStyles count="7">
    <cellStyle name="Comma 2" xfId="3"/>
    <cellStyle name="Comma 2 2" xfId="5"/>
    <cellStyle name="Comma 3" xfId="6"/>
    <cellStyle name="Normal" xfId="0" builtinId="0"/>
    <cellStyle name="Normal 2" xfId="1"/>
    <cellStyle name="Normal 3" xfId="2"/>
    <cellStyle name="Normal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2"/>
  <sheetViews>
    <sheetView tabSelected="1" topLeftCell="A26" workbookViewId="0">
      <selection activeCell="L62" sqref="L62"/>
    </sheetView>
  </sheetViews>
  <sheetFormatPr defaultRowHeight="12.75" x14ac:dyDescent="0.2"/>
  <cols>
    <col min="2" max="2" width="10.42578125" customWidth="1"/>
    <col min="5" max="5" width="10.140625" bestFit="1" customWidth="1"/>
    <col min="7" max="8" width="14.28515625" bestFit="1" customWidth="1"/>
    <col min="9" max="9" width="6" customWidth="1"/>
    <col min="10" max="10" width="9.28515625" bestFit="1" customWidth="1"/>
  </cols>
  <sheetData>
    <row r="1" spans="1:10" x14ac:dyDescent="0.2">
      <c r="A1" t="s">
        <v>0</v>
      </c>
    </row>
    <row r="2" spans="1:10" x14ac:dyDescent="0.2">
      <c r="A2" s="28" t="s">
        <v>42</v>
      </c>
    </row>
    <row r="3" spans="1:10" x14ac:dyDescent="0.2">
      <c r="A3" t="s">
        <v>40</v>
      </c>
    </row>
    <row r="4" spans="1:10" x14ac:dyDescent="0.2">
      <c r="B4" s="34"/>
      <c r="C4" s="34"/>
      <c r="D4" s="34"/>
      <c r="E4" s="34"/>
      <c r="F4" s="34"/>
      <c r="G4" s="34"/>
    </row>
    <row r="5" spans="1:10" x14ac:dyDescent="0.2">
      <c r="G5" t="s">
        <v>3</v>
      </c>
    </row>
    <row r="6" spans="1:10" x14ac:dyDescent="0.2">
      <c r="E6" t="s">
        <v>3</v>
      </c>
      <c r="G6" t="s">
        <v>4</v>
      </c>
    </row>
    <row r="7" spans="1:10" x14ac:dyDescent="0.2">
      <c r="C7" t="s">
        <v>5</v>
      </c>
      <c r="E7" t="s">
        <v>4</v>
      </c>
      <c r="G7" t="s">
        <v>6</v>
      </c>
    </row>
    <row r="8" spans="1:10" x14ac:dyDescent="0.2">
      <c r="A8" t="s">
        <v>7</v>
      </c>
      <c r="B8" t="s">
        <v>8</v>
      </c>
      <c r="C8">
        <v>21261</v>
      </c>
      <c r="E8" s="1">
        <f>'Single Family Commodities'!O8</f>
        <v>-9468.5499999999993</v>
      </c>
      <c r="G8" s="1">
        <f>+E8/C8</f>
        <v>-0.44534829029678752</v>
      </c>
      <c r="H8" s="1"/>
      <c r="I8" s="1"/>
      <c r="J8" s="1"/>
    </row>
    <row r="9" spans="1:10" x14ac:dyDescent="0.2">
      <c r="B9" t="s">
        <v>9</v>
      </c>
      <c r="C9">
        <v>21424</v>
      </c>
      <c r="E9" s="1">
        <f>'Single Family Commodities'!O10</f>
        <v>-9676.31</v>
      </c>
      <c r="G9" s="1">
        <f>+E9/C9</f>
        <v>-0.45165748693054514</v>
      </c>
      <c r="H9" s="1"/>
      <c r="I9" s="1"/>
      <c r="J9" s="1"/>
    </row>
    <row r="10" spans="1:10" x14ac:dyDescent="0.2">
      <c r="E10" s="1"/>
      <c r="G10" s="1"/>
      <c r="H10" s="1"/>
      <c r="I10" s="1"/>
      <c r="J10" s="1"/>
    </row>
    <row r="11" spans="1:10" x14ac:dyDescent="0.2">
      <c r="A11" t="s">
        <v>43</v>
      </c>
      <c r="C11">
        <f>+C9+C8</f>
        <v>42685</v>
      </c>
      <c r="E11" s="1">
        <f>+E9+E8</f>
        <v>-19144.86</v>
      </c>
      <c r="G11" s="1"/>
      <c r="H11" s="1"/>
      <c r="I11" s="1"/>
      <c r="J11" s="1"/>
    </row>
    <row r="12" spans="1:10" x14ac:dyDescent="0.2">
      <c r="E12" s="1"/>
      <c r="G12" s="1"/>
      <c r="H12" s="1"/>
      <c r="I12" s="1"/>
      <c r="J12" s="1"/>
    </row>
    <row r="13" spans="1:10" x14ac:dyDescent="0.2">
      <c r="B13" t="s">
        <v>10</v>
      </c>
      <c r="C13">
        <v>21441</v>
      </c>
      <c r="E13" s="1">
        <f>'Single Family Commodities'!O12</f>
        <v>-9344.9699999999993</v>
      </c>
      <c r="G13" s="1">
        <f t="shared" ref="G13:G22" si="0">+E13/C13</f>
        <v>-0.43584580943053025</v>
      </c>
      <c r="H13" s="1"/>
      <c r="I13" s="1"/>
      <c r="J13" s="1"/>
    </row>
    <row r="14" spans="1:10" x14ac:dyDescent="0.2">
      <c r="B14" t="s">
        <v>11</v>
      </c>
      <c r="C14">
        <v>21542</v>
      </c>
      <c r="E14" s="1">
        <f>'Single Family Commodities'!O14</f>
        <v>-9859.3500000000022</v>
      </c>
      <c r="G14" s="1">
        <f t="shared" si="0"/>
        <v>-0.45768034537183189</v>
      </c>
      <c r="H14" s="1"/>
      <c r="I14" s="1"/>
      <c r="J14" s="1"/>
    </row>
    <row r="15" spans="1:10" x14ac:dyDescent="0.2">
      <c r="B15" t="s">
        <v>12</v>
      </c>
      <c r="C15">
        <v>21581</v>
      </c>
      <c r="E15" s="1">
        <f>'Single Family Commodities'!O16</f>
        <v>-8102.33</v>
      </c>
      <c r="G15" s="1">
        <f t="shared" si="0"/>
        <v>-0.37543811686205458</v>
      </c>
      <c r="H15" s="1"/>
      <c r="I15" s="1"/>
      <c r="J15" s="1"/>
    </row>
    <row r="16" spans="1:10" x14ac:dyDescent="0.2">
      <c r="B16" t="s">
        <v>13</v>
      </c>
      <c r="C16">
        <v>21529</v>
      </c>
      <c r="E16" s="1">
        <f>'Single Family Commodities'!O18</f>
        <v>-7043.65</v>
      </c>
      <c r="G16" s="1">
        <f t="shared" si="0"/>
        <v>-0.32717032839425891</v>
      </c>
      <c r="H16" s="1"/>
      <c r="I16" s="1"/>
      <c r="J16" s="1"/>
    </row>
    <row r="17" spans="1:10" x14ac:dyDescent="0.2">
      <c r="B17" t="s">
        <v>14</v>
      </c>
      <c r="C17">
        <v>21415</v>
      </c>
      <c r="E17" s="1">
        <f>'Single Family Commodities'!O20</f>
        <v>-6767.7199999999993</v>
      </c>
      <c r="G17" s="1">
        <f t="shared" si="0"/>
        <v>-0.31602708381975247</v>
      </c>
      <c r="H17" s="1"/>
      <c r="I17" s="1"/>
      <c r="J17" s="1"/>
    </row>
    <row r="18" spans="1:10" x14ac:dyDescent="0.2">
      <c r="B18" t="s">
        <v>15</v>
      </c>
      <c r="C18">
        <v>21236</v>
      </c>
      <c r="E18" s="1">
        <f>'Single Family Commodities'!O22</f>
        <v>-7322.7300000000005</v>
      </c>
      <c r="G18" s="1">
        <f t="shared" si="0"/>
        <v>-0.34482623846298738</v>
      </c>
      <c r="H18" s="1"/>
      <c r="I18" s="1"/>
      <c r="J18" s="1"/>
    </row>
    <row r="19" spans="1:10" x14ac:dyDescent="0.2">
      <c r="B19" t="s">
        <v>16</v>
      </c>
      <c r="C19">
        <v>21270</v>
      </c>
      <c r="E19" s="1">
        <f>'Single Family Commodities'!O24</f>
        <v>-7191.6600000000008</v>
      </c>
      <c r="G19" s="1">
        <f t="shared" si="0"/>
        <v>-0.33811283497884348</v>
      </c>
      <c r="H19" s="1"/>
      <c r="I19" s="1"/>
      <c r="J19" s="1"/>
    </row>
    <row r="20" spans="1:10" x14ac:dyDescent="0.2">
      <c r="B20" t="s">
        <v>17</v>
      </c>
      <c r="C20">
        <v>21242</v>
      </c>
      <c r="E20" s="1">
        <f>'Single Family Commodities'!O26</f>
        <v>-5884.6400000000012</v>
      </c>
      <c r="G20" s="1">
        <f t="shared" si="0"/>
        <v>-0.27702852838715758</v>
      </c>
      <c r="H20" s="1"/>
      <c r="I20" s="1"/>
      <c r="J20" s="1"/>
    </row>
    <row r="21" spans="1:10" x14ac:dyDescent="0.2">
      <c r="B21" t="s">
        <v>18</v>
      </c>
      <c r="C21">
        <v>21333</v>
      </c>
      <c r="E21" s="1">
        <f>'Single Family Commodities'!O28</f>
        <v>-5355.95</v>
      </c>
      <c r="G21" s="1">
        <f t="shared" si="0"/>
        <v>-0.25106407912623635</v>
      </c>
      <c r="H21" s="1"/>
      <c r="I21" s="1"/>
      <c r="J21" s="1"/>
    </row>
    <row r="22" spans="1:10" x14ac:dyDescent="0.2">
      <c r="B22" t="s">
        <v>19</v>
      </c>
      <c r="C22" s="24">
        <v>21430</v>
      </c>
      <c r="E22" s="1">
        <f>'Single Family Commodities'!O30</f>
        <v>-7190.4400000000005</v>
      </c>
      <c r="G22" s="1">
        <f t="shared" si="0"/>
        <v>-0.33553149790014003</v>
      </c>
      <c r="H22" s="1"/>
      <c r="I22" s="1"/>
      <c r="J22" s="1"/>
    </row>
    <row r="23" spans="1:10" x14ac:dyDescent="0.2">
      <c r="E23" s="1"/>
      <c r="G23" s="1"/>
      <c r="H23" s="1"/>
      <c r="I23" s="1"/>
      <c r="J23" s="1"/>
    </row>
    <row r="24" spans="1:10" x14ac:dyDescent="0.2">
      <c r="A24" t="s">
        <v>44</v>
      </c>
      <c r="C24">
        <f>SUM(C13:C22)</f>
        <v>214019</v>
      </c>
      <c r="E24" s="1">
        <f>SUM(E13:E22)</f>
        <v>-74063.440000000017</v>
      </c>
      <c r="G24" s="1"/>
      <c r="H24" s="1"/>
      <c r="I24" s="1"/>
      <c r="J24" s="1"/>
    </row>
    <row r="25" spans="1:10" x14ac:dyDescent="0.2">
      <c r="E25" s="1"/>
      <c r="G25" s="1"/>
      <c r="H25" s="1"/>
      <c r="I25" s="1"/>
      <c r="J25" s="1"/>
    </row>
    <row r="26" spans="1:10" x14ac:dyDescent="0.2">
      <c r="A26" t="s">
        <v>2</v>
      </c>
      <c r="C26">
        <f>+C24+C11</f>
        <v>256704</v>
      </c>
      <c r="E26" s="1">
        <f>+E24+E11</f>
        <v>-93208.300000000017</v>
      </c>
      <c r="G26" s="1">
        <f>+E26/C26</f>
        <v>-0.36309640675641991</v>
      </c>
      <c r="H26" s="1"/>
      <c r="I26" s="1"/>
      <c r="J26" s="1"/>
    </row>
    <row r="27" spans="1:10" x14ac:dyDescent="0.2">
      <c r="E27" s="1"/>
      <c r="G27" s="1"/>
      <c r="H27" s="1"/>
      <c r="I27" s="1"/>
      <c r="J27" s="1"/>
    </row>
    <row r="28" spans="1:10" x14ac:dyDescent="0.2">
      <c r="B28" t="s">
        <v>20</v>
      </c>
      <c r="E28" s="1"/>
      <c r="G28" s="1"/>
      <c r="H28" s="1"/>
      <c r="I28" s="1"/>
      <c r="J28" s="1"/>
    </row>
    <row r="29" spans="1:10" x14ac:dyDescent="0.2">
      <c r="E29" s="1"/>
      <c r="G29" s="1"/>
      <c r="H29" s="1"/>
      <c r="I29" s="1"/>
      <c r="J29" s="1"/>
    </row>
    <row r="30" spans="1:10" x14ac:dyDescent="0.2">
      <c r="D30" t="s">
        <v>21</v>
      </c>
      <c r="E30" s="1"/>
      <c r="G30" s="1"/>
      <c r="H30" s="1">
        <f>+E26</f>
        <v>-93208.300000000017</v>
      </c>
      <c r="I30" s="1"/>
      <c r="J30" s="1"/>
    </row>
    <row r="31" spans="1:10" x14ac:dyDescent="0.2">
      <c r="E31" s="1"/>
      <c r="G31" s="1"/>
      <c r="H31" s="1"/>
      <c r="I31" s="1"/>
      <c r="J31" s="1"/>
    </row>
    <row r="32" spans="1:10" x14ac:dyDescent="0.2">
      <c r="B32" t="s">
        <v>22</v>
      </c>
      <c r="E32" s="1"/>
      <c r="G32" s="31">
        <v>-0.17</v>
      </c>
      <c r="H32" s="1"/>
      <c r="I32" s="1"/>
      <c r="J32" s="1"/>
    </row>
    <row r="33" spans="2:10" x14ac:dyDescent="0.2">
      <c r="C33" t="s">
        <v>45</v>
      </c>
      <c r="E33" s="1"/>
      <c r="G33" s="2">
        <f>+C11</f>
        <v>42685</v>
      </c>
      <c r="H33" s="1"/>
      <c r="I33" s="1"/>
      <c r="J33" s="1"/>
    </row>
    <row r="34" spans="2:10" x14ac:dyDescent="0.2">
      <c r="B34" t="s">
        <v>23</v>
      </c>
      <c r="E34" s="1"/>
      <c r="G34" s="1">
        <f>+G33*G32</f>
        <v>-7256.4500000000007</v>
      </c>
      <c r="H34" s="1"/>
      <c r="I34" s="1"/>
      <c r="J34" s="1"/>
    </row>
    <row r="35" spans="2:10" x14ac:dyDescent="0.2">
      <c r="E35" s="1"/>
      <c r="G35" s="1"/>
      <c r="H35" s="1"/>
      <c r="I35" s="1"/>
      <c r="J35" s="1"/>
    </row>
    <row r="36" spans="2:10" x14ac:dyDescent="0.2">
      <c r="E36" s="1"/>
      <c r="G36" s="1"/>
      <c r="H36" s="1"/>
      <c r="I36" s="1"/>
      <c r="J36" s="1"/>
    </row>
    <row r="37" spans="2:10" x14ac:dyDescent="0.2">
      <c r="B37" t="s">
        <v>22</v>
      </c>
      <c r="E37" s="1"/>
      <c r="G37" s="31">
        <v>-0.33</v>
      </c>
      <c r="H37" s="1"/>
      <c r="I37" s="1"/>
      <c r="J37" s="1"/>
    </row>
    <row r="38" spans="2:10" x14ac:dyDescent="0.2">
      <c r="C38" t="s">
        <v>46</v>
      </c>
      <c r="E38" s="1"/>
      <c r="G38" s="2">
        <f>+C24</f>
        <v>214019</v>
      </c>
      <c r="H38" s="1"/>
      <c r="I38" s="1"/>
      <c r="J38" s="1"/>
    </row>
    <row r="39" spans="2:10" x14ac:dyDescent="0.2">
      <c r="B39" t="s">
        <v>23</v>
      </c>
      <c r="E39" s="1"/>
      <c r="G39" s="1">
        <f>+G38*G37</f>
        <v>-70626.27</v>
      </c>
      <c r="H39" s="1">
        <f>+G39+G34</f>
        <v>-77882.720000000001</v>
      </c>
      <c r="I39" s="1"/>
      <c r="J39" s="1"/>
    </row>
    <row r="40" spans="2:10" x14ac:dyDescent="0.2">
      <c r="E40" s="1"/>
      <c r="G40" s="1"/>
      <c r="H40" s="1"/>
      <c r="I40" s="1"/>
      <c r="J40" s="1"/>
    </row>
    <row r="41" spans="2:10" x14ac:dyDescent="0.2">
      <c r="B41" t="s">
        <v>24</v>
      </c>
      <c r="E41" s="1"/>
      <c r="G41" s="1"/>
      <c r="H41" s="1">
        <f>+H30-H39</f>
        <v>-15325.580000000016</v>
      </c>
      <c r="I41" s="1"/>
      <c r="J41" s="1"/>
    </row>
    <row r="42" spans="2:10" x14ac:dyDescent="0.2">
      <c r="E42" s="1"/>
      <c r="G42" s="1"/>
      <c r="H42" s="1"/>
      <c r="I42" s="1"/>
      <c r="J42" s="1"/>
    </row>
    <row r="43" spans="2:10" x14ac:dyDescent="0.2">
      <c r="E43" s="1"/>
      <c r="G43" s="1"/>
      <c r="H43" s="1"/>
      <c r="I43" s="1"/>
      <c r="J43" s="1"/>
    </row>
    <row r="44" spans="2:10" x14ac:dyDescent="0.2">
      <c r="B44" t="s">
        <v>47</v>
      </c>
      <c r="E44" s="1"/>
      <c r="G44" s="1"/>
      <c r="H44" s="1"/>
      <c r="I44" s="1"/>
      <c r="J44" s="1"/>
    </row>
    <row r="45" spans="2:10" x14ac:dyDescent="0.2">
      <c r="E45" s="1"/>
      <c r="G45" s="1"/>
      <c r="H45" s="1"/>
      <c r="I45" s="1"/>
      <c r="J45" s="1"/>
    </row>
    <row r="46" spans="2:10" x14ac:dyDescent="0.2">
      <c r="B46" t="s">
        <v>48</v>
      </c>
      <c r="E46" s="1"/>
      <c r="G46" s="1"/>
      <c r="H46" s="1"/>
      <c r="I46" s="1"/>
      <c r="J46" s="1"/>
    </row>
    <row r="47" spans="2:10" x14ac:dyDescent="0.2">
      <c r="E47" s="1"/>
      <c r="G47" s="1"/>
      <c r="H47" s="1"/>
      <c r="I47" s="1"/>
      <c r="J47" s="1"/>
    </row>
    <row r="48" spans="2:10" x14ac:dyDescent="0.2">
      <c r="D48" t="s">
        <v>25</v>
      </c>
      <c r="E48" s="1"/>
      <c r="G48" s="1"/>
      <c r="H48" s="2">
        <f>+C26</f>
        <v>256704</v>
      </c>
      <c r="I48" s="1"/>
      <c r="J48" s="1"/>
    </row>
    <row r="49" spans="2:10" x14ac:dyDescent="0.2">
      <c r="D49" t="s">
        <v>24</v>
      </c>
      <c r="E49" s="1"/>
      <c r="G49" s="1"/>
      <c r="H49" s="1">
        <f>+H41</f>
        <v>-15325.580000000016</v>
      </c>
      <c r="I49" s="1"/>
      <c r="J49" s="1"/>
    </row>
    <row r="50" spans="2:10" x14ac:dyDescent="0.2">
      <c r="E50" s="1"/>
      <c r="G50" s="1"/>
      <c r="H50" s="1"/>
      <c r="I50" s="1"/>
      <c r="J50" s="1"/>
    </row>
    <row r="51" spans="2:10" x14ac:dyDescent="0.2">
      <c r="D51" t="s">
        <v>49</v>
      </c>
      <c r="E51" s="1"/>
      <c r="G51" s="1"/>
      <c r="H51" s="1">
        <f>+H49/H48</f>
        <v>-5.9701368112690167E-2</v>
      </c>
      <c r="I51" s="1"/>
      <c r="J51" s="1">
        <f>+H51</f>
        <v>-5.9701368112690167E-2</v>
      </c>
    </row>
    <row r="52" spans="2:10" x14ac:dyDescent="0.2">
      <c r="E52" s="1"/>
      <c r="G52" s="1"/>
      <c r="H52" s="1"/>
      <c r="I52" s="1"/>
      <c r="J52" s="1"/>
    </row>
    <row r="53" spans="2:10" x14ac:dyDescent="0.2">
      <c r="B53" t="s">
        <v>50</v>
      </c>
      <c r="E53" s="1"/>
      <c r="G53" s="1"/>
      <c r="H53" s="1"/>
      <c r="I53" s="1"/>
      <c r="J53" s="1"/>
    </row>
    <row r="54" spans="2:10" x14ac:dyDescent="0.2">
      <c r="B54" t="s">
        <v>26</v>
      </c>
      <c r="E54" s="1"/>
      <c r="G54" s="1"/>
      <c r="H54" s="1">
        <f>+G26</f>
        <v>-0.36309640675641991</v>
      </c>
      <c r="I54" s="1"/>
      <c r="J54" s="1">
        <f>+H54</f>
        <v>-0.36309640675641991</v>
      </c>
    </row>
    <row r="55" spans="2:10" x14ac:dyDescent="0.2">
      <c r="E55" s="1"/>
      <c r="G55" s="1"/>
      <c r="H55" s="1"/>
      <c r="I55" s="1"/>
      <c r="J55" s="1"/>
    </row>
    <row r="56" spans="2:10" x14ac:dyDescent="0.2">
      <c r="E56" s="1"/>
      <c r="G56" s="1"/>
      <c r="H56" s="1"/>
      <c r="I56" s="1"/>
      <c r="J56" s="1"/>
    </row>
    <row r="57" spans="2:10" x14ac:dyDescent="0.2">
      <c r="B57" t="s">
        <v>51</v>
      </c>
      <c r="E57" s="1"/>
      <c r="G57" s="1"/>
      <c r="H57" s="1"/>
      <c r="I57" s="1"/>
      <c r="J57" s="6">
        <f>+J54+J51</f>
        <v>-0.42279777486911008</v>
      </c>
    </row>
    <row r="58" spans="2:10" x14ac:dyDescent="0.2">
      <c r="E58" s="1"/>
      <c r="G58" s="1"/>
      <c r="H58" s="1"/>
      <c r="I58" s="1"/>
      <c r="J58" s="1"/>
    </row>
    <row r="59" spans="2:10" x14ac:dyDescent="0.2">
      <c r="E59" s="1"/>
      <c r="G59" s="1"/>
      <c r="H59" s="1"/>
      <c r="I59" s="1"/>
      <c r="J59" s="1"/>
    </row>
    <row r="60" spans="2:10" x14ac:dyDescent="0.2">
      <c r="E60" s="1"/>
      <c r="G60" s="1"/>
      <c r="H60" s="1"/>
      <c r="I60" s="1"/>
      <c r="J60" s="1"/>
    </row>
    <row r="61" spans="2:10" x14ac:dyDescent="0.2">
      <c r="E61" s="1"/>
      <c r="G61" s="1"/>
      <c r="H61" s="1"/>
      <c r="I61" s="1"/>
      <c r="J61" s="1"/>
    </row>
    <row r="62" spans="2:10" x14ac:dyDescent="0.2">
      <c r="E62" s="1"/>
      <c r="G62" s="1"/>
      <c r="H62" s="1"/>
      <c r="I62" s="1"/>
      <c r="J62" s="1"/>
    </row>
    <row r="63" spans="2:10" x14ac:dyDescent="0.2">
      <c r="E63" s="1"/>
      <c r="G63" s="1"/>
      <c r="H63" s="1"/>
      <c r="I63" s="1"/>
      <c r="J63" s="1"/>
    </row>
    <row r="64" spans="2:10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  <row r="75" spans="5:5" x14ac:dyDescent="0.2">
      <c r="E75" s="1"/>
    </row>
    <row r="76" spans="5:5" x14ac:dyDescent="0.2">
      <c r="E76" s="1"/>
    </row>
    <row r="77" spans="5:5" x14ac:dyDescent="0.2">
      <c r="E77" s="1"/>
    </row>
    <row r="78" spans="5:5" x14ac:dyDescent="0.2">
      <c r="E78" s="1"/>
    </row>
    <row r="79" spans="5:5" x14ac:dyDescent="0.2">
      <c r="E79" s="1"/>
    </row>
    <row r="80" spans="5:5" x14ac:dyDescent="0.2">
      <c r="E80" s="1"/>
    </row>
    <row r="81" spans="5:5" x14ac:dyDescent="0.2">
      <c r="E81" s="1"/>
    </row>
    <row r="82" spans="5:5" x14ac:dyDescent="0.2">
      <c r="E82" s="1"/>
    </row>
    <row r="83" spans="5:5" x14ac:dyDescent="0.2">
      <c r="E83" s="1"/>
    </row>
    <row r="84" spans="5:5" x14ac:dyDescent="0.2">
      <c r="E84" s="1"/>
    </row>
    <row r="85" spans="5:5" x14ac:dyDescent="0.2">
      <c r="E85" s="1"/>
    </row>
    <row r="86" spans="5:5" x14ac:dyDescent="0.2">
      <c r="E86" s="1"/>
    </row>
    <row r="87" spans="5:5" x14ac:dyDescent="0.2">
      <c r="E87" s="1"/>
    </row>
    <row r="88" spans="5:5" x14ac:dyDescent="0.2">
      <c r="E88" s="1"/>
    </row>
    <row r="89" spans="5:5" x14ac:dyDescent="0.2">
      <c r="E89" s="1"/>
    </row>
    <row r="90" spans="5:5" x14ac:dyDescent="0.2">
      <c r="E90" s="1"/>
    </row>
    <row r="91" spans="5:5" x14ac:dyDescent="0.2">
      <c r="E91" s="1"/>
    </row>
    <row r="92" spans="5:5" x14ac:dyDescent="0.2">
      <c r="E92" s="1"/>
    </row>
    <row r="93" spans="5:5" x14ac:dyDescent="0.2">
      <c r="E93" s="1"/>
    </row>
    <row r="94" spans="5:5" x14ac:dyDescent="0.2">
      <c r="E94" s="1"/>
    </row>
    <row r="95" spans="5:5" x14ac:dyDescent="0.2">
      <c r="E95" s="1"/>
    </row>
    <row r="96" spans="5:5" x14ac:dyDescent="0.2">
      <c r="E96" s="1"/>
    </row>
    <row r="97" spans="5:5" x14ac:dyDescent="0.2">
      <c r="E97" s="1"/>
    </row>
    <row r="98" spans="5:5" x14ac:dyDescent="0.2">
      <c r="E98" s="1"/>
    </row>
    <row r="99" spans="5:5" x14ac:dyDescent="0.2">
      <c r="E99" s="1"/>
    </row>
    <row r="100" spans="5:5" x14ac:dyDescent="0.2">
      <c r="E100" s="1"/>
    </row>
    <row r="101" spans="5:5" x14ac:dyDescent="0.2">
      <c r="E101" s="1"/>
    </row>
    <row r="102" spans="5:5" x14ac:dyDescent="0.2">
      <c r="E102" s="1"/>
    </row>
    <row r="103" spans="5:5" x14ac:dyDescent="0.2">
      <c r="E103" s="1"/>
    </row>
    <row r="104" spans="5:5" x14ac:dyDescent="0.2">
      <c r="E104" s="1"/>
    </row>
    <row r="105" spans="5:5" x14ac:dyDescent="0.2">
      <c r="E105" s="1"/>
    </row>
    <row r="106" spans="5:5" x14ac:dyDescent="0.2">
      <c r="E106" s="1"/>
    </row>
    <row r="107" spans="5:5" x14ac:dyDescent="0.2">
      <c r="E107" s="1"/>
    </row>
    <row r="108" spans="5:5" x14ac:dyDescent="0.2">
      <c r="E108" s="1"/>
    </row>
    <row r="109" spans="5:5" x14ac:dyDescent="0.2">
      <c r="E109" s="1"/>
    </row>
    <row r="110" spans="5:5" x14ac:dyDescent="0.2">
      <c r="E110" s="1"/>
    </row>
    <row r="111" spans="5:5" x14ac:dyDescent="0.2">
      <c r="E111" s="1"/>
    </row>
    <row r="112" spans="5:5" x14ac:dyDescent="0.2">
      <c r="E112" s="1"/>
    </row>
    <row r="113" spans="5:5" x14ac:dyDescent="0.2">
      <c r="E113" s="1"/>
    </row>
    <row r="114" spans="5:5" x14ac:dyDescent="0.2">
      <c r="E114" s="1"/>
    </row>
    <row r="115" spans="5:5" x14ac:dyDescent="0.2">
      <c r="E115" s="1"/>
    </row>
    <row r="116" spans="5:5" x14ac:dyDescent="0.2">
      <c r="E116" s="1"/>
    </row>
    <row r="117" spans="5:5" x14ac:dyDescent="0.2">
      <c r="E117" s="1"/>
    </row>
    <row r="118" spans="5:5" x14ac:dyDescent="0.2">
      <c r="E118" s="1"/>
    </row>
    <row r="119" spans="5:5" x14ac:dyDescent="0.2">
      <c r="E119" s="1"/>
    </row>
    <row r="120" spans="5:5" x14ac:dyDescent="0.2">
      <c r="E120" s="1"/>
    </row>
    <row r="121" spans="5:5" x14ac:dyDescent="0.2">
      <c r="E121" s="1"/>
    </row>
    <row r="122" spans="5:5" x14ac:dyDescent="0.2">
      <c r="E122" s="1"/>
    </row>
    <row r="123" spans="5:5" x14ac:dyDescent="0.2">
      <c r="E123" s="1"/>
    </row>
    <row r="124" spans="5:5" x14ac:dyDescent="0.2">
      <c r="E124" s="1"/>
    </row>
    <row r="125" spans="5:5" x14ac:dyDescent="0.2">
      <c r="E125" s="1"/>
    </row>
    <row r="126" spans="5:5" x14ac:dyDescent="0.2">
      <c r="E126" s="1"/>
    </row>
    <row r="127" spans="5:5" x14ac:dyDescent="0.2">
      <c r="E127" s="1"/>
    </row>
    <row r="128" spans="5:5" x14ac:dyDescent="0.2">
      <c r="E128" s="1"/>
    </row>
    <row r="129" spans="5:5" x14ac:dyDescent="0.2">
      <c r="E129" s="1"/>
    </row>
    <row r="130" spans="5:5" x14ac:dyDescent="0.2">
      <c r="E130" s="1"/>
    </row>
    <row r="131" spans="5:5" x14ac:dyDescent="0.2">
      <c r="E131" s="1"/>
    </row>
    <row r="132" spans="5:5" x14ac:dyDescent="0.2">
      <c r="E132" s="1"/>
    </row>
    <row r="133" spans="5:5" x14ac:dyDescent="0.2">
      <c r="E133" s="1"/>
    </row>
    <row r="134" spans="5:5" x14ac:dyDescent="0.2">
      <c r="E134" s="1"/>
    </row>
    <row r="135" spans="5:5" x14ac:dyDescent="0.2">
      <c r="E135" s="1"/>
    </row>
    <row r="136" spans="5:5" x14ac:dyDescent="0.2">
      <c r="E136" s="1"/>
    </row>
    <row r="137" spans="5:5" x14ac:dyDescent="0.2">
      <c r="E137" s="1"/>
    </row>
    <row r="138" spans="5:5" x14ac:dyDescent="0.2">
      <c r="E138" s="1"/>
    </row>
    <row r="139" spans="5:5" x14ac:dyDescent="0.2">
      <c r="E139" s="1"/>
    </row>
    <row r="140" spans="5:5" x14ac:dyDescent="0.2">
      <c r="E140" s="1"/>
    </row>
    <row r="141" spans="5:5" x14ac:dyDescent="0.2">
      <c r="E141" s="1"/>
    </row>
    <row r="142" spans="5:5" x14ac:dyDescent="0.2">
      <c r="E142" s="1"/>
    </row>
    <row r="143" spans="5:5" x14ac:dyDescent="0.2">
      <c r="E143" s="1"/>
    </row>
    <row r="144" spans="5:5" x14ac:dyDescent="0.2">
      <c r="E144" s="1"/>
    </row>
    <row r="145" spans="5:5" x14ac:dyDescent="0.2">
      <c r="E145" s="1"/>
    </row>
    <row r="146" spans="5:5" x14ac:dyDescent="0.2">
      <c r="E146" s="1"/>
    </row>
    <row r="147" spans="5:5" x14ac:dyDescent="0.2">
      <c r="E147" s="1"/>
    </row>
    <row r="148" spans="5:5" x14ac:dyDescent="0.2">
      <c r="E148" s="1"/>
    </row>
    <row r="149" spans="5:5" x14ac:dyDescent="0.2">
      <c r="E149" s="1"/>
    </row>
    <row r="150" spans="5:5" x14ac:dyDescent="0.2">
      <c r="E150" s="1"/>
    </row>
    <row r="151" spans="5:5" x14ac:dyDescent="0.2">
      <c r="E151" s="1"/>
    </row>
    <row r="152" spans="5:5" x14ac:dyDescent="0.2">
      <c r="E152" s="1"/>
    </row>
    <row r="153" spans="5:5" x14ac:dyDescent="0.2">
      <c r="E153" s="1"/>
    </row>
    <row r="154" spans="5:5" x14ac:dyDescent="0.2">
      <c r="E154" s="1"/>
    </row>
    <row r="155" spans="5:5" x14ac:dyDescent="0.2">
      <c r="E155" s="1"/>
    </row>
    <row r="156" spans="5:5" x14ac:dyDescent="0.2">
      <c r="E156" s="1"/>
    </row>
    <row r="157" spans="5:5" x14ac:dyDescent="0.2">
      <c r="E157" s="1"/>
    </row>
    <row r="158" spans="5:5" x14ac:dyDescent="0.2">
      <c r="E158" s="1"/>
    </row>
    <row r="159" spans="5:5" x14ac:dyDescent="0.2">
      <c r="E159" s="1"/>
    </row>
    <row r="160" spans="5:5" x14ac:dyDescent="0.2">
      <c r="E160" s="1"/>
    </row>
    <row r="161" spans="5:5" x14ac:dyDescent="0.2">
      <c r="E161" s="1"/>
    </row>
    <row r="162" spans="5:5" x14ac:dyDescent="0.2">
      <c r="E162" s="1"/>
    </row>
  </sheetData>
  <mergeCells count="1">
    <mergeCell ref="B4:G4"/>
  </mergeCells>
  <pageMargins left="0.75" right="0.75" top="1" bottom="1" header="0.5" footer="0.5"/>
  <pageSetup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0"/>
  <sheetViews>
    <sheetView topLeftCell="A41" workbookViewId="0">
      <selection activeCell="H86" sqref="H86"/>
    </sheetView>
  </sheetViews>
  <sheetFormatPr defaultColWidth="9.140625" defaultRowHeight="12.75" x14ac:dyDescent="0.2"/>
  <cols>
    <col min="1" max="1" width="6.28515625" style="3" customWidth="1"/>
    <col min="2" max="2" width="9.140625" style="3"/>
    <col min="3" max="3" width="11.5703125" style="3" customWidth="1"/>
    <col min="4" max="4" width="9.140625" style="3"/>
    <col min="5" max="5" width="10.140625" style="3" bestFit="1" customWidth="1"/>
    <col min="6" max="6" width="9.140625" style="3"/>
    <col min="7" max="8" width="10.5703125" style="3" bestFit="1" customWidth="1"/>
    <col min="9" max="9" width="9.140625" style="3"/>
    <col min="10" max="10" width="9.28515625" style="3" bestFit="1" customWidth="1"/>
    <col min="11" max="16384" width="9.140625" style="3"/>
  </cols>
  <sheetData>
    <row r="1" spans="1:12" x14ac:dyDescent="0.2">
      <c r="A1" s="9" t="s">
        <v>0</v>
      </c>
    </row>
    <row r="2" spans="1:12" x14ac:dyDescent="0.2">
      <c r="A2" s="3" t="s">
        <v>42</v>
      </c>
    </row>
    <row r="3" spans="1:12" x14ac:dyDescent="0.2">
      <c r="A3" s="3" t="s">
        <v>41</v>
      </c>
    </row>
    <row r="5" spans="1:12" x14ac:dyDescent="0.2">
      <c r="G5" s="3" t="s">
        <v>3</v>
      </c>
    </row>
    <row r="6" spans="1:12" x14ac:dyDescent="0.2">
      <c r="E6" s="3" t="s">
        <v>3</v>
      </c>
      <c r="G6" s="3" t="s">
        <v>4</v>
      </c>
    </row>
    <row r="7" spans="1:12" x14ac:dyDescent="0.2">
      <c r="C7" s="10" t="s">
        <v>39</v>
      </c>
      <c r="E7" s="3" t="s">
        <v>4</v>
      </c>
      <c r="G7" s="3" t="s">
        <v>6</v>
      </c>
    </row>
    <row r="8" spans="1:12" x14ac:dyDescent="0.2">
      <c r="A8" s="3" t="s">
        <v>7</v>
      </c>
      <c r="B8" s="3" t="s">
        <v>8</v>
      </c>
      <c r="C8" s="29">
        <v>15756</v>
      </c>
      <c r="E8" s="4">
        <f>'Multi Family Commodities'!O8</f>
        <v>-3863.2799999999997</v>
      </c>
      <c r="F8" s="4"/>
      <c r="G8" s="4">
        <f>+E8/C8</f>
        <v>-0.24519421172886519</v>
      </c>
      <c r="H8" s="4"/>
      <c r="I8" s="4"/>
      <c r="J8" s="4"/>
      <c r="K8" s="4"/>
      <c r="L8" s="4"/>
    </row>
    <row r="9" spans="1:12" x14ac:dyDescent="0.2">
      <c r="B9" s="3" t="s">
        <v>9</v>
      </c>
      <c r="C9" s="29">
        <v>15846</v>
      </c>
      <c r="E9" s="4">
        <f>'Multi Family Commodities'!O10</f>
        <v>-3998.0199999999995</v>
      </c>
      <c r="F9" s="4"/>
      <c r="G9" s="4">
        <f>+E9/C9</f>
        <v>-0.25230468256973365</v>
      </c>
      <c r="H9" s="4"/>
      <c r="I9" s="4"/>
      <c r="J9" s="4"/>
      <c r="K9" s="4"/>
      <c r="L9" s="4"/>
    </row>
    <row r="10" spans="1:12" x14ac:dyDescent="0.2">
      <c r="C10" s="29"/>
      <c r="E10" s="4"/>
      <c r="F10" s="4"/>
      <c r="G10" s="4"/>
      <c r="H10" s="4"/>
      <c r="I10" s="4"/>
      <c r="J10" s="4"/>
      <c r="K10" s="4"/>
      <c r="L10" s="4"/>
    </row>
    <row r="11" spans="1:12" x14ac:dyDescent="0.2">
      <c r="A11" s="3" t="s">
        <v>43</v>
      </c>
      <c r="C11" s="29">
        <f>+C9+C8</f>
        <v>31602</v>
      </c>
      <c r="E11" s="4">
        <f>+E9+E8</f>
        <v>-7861.2999999999993</v>
      </c>
      <c r="F11" s="4"/>
      <c r="G11" s="4"/>
      <c r="H11" s="4"/>
      <c r="I11" s="4"/>
      <c r="J11" s="4"/>
      <c r="K11" s="4"/>
      <c r="L11" s="4"/>
    </row>
    <row r="12" spans="1:12" x14ac:dyDescent="0.2">
      <c r="C12" s="29"/>
      <c r="E12" s="4"/>
      <c r="F12" s="4"/>
      <c r="G12" s="4"/>
      <c r="H12" s="4"/>
      <c r="I12" s="4"/>
      <c r="J12" s="4"/>
      <c r="K12" s="4"/>
      <c r="L12" s="4"/>
    </row>
    <row r="13" spans="1:12" x14ac:dyDescent="0.2">
      <c r="B13" s="3" t="s">
        <v>10</v>
      </c>
      <c r="C13" s="29">
        <v>16113</v>
      </c>
      <c r="E13" s="4">
        <f>'Multi Family Commodities'!O12</f>
        <v>-3329.77</v>
      </c>
      <c r="F13" s="4"/>
      <c r="G13" s="4">
        <f t="shared" ref="G13:G22" si="0">+E13/C13</f>
        <v>-0.20665115124433686</v>
      </c>
      <c r="H13" s="4"/>
      <c r="I13" s="4"/>
      <c r="J13" s="4"/>
      <c r="K13" s="4"/>
      <c r="L13" s="4"/>
    </row>
    <row r="14" spans="1:12" x14ac:dyDescent="0.2">
      <c r="B14" s="3" t="s">
        <v>11</v>
      </c>
      <c r="C14" s="29">
        <v>16435</v>
      </c>
      <c r="E14" s="4">
        <f>'Multi Family Commodities'!O14</f>
        <v>-3593.5299999999997</v>
      </c>
      <c r="F14" s="4"/>
      <c r="G14" s="4">
        <f t="shared" si="0"/>
        <v>-0.21865104958929113</v>
      </c>
      <c r="H14" s="4"/>
      <c r="I14" s="4"/>
      <c r="J14" s="4"/>
      <c r="K14" s="4"/>
      <c r="L14" s="4"/>
    </row>
    <row r="15" spans="1:12" x14ac:dyDescent="0.2">
      <c r="B15" s="3" t="s">
        <v>12</v>
      </c>
      <c r="C15" s="29">
        <v>16201</v>
      </c>
      <c r="E15" s="4">
        <f>'Multi Family Commodities'!O16</f>
        <v>-3636.03</v>
      </c>
      <c r="F15" s="4"/>
      <c r="G15" s="4">
        <f t="shared" si="0"/>
        <v>-0.22443244244182459</v>
      </c>
      <c r="H15" s="4"/>
      <c r="I15" s="4"/>
      <c r="J15" s="4"/>
      <c r="K15" s="4"/>
      <c r="L15" s="4"/>
    </row>
    <row r="16" spans="1:12" x14ac:dyDescent="0.2">
      <c r="B16" s="3" t="s">
        <v>13</v>
      </c>
      <c r="C16" s="29">
        <v>15962</v>
      </c>
      <c r="E16" s="4">
        <f>'Multi Family Commodities'!O18</f>
        <v>-3717.9300000000003</v>
      </c>
      <c r="F16" s="4"/>
      <c r="G16" s="4">
        <f t="shared" si="0"/>
        <v>-0.23292381907029197</v>
      </c>
      <c r="H16" s="4"/>
      <c r="I16" s="4"/>
      <c r="J16" s="4"/>
      <c r="K16" s="4"/>
      <c r="L16" s="4"/>
    </row>
    <row r="17" spans="1:12" x14ac:dyDescent="0.2">
      <c r="B17" s="3" t="s">
        <v>14</v>
      </c>
      <c r="C17" s="29">
        <v>15881</v>
      </c>
      <c r="E17" s="4">
        <f>'Multi Family Commodities'!O20</f>
        <v>-4163.3500000000004</v>
      </c>
      <c r="F17" s="4"/>
      <c r="G17" s="4">
        <f t="shared" si="0"/>
        <v>-0.26215918393048299</v>
      </c>
      <c r="H17" s="4"/>
      <c r="I17" s="4"/>
      <c r="J17" s="4"/>
      <c r="K17" s="4"/>
      <c r="L17" s="4"/>
    </row>
    <row r="18" spans="1:12" x14ac:dyDescent="0.2">
      <c r="B18" s="3" t="s">
        <v>15</v>
      </c>
      <c r="C18" s="29">
        <v>16718</v>
      </c>
      <c r="E18" s="4">
        <f>'Multi Family Commodities'!O22</f>
        <v>-3510.92</v>
      </c>
      <c r="F18" s="4"/>
      <c r="G18" s="4">
        <f t="shared" si="0"/>
        <v>-0.21000837420744109</v>
      </c>
      <c r="H18" s="4"/>
      <c r="I18" s="4"/>
      <c r="J18" s="4"/>
      <c r="K18" s="4"/>
      <c r="L18" s="4"/>
    </row>
    <row r="19" spans="1:12" x14ac:dyDescent="0.2">
      <c r="B19" s="3" t="s">
        <v>16</v>
      </c>
      <c r="C19" s="29">
        <v>15932</v>
      </c>
      <c r="E19" s="4">
        <f>'Multi Family Commodities'!O24</f>
        <v>-3632.67</v>
      </c>
      <c r="F19" s="4"/>
      <c r="G19" s="4">
        <f t="shared" si="0"/>
        <v>-0.22801092141601809</v>
      </c>
      <c r="H19" s="4"/>
      <c r="I19" s="4"/>
      <c r="J19" s="4"/>
      <c r="K19" s="4"/>
      <c r="L19" s="4"/>
    </row>
    <row r="20" spans="1:12" x14ac:dyDescent="0.2">
      <c r="B20" s="3" t="s">
        <v>17</v>
      </c>
      <c r="C20" s="29">
        <v>15944</v>
      </c>
      <c r="E20" s="4">
        <f>'Multi Family Commodities'!O26</f>
        <v>-3320.41</v>
      </c>
      <c r="F20" s="4"/>
      <c r="G20" s="4">
        <f t="shared" si="0"/>
        <v>-0.20825451580531862</v>
      </c>
      <c r="H20" s="4"/>
      <c r="I20" s="4"/>
      <c r="J20" s="4"/>
      <c r="K20" s="4"/>
      <c r="L20" s="4"/>
    </row>
    <row r="21" spans="1:12" x14ac:dyDescent="0.2">
      <c r="B21" s="3" t="s">
        <v>18</v>
      </c>
      <c r="C21" s="29">
        <v>16593</v>
      </c>
      <c r="E21" s="4">
        <f>'Multi Family Commodities'!O28</f>
        <v>-4193.42</v>
      </c>
      <c r="F21" s="4"/>
      <c r="G21" s="4">
        <f t="shared" si="0"/>
        <v>-0.25272223226661844</v>
      </c>
      <c r="H21" s="4"/>
      <c r="I21" s="4"/>
      <c r="J21" s="4"/>
      <c r="K21" s="4"/>
      <c r="L21" s="4"/>
    </row>
    <row r="22" spans="1:12" x14ac:dyDescent="0.2">
      <c r="B22" s="3" t="s">
        <v>19</v>
      </c>
      <c r="C22" s="30">
        <v>16773</v>
      </c>
      <c r="E22" s="4">
        <f>'Multi Family Commodities'!O30</f>
        <v>-3276.57</v>
      </c>
      <c r="F22" s="4"/>
      <c r="G22" s="4">
        <f t="shared" si="0"/>
        <v>-0.19534788052226795</v>
      </c>
      <c r="H22" s="4"/>
      <c r="I22" s="4"/>
      <c r="J22" s="4"/>
      <c r="K22" s="4"/>
      <c r="L22" s="4"/>
    </row>
    <row r="23" spans="1:12" x14ac:dyDescent="0.2">
      <c r="C23" s="29"/>
      <c r="E23" s="4"/>
      <c r="F23" s="4"/>
      <c r="G23" s="4"/>
      <c r="H23" s="4"/>
      <c r="I23" s="4"/>
      <c r="J23" s="4"/>
      <c r="K23" s="4"/>
      <c r="L23" s="4"/>
    </row>
    <row r="24" spans="1:12" x14ac:dyDescent="0.2">
      <c r="A24" s="3" t="s">
        <v>52</v>
      </c>
      <c r="C24" s="29">
        <f>SUM(C13:C22)</f>
        <v>162552</v>
      </c>
      <c r="E24" s="4">
        <f>SUM(E13:E22)</f>
        <v>-36374.6</v>
      </c>
      <c r="F24" s="4"/>
      <c r="G24" s="4"/>
      <c r="H24" s="4"/>
      <c r="I24" s="4"/>
      <c r="J24" s="4"/>
      <c r="K24" s="4"/>
      <c r="L24" s="4"/>
    </row>
    <row r="25" spans="1:12" x14ac:dyDescent="0.2">
      <c r="C25" s="29"/>
      <c r="E25" s="4"/>
      <c r="F25" s="4"/>
      <c r="G25" s="4"/>
      <c r="H25" s="4"/>
      <c r="I25" s="4"/>
      <c r="J25" s="4"/>
      <c r="K25" s="4"/>
      <c r="L25" s="4"/>
    </row>
    <row r="26" spans="1:12" x14ac:dyDescent="0.2">
      <c r="A26" s="3" t="s">
        <v>2</v>
      </c>
      <c r="C26" s="29">
        <f>+C24+C11</f>
        <v>194154</v>
      </c>
      <c r="E26" s="4">
        <f>+E24+E11</f>
        <v>-44235.899999999994</v>
      </c>
      <c r="F26" s="4"/>
      <c r="G26" s="4">
        <f>+E26/C26</f>
        <v>-0.22783924101486447</v>
      </c>
      <c r="H26" s="4"/>
      <c r="I26" s="4"/>
      <c r="J26" s="4"/>
      <c r="K26" s="4"/>
      <c r="L26" s="4"/>
    </row>
    <row r="27" spans="1:12" x14ac:dyDescent="0.2">
      <c r="E27" s="4"/>
      <c r="F27" s="4"/>
      <c r="G27" s="4"/>
      <c r="H27" s="4"/>
      <c r="I27" s="4"/>
      <c r="J27" s="4"/>
      <c r="K27" s="4"/>
      <c r="L27" s="4"/>
    </row>
    <row r="28" spans="1:12" x14ac:dyDescent="0.2">
      <c r="B28" s="3" t="s">
        <v>20</v>
      </c>
      <c r="E28" s="4"/>
      <c r="F28" s="4"/>
      <c r="G28" s="4"/>
      <c r="H28" s="4"/>
      <c r="I28" s="4"/>
      <c r="J28" s="4"/>
      <c r="K28" s="4"/>
      <c r="L28" s="4"/>
    </row>
    <row r="29" spans="1:12" x14ac:dyDescent="0.2">
      <c r="E29" s="4"/>
      <c r="F29" s="4"/>
      <c r="G29" s="4"/>
      <c r="H29" s="4"/>
      <c r="I29" s="4"/>
      <c r="J29" s="4"/>
      <c r="K29" s="4"/>
      <c r="L29" s="4"/>
    </row>
    <row r="30" spans="1:12" x14ac:dyDescent="0.2">
      <c r="D30" s="3" t="s">
        <v>21</v>
      </c>
      <c r="E30" s="4"/>
      <c r="F30" s="4"/>
      <c r="G30" s="4"/>
      <c r="H30" s="4">
        <f>+E26</f>
        <v>-44235.899999999994</v>
      </c>
      <c r="I30" s="4"/>
      <c r="J30" s="4"/>
      <c r="K30" s="4"/>
      <c r="L30" s="4"/>
    </row>
    <row r="31" spans="1:12" x14ac:dyDescent="0.2">
      <c r="E31" s="4"/>
      <c r="F31" s="4"/>
      <c r="G31" s="4"/>
      <c r="H31" s="4"/>
      <c r="I31" s="4"/>
      <c r="J31" s="4"/>
      <c r="K31" s="4"/>
      <c r="L31" s="4"/>
    </row>
    <row r="32" spans="1:12" x14ac:dyDescent="0.2">
      <c r="B32" s="3" t="s">
        <v>27</v>
      </c>
      <c r="E32" s="4"/>
      <c r="F32" s="4"/>
      <c r="G32" s="4">
        <v>-0.17</v>
      </c>
      <c r="H32" s="4"/>
      <c r="I32" s="4"/>
      <c r="J32" s="4"/>
      <c r="K32" s="4"/>
      <c r="L32" s="4"/>
    </row>
    <row r="33" spans="2:12" x14ac:dyDescent="0.2">
      <c r="C33" s="3" t="s">
        <v>53</v>
      </c>
      <c r="E33" s="4"/>
      <c r="F33" s="4"/>
      <c r="G33" s="5">
        <f>+C11</f>
        <v>31602</v>
      </c>
      <c r="H33" s="4"/>
      <c r="I33" s="4"/>
      <c r="J33" s="4"/>
      <c r="K33" s="4"/>
      <c r="L33" s="4"/>
    </row>
    <row r="34" spans="2:12" x14ac:dyDescent="0.2">
      <c r="B34" s="3" t="s">
        <v>23</v>
      </c>
      <c r="E34" s="4"/>
      <c r="F34" s="4"/>
      <c r="G34" s="4">
        <f>+G33*G32</f>
        <v>-5372.34</v>
      </c>
      <c r="H34" s="4"/>
      <c r="I34" s="4"/>
      <c r="J34" s="4"/>
      <c r="K34" s="4"/>
      <c r="L34" s="4"/>
    </row>
    <row r="35" spans="2:12" x14ac:dyDescent="0.2">
      <c r="E35" s="4"/>
      <c r="F35" s="4"/>
      <c r="G35" s="4"/>
      <c r="H35" s="4"/>
      <c r="I35" s="4"/>
      <c r="J35" s="4"/>
      <c r="K35" s="4"/>
      <c r="L35" s="4"/>
    </row>
    <row r="36" spans="2:12" x14ac:dyDescent="0.2">
      <c r="E36" s="4"/>
      <c r="F36" s="4"/>
      <c r="G36" s="4"/>
      <c r="H36" s="4"/>
      <c r="I36" s="4"/>
      <c r="J36" s="4"/>
      <c r="K36" s="4"/>
      <c r="L36" s="4"/>
    </row>
    <row r="37" spans="2:12" x14ac:dyDescent="0.2">
      <c r="B37" s="3" t="s">
        <v>27</v>
      </c>
      <c r="E37" s="4"/>
      <c r="F37" s="4"/>
      <c r="G37" s="4">
        <v>-0.21</v>
      </c>
      <c r="H37" s="4"/>
      <c r="I37" s="4"/>
      <c r="J37" s="4"/>
      <c r="K37" s="4"/>
      <c r="L37" s="4"/>
    </row>
    <row r="38" spans="2:12" x14ac:dyDescent="0.2">
      <c r="C38" s="3" t="s">
        <v>54</v>
      </c>
      <c r="E38" s="4"/>
      <c r="F38" s="4"/>
      <c r="G38" s="5">
        <f>+C24</f>
        <v>162552</v>
      </c>
      <c r="H38" s="4"/>
      <c r="I38" s="4"/>
      <c r="J38" s="4"/>
      <c r="K38" s="4"/>
      <c r="L38" s="4"/>
    </row>
    <row r="39" spans="2:12" x14ac:dyDescent="0.2">
      <c r="B39" s="3" t="s">
        <v>23</v>
      </c>
      <c r="E39" s="4"/>
      <c r="F39" s="4"/>
      <c r="G39" s="4">
        <f>+G38*G37</f>
        <v>-34135.919999999998</v>
      </c>
      <c r="H39" s="4">
        <f>+G39+G34</f>
        <v>-39508.259999999995</v>
      </c>
      <c r="I39" s="4"/>
      <c r="J39" s="4"/>
      <c r="K39" s="4"/>
      <c r="L39" s="4"/>
    </row>
    <row r="40" spans="2:12" x14ac:dyDescent="0.2">
      <c r="E40" s="4"/>
      <c r="F40" s="4"/>
      <c r="G40" s="4"/>
      <c r="H40" s="4"/>
      <c r="I40" s="4"/>
      <c r="J40" s="4"/>
      <c r="K40" s="4"/>
      <c r="L40" s="4"/>
    </row>
    <row r="41" spans="2:12" x14ac:dyDescent="0.2">
      <c r="B41" s="3" t="s">
        <v>24</v>
      </c>
      <c r="E41" s="4"/>
      <c r="F41" s="4"/>
      <c r="G41" s="4"/>
      <c r="H41" s="4">
        <f>+H30-H39</f>
        <v>-4727.6399999999994</v>
      </c>
      <c r="I41" s="4"/>
      <c r="J41" s="4"/>
      <c r="K41" s="4"/>
      <c r="L41" s="4"/>
    </row>
    <row r="42" spans="2:12" x14ac:dyDescent="0.2">
      <c r="E42" s="4"/>
      <c r="F42" s="4"/>
      <c r="G42" s="4"/>
      <c r="H42" s="4"/>
      <c r="I42" s="4"/>
      <c r="J42" s="4"/>
      <c r="K42" s="4"/>
      <c r="L42" s="4"/>
    </row>
    <row r="43" spans="2:12" x14ac:dyDescent="0.2">
      <c r="E43" s="4"/>
      <c r="F43" s="4"/>
      <c r="G43" s="4"/>
      <c r="H43" s="4"/>
      <c r="I43" s="4"/>
      <c r="J43" s="4"/>
      <c r="K43" s="4"/>
      <c r="L43" s="4"/>
    </row>
    <row r="44" spans="2:12" x14ac:dyDescent="0.2">
      <c r="B44" s="3" t="s">
        <v>47</v>
      </c>
      <c r="E44" s="4"/>
      <c r="F44" s="4"/>
      <c r="G44" s="4"/>
      <c r="H44" s="4"/>
      <c r="I44" s="4"/>
      <c r="J44" s="4"/>
      <c r="K44" s="4"/>
      <c r="L44" s="4"/>
    </row>
    <row r="45" spans="2:12" x14ac:dyDescent="0.2">
      <c r="E45" s="4"/>
      <c r="F45" s="4"/>
      <c r="G45" s="4"/>
      <c r="H45" s="4"/>
      <c r="I45" s="4"/>
      <c r="J45" s="4"/>
      <c r="K45" s="4"/>
      <c r="L45" s="4"/>
    </row>
    <row r="46" spans="2:12" x14ac:dyDescent="0.2">
      <c r="B46" s="3" t="s">
        <v>48</v>
      </c>
      <c r="E46" s="4"/>
      <c r="F46" s="4"/>
      <c r="G46" s="4"/>
      <c r="H46" s="4"/>
      <c r="I46" s="4"/>
      <c r="J46" s="4"/>
      <c r="K46" s="4"/>
      <c r="L46" s="4"/>
    </row>
    <row r="47" spans="2:12" x14ac:dyDescent="0.2">
      <c r="E47" s="4"/>
      <c r="F47" s="4"/>
      <c r="G47" s="4"/>
      <c r="H47" s="4"/>
      <c r="I47" s="4"/>
      <c r="J47" s="4"/>
      <c r="K47" s="4"/>
      <c r="L47" s="4"/>
    </row>
    <row r="48" spans="2:12" x14ac:dyDescent="0.2">
      <c r="D48" s="3" t="s">
        <v>28</v>
      </c>
      <c r="E48" s="4"/>
      <c r="F48" s="4"/>
      <c r="G48" s="4"/>
      <c r="H48" s="5">
        <f>+C26</f>
        <v>194154</v>
      </c>
      <c r="I48" s="4"/>
      <c r="J48" s="4"/>
      <c r="K48" s="4"/>
      <c r="L48" s="4"/>
    </row>
    <row r="49" spans="2:12" x14ac:dyDescent="0.2">
      <c r="D49" s="3" t="s">
        <v>24</v>
      </c>
      <c r="E49" s="4"/>
      <c r="F49" s="4"/>
      <c r="G49" s="4"/>
      <c r="H49" s="4">
        <f>+H41</f>
        <v>-4727.6399999999994</v>
      </c>
      <c r="I49" s="4"/>
      <c r="J49" s="4"/>
      <c r="K49" s="4"/>
      <c r="L49" s="4"/>
    </row>
    <row r="50" spans="2:12" x14ac:dyDescent="0.2">
      <c r="E50" s="4"/>
      <c r="F50" s="4"/>
      <c r="G50" s="4"/>
      <c r="H50" s="4"/>
      <c r="I50" s="4"/>
      <c r="J50" s="4"/>
      <c r="K50" s="4"/>
      <c r="L50" s="4"/>
    </row>
    <row r="51" spans="2:12" x14ac:dyDescent="0.2">
      <c r="D51" s="3" t="s">
        <v>49</v>
      </c>
      <c r="E51" s="4"/>
      <c r="F51" s="4"/>
      <c r="G51" s="4"/>
      <c r="H51" s="4">
        <f>+H49/H48</f>
        <v>-2.4349949009549118E-2</v>
      </c>
      <c r="I51" s="4"/>
      <c r="J51" s="4">
        <f>+H51</f>
        <v>-2.4349949009549118E-2</v>
      </c>
      <c r="K51" s="4"/>
      <c r="L51" s="4"/>
    </row>
    <row r="52" spans="2:12" x14ac:dyDescent="0.2">
      <c r="E52" s="4"/>
      <c r="F52" s="4"/>
      <c r="G52" s="4"/>
      <c r="H52" s="4"/>
      <c r="I52" s="4"/>
      <c r="J52" s="4"/>
      <c r="K52" s="4"/>
      <c r="L52" s="4"/>
    </row>
    <row r="53" spans="2:12" x14ac:dyDescent="0.2">
      <c r="B53" s="3" t="s">
        <v>50</v>
      </c>
      <c r="E53" s="4"/>
      <c r="F53" s="4"/>
      <c r="G53" s="4"/>
      <c r="H53" s="4"/>
      <c r="I53" s="4"/>
      <c r="J53" s="4"/>
      <c r="K53" s="4"/>
      <c r="L53" s="4"/>
    </row>
    <row r="54" spans="2:12" x14ac:dyDescent="0.2">
      <c r="B54" s="3" t="s">
        <v>26</v>
      </c>
      <c r="E54" s="4"/>
      <c r="F54" s="4"/>
      <c r="G54" s="4"/>
      <c r="H54" s="4">
        <f>+G26</f>
        <v>-0.22783924101486447</v>
      </c>
      <c r="I54" s="4"/>
      <c r="J54" s="4">
        <f>+H54</f>
        <v>-0.22783924101486447</v>
      </c>
      <c r="K54" s="4"/>
      <c r="L54" s="4"/>
    </row>
    <row r="55" spans="2:12" x14ac:dyDescent="0.2">
      <c r="E55" s="4"/>
      <c r="F55" s="4"/>
      <c r="G55" s="4"/>
      <c r="H55" s="4"/>
      <c r="I55" s="4"/>
      <c r="J55" s="4"/>
      <c r="K55" s="4"/>
      <c r="L55" s="4"/>
    </row>
    <row r="56" spans="2:12" x14ac:dyDescent="0.2">
      <c r="E56" s="4"/>
      <c r="F56" s="4"/>
      <c r="G56" s="4"/>
      <c r="H56" s="4"/>
      <c r="I56" s="4"/>
      <c r="J56" s="4"/>
      <c r="K56" s="4"/>
      <c r="L56" s="4"/>
    </row>
    <row r="57" spans="2:12" x14ac:dyDescent="0.2">
      <c r="B57" s="3" t="s">
        <v>51</v>
      </c>
      <c r="E57" s="4"/>
      <c r="F57" s="4"/>
      <c r="G57" s="4"/>
      <c r="H57" s="4"/>
      <c r="I57" s="4"/>
      <c r="J57" s="7">
        <f>+J54+J51</f>
        <v>-0.25218919002441359</v>
      </c>
      <c r="K57" s="4"/>
      <c r="L57" s="4"/>
    </row>
    <row r="58" spans="2:12" x14ac:dyDescent="0.2">
      <c r="E58" s="4"/>
      <c r="F58" s="4"/>
      <c r="G58" s="4"/>
      <c r="H58" s="4"/>
      <c r="I58" s="4"/>
      <c r="J58" s="4"/>
    </row>
    <row r="59" spans="2:12" x14ac:dyDescent="0.2">
      <c r="E59" s="4"/>
      <c r="F59" s="4"/>
      <c r="G59" s="4"/>
      <c r="H59" s="4"/>
      <c r="I59" s="4"/>
      <c r="J59" s="4"/>
    </row>
    <row r="60" spans="2:12" x14ac:dyDescent="0.2">
      <c r="E60" s="4"/>
      <c r="F60" s="4"/>
      <c r="G60" s="4"/>
      <c r="H60" s="4"/>
      <c r="I60" s="4"/>
      <c r="J60" s="4"/>
    </row>
    <row r="61" spans="2:12" x14ac:dyDescent="0.2">
      <c r="E61" s="4"/>
      <c r="F61" s="4"/>
      <c r="G61" s="4"/>
      <c r="H61" s="4"/>
      <c r="I61" s="4"/>
      <c r="J61" s="4"/>
    </row>
    <row r="62" spans="2:12" x14ac:dyDescent="0.2">
      <c r="E62" s="4"/>
      <c r="F62" s="4"/>
      <c r="G62" s="4"/>
      <c r="H62" s="4"/>
      <c r="I62" s="4"/>
      <c r="J62" s="4"/>
    </row>
    <row r="63" spans="2:12" x14ac:dyDescent="0.2">
      <c r="E63" s="4"/>
      <c r="F63" s="4"/>
      <c r="G63" s="4"/>
      <c r="H63" s="4"/>
      <c r="I63" s="4"/>
      <c r="J63" s="4"/>
    </row>
    <row r="64" spans="2:12" x14ac:dyDescent="0.2">
      <c r="E64" s="4"/>
      <c r="F64" s="4"/>
      <c r="G64" s="4"/>
      <c r="H64" s="4"/>
      <c r="I64" s="4"/>
      <c r="J64" s="4"/>
    </row>
    <row r="65" spans="5:10" x14ac:dyDescent="0.2">
      <c r="E65" s="4"/>
      <c r="F65" s="4"/>
      <c r="G65" s="4"/>
      <c r="H65" s="4"/>
      <c r="I65" s="4"/>
      <c r="J65" s="4"/>
    </row>
    <row r="66" spans="5:10" x14ac:dyDescent="0.2">
      <c r="E66" s="4"/>
      <c r="F66" s="4"/>
      <c r="G66" s="4"/>
      <c r="H66" s="4"/>
      <c r="I66" s="4"/>
      <c r="J66" s="4"/>
    </row>
    <row r="67" spans="5:10" x14ac:dyDescent="0.2">
      <c r="E67" s="4"/>
      <c r="F67" s="4"/>
      <c r="G67" s="4"/>
      <c r="H67" s="4"/>
      <c r="I67" s="4"/>
      <c r="J67" s="4"/>
    </row>
    <row r="68" spans="5:10" x14ac:dyDescent="0.2">
      <c r="E68" s="4"/>
      <c r="F68" s="4"/>
      <c r="G68" s="4"/>
      <c r="H68" s="4"/>
      <c r="I68" s="4"/>
      <c r="J68" s="4"/>
    </row>
    <row r="69" spans="5:10" x14ac:dyDescent="0.2">
      <c r="E69" s="4"/>
      <c r="F69" s="4"/>
      <c r="G69" s="4"/>
      <c r="H69" s="4"/>
      <c r="I69" s="4"/>
      <c r="J69" s="4"/>
    </row>
    <row r="70" spans="5:10" x14ac:dyDescent="0.2">
      <c r="E70" s="4"/>
      <c r="F70" s="4"/>
      <c r="G70" s="4"/>
      <c r="H70" s="4"/>
      <c r="I70" s="4"/>
      <c r="J70" s="4"/>
    </row>
    <row r="71" spans="5:10" x14ac:dyDescent="0.2">
      <c r="E71" s="4"/>
      <c r="F71" s="4"/>
      <c r="G71" s="4"/>
      <c r="H71" s="4"/>
      <c r="I71" s="4"/>
      <c r="J71" s="4"/>
    </row>
    <row r="72" spans="5:10" x14ac:dyDescent="0.2">
      <c r="E72" s="4"/>
      <c r="F72" s="4"/>
      <c r="G72" s="4"/>
      <c r="H72" s="4"/>
      <c r="I72" s="4"/>
      <c r="J72" s="4"/>
    </row>
    <row r="73" spans="5:10" x14ac:dyDescent="0.2">
      <c r="E73" s="4"/>
      <c r="F73" s="4"/>
      <c r="G73" s="4"/>
      <c r="H73" s="4"/>
      <c r="I73" s="4"/>
      <c r="J73" s="4"/>
    </row>
    <row r="74" spans="5:10" x14ac:dyDescent="0.2">
      <c r="E74" s="4"/>
      <c r="F74" s="4"/>
      <c r="G74" s="4"/>
      <c r="H74" s="4"/>
      <c r="I74" s="4"/>
      <c r="J74" s="4"/>
    </row>
    <row r="75" spans="5:10" x14ac:dyDescent="0.2">
      <c r="E75" s="4"/>
      <c r="F75" s="4"/>
      <c r="G75" s="4"/>
      <c r="H75" s="4"/>
      <c r="I75" s="4"/>
      <c r="J75" s="4"/>
    </row>
    <row r="76" spans="5:10" x14ac:dyDescent="0.2">
      <c r="E76" s="4"/>
      <c r="F76" s="4"/>
      <c r="G76" s="4"/>
      <c r="H76" s="4"/>
      <c r="I76" s="4"/>
      <c r="J76" s="4"/>
    </row>
    <row r="77" spans="5:10" x14ac:dyDescent="0.2">
      <c r="E77" s="4"/>
      <c r="F77" s="4"/>
      <c r="G77" s="4"/>
      <c r="H77" s="4"/>
      <c r="I77" s="4"/>
      <c r="J77" s="4"/>
    </row>
    <row r="78" spans="5:10" x14ac:dyDescent="0.2">
      <c r="E78" s="4"/>
      <c r="F78" s="4"/>
      <c r="G78" s="4"/>
      <c r="H78" s="4"/>
      <c r="I78" s="4"/>
      <c r="J78" s="4"/>
    </row>
    <row r="79" spans="5:10" x14ac:dyDescent="0.2">
      <c r="E79" s="4"/>
      <c r="F79" s="4"/>
      <c r="G79" s="4"/>
      <c r="H79" s="4"/>
      <c r="I79" s="4"/>
      <c r="J79" s="4"/>
    </row>
    <row r="80" spans="5:10" x14ac:dyDescent="0.2">
      <c r="E80" s="4"/>
      <c r="F80" s="4"/>
      <c r="G80" s="4"/>
      <c r="H80" s="4"/>
      <c r="I80" s="4"/>
      <c r="J80" s="4"/>
    </row>
    <row r="81" spans="5:10" x14ac:dyDescent="0.2">
      <c r="E81" s="4"/>
      <c r="F81" s="4"/>
      <c r="G81" s="4"/>
      <c r="H81" s="4"/>
      <c r="I81" s="4"/>
      <c r="J81" s="4"/>
    </row>
    <row r="82" spans="5:10" x14ac:dyDescent="0.2">
      <c r="E82" s="4"/>
      <c r="F82" s="4"/>
      <c r="G82" s="4"/>
      <c r="H82" s="4"/>
      <c r="I82" s="4"/>
      <c r="J82" s="4"/>
    </row>
    <row r="83" spans="5:10" x14ac:dyDescent="0.2">
      <c r="E83" s="4"/>
      <c r="F83" s="4"/>
      <c r="G83" s="4"/>
      <c r="H83" s="4"/>
      <c r="I83" s="4"/>
      <c r="J83" s="4"/>
    </row>
    <row r="84" spans="5:10" x14ac:dyDescent="0.2">
      <c r="E84" s="4"/>
      <c r="F84" s="4"/>
      <c r="G84" s="4"/>
      <c r="H84" s="4"/>
      <c r="I84" s="4"/>
      <c r="J84" s="4"/>
    </row>
    <row r="85" spans="5:10" x14ac:dyDescent="0.2">
      <c r="E85" s="4"/>
      <c r="F85" s="4"/>
      <c r="G85" s="4"/>
      <c r="H85" s="4"/>
      <c r="I85" s="4"/>
      <c r="J85" s="4"/>
    </row>
    <row r="86" spans="5:10" x14ac:dyDescent="0.2">
      <c r="E86" s="4"/>
      <c r="F86" s="4"/>
      <c r="G86" s="4"/>
      <c r="H86" s="4"/>
      <c r="I86" s="4"/>
      <c r="J86" s="4"/>
    </row>
    <row r="87" spans="5:10" x14ac:dyDescent="0.2">
      <c r="E87" s="4"/>
      <c r="F87" s="4"/>
      <c r="G87" s="4"/>
      <c r="H87" s="4"/>
      <c r="I87" s="4"/>
      <c r="J87" s="4"/>
    </row>
    <row r="88" spans="5:10" x14ac:dyDescent="0.2">
      <c r="E88" s="4"/>
      <c r="F88" s="4"/>
      <c r="G88" s="4"/>
      <c r="H88" s="4"/>
      <c r="I88" s="4"/>
      <c r="J88" s="4"/>
    </row>
    <row r="89" spans="5:10" x14ac:dyDescent="0.2">
      <c r="E89" s="4"/>
      <c r="F89" s="4"/>
      <c r="G89" s="4"/>
      <c r="H89" s="4"/>
      <c r="I89" s="4"/>
      <c r="J89" s="4"/>
    </row>
    <row r="90" spans="5:10" x14ac:dyDescent="0.2">
      <c r="E90" s="4"/>
      <c r="F90" s="4"/>
      <c r="G90" s="4"/>
      <c r="H90" s="4"/>
      <c r="I90" s="4"/>
      <c r="J90" s="4"/>
    </row>
    <row r="91" spans="5:10" x14ac:dyDescent="0.2">
      <c r="E91" s="4"/>
      <c r="F91" s="4"/>
      <c r="G91" s="4"/>
      <c r="H91" s="4"/>
      <c r="I91" s="4"/>
      <c r="J91" s="4"/>
    </row>
    <row r="92" spans="5:10" x14ac:dyDescent="0.2">
      <c r="E92" s="4"/>
      <c r="F92" s="4"/>
      <c r="G92" s="4"/>
      <c r="H92" s="4"/>
      <c r="I92" s="4"/>
      <c r="J92" s="4"/>
    </row>
    <row r="93" spans="5:10" x14ac:dyDescent="0.2">
      <c r="E93" s="4"/>
      <c r="F93" s="4"/>
      <c r="G93" s="4"/>
      <c r="H93" s="4"/>
      <c r="I93" s="4"/>
      <c r="J93" s="4"/>
    </row>
    <row r="94" spans="5:10" x14ac:dyDescent="0.2">
      <c r="E94" s="4"/>
      <c r="F94" s="4"/>
      <c r="G94" s="4"/>
      <c r="H94" s="4"/>
      <c r="I94" s="4"/>
      <c r="J94" s="4"/>
    </row>
    <row r="95" spans="5:10" x14ac:dyDescent="0.2">
      <c r="E95" s="4"/>
      <c r="F95" s="4"/>
      <c r="G95" s="4"/>
      <c r="H95" s="4"/>
      <c r="I95" s="4"/>
      <c r="J95" s="4"/>
    </row>
    <row r="96" spans="5:10" x14ac:dyDescent="0.2">
      <c r="E96" s="4"/>
      <c r="F96" s="4"/>
      <c r="G96" s="4"/>
      <c r="H96" s="4"/>
      <c r="I96" s="4"/>
      <c r="J96" s="4"/>
    </row>
    <row r="97" spans="5:10" x14ac:dyDescent="0.2">
      <c r="E97" s="4"/>
      <c r="F97" s="4"/>
      <c r="G97" s="4"/>
      <c r="H97" s="4"/>
      <c r="I97" s="4"/>
      <c r="J97" s="4"/>
    </row>
    <row r="98" spans="5:10" x14ac:dyDescent="0.2">
      <c r="E98" s="4"/>
      <c r="F98" s="4"/>
      <c r="G98" s="4"/>
      <c r="H98" s="4"/>
      <c r="I98" s="4"/>
      <c r="J98" s="4"/>
    </row>
    <row r="99" spans="5:10" x14ac:dyDescent="0.2">
      <c r="E99" s="4"/>
      <c r="F99" s="4"/>
      <c r="G99" s="4"/>
      <c r="H99" s="4"/>
      <c r="I99" s="4"/>
      <c r="J99" s="4"/>
    </row>
    <row r="100" spans="5:10" x14ac:dyDescent="0.2">
      <c r="E100" s="4"/>
      <c r="F100" s="4"/>
      <c r="G100" s="4"/>
      <c r="H100" s="4"/>
      <c r="I100" s="4"/>
      <c r="J100" s="4"/>
    </row>
    <row r="101" spans="5:10" x14ac:dyDescent="0.2">
      <c r="E101" s="4"/>
      <c r="F101" s="4"/>
      <c r="G101" s="4"/>
      <c r="H101" s="4"/>
      <c r="I101" s="4"/>
      <c r="J101" s="4"/>
    </row>
    <row r="102" spans="5:10" x14ac:dyDescent="0.2">
      <c r="E102" s="4"/>
      <c r="F102" s="4"/>
      <c r="G102" s="4"/>
      <c r="H102" s="4"/>
      <c r="I102" s="4"/>
      <c r="J102" s="4"/>
    </row>
    <row r="103" spans="5:10" x14ac:dyDescent="0.2">
      <c r="E103" s="4"/>
      <c r="F103" s="4"/>
      <c r="G103" s="4"/>
      <c r="H103" s="4"/>
      <c r="I103" s="4"/>
      <c r="J103" s="4"/>
    </row>
    <row r="104" spans="5:10" x14ac:dyDescent="0.2">
      <c r="E104" s="4"/>
      <c r="F104" s="4"/>
      <c r="G104" s="4"/>
      <c r="H104" s="4"/>
      <c r="I104" s="4"/>
      <c r="J104" s="4"/>
    </row>
    <row r="105" spans="5:10" x14ac:dyDescent="0.2">
      <c r="E105" s="4"/>
      <c r="F105" s="4"/>
      <c r="G105" s="4"/>
      <c r="H105" s="4"/>
      <c r="I105" s="4"/>
      <c r="J105" s="4"/>
    </row>
    <row r="106" spans="5:10" x14ac:dyDescent="0.2">
      <c r="E106" s="4"/>
      <c r="F106" s="4"/>
      <c r="G106" s="4"/>
      <c r="H106" s="4"/>
      <c r="I106" s="4"/>
      <c r="J106" s="4"/>
    </row>
    <row r="107" spans="5:10" x14ac:dyDescent="0.2">
      <c r="E107" s="4"/>
      <c r="F107" s="4"/>
      <c r="G107" s="4"/>
      <c r="H107" s="4"/>
      <c r="I107" s="4"/>
      <c r="J107" s="4"/>
    </row>
    <row r="108" spans="5:10" x14ac:dyDescent="0.2">
      <c r="E108" s="4"/>
      <c r="F108" s="4"/>
      <c r="G108" s="4"/>
      <c r="H108" s="4"/>
      <c r="I108" s="4"/>
      <c r="J108" s="4"/>
    </row>
    <row r="109" spans="5:10" x14ac:dyDescent="0.2">
      <c r="E109" s="4"/>
      <c r="F109" s="4"/>
      <c r="G109" s="4"/>
      <c r="H109" s="4"/>
      <c r="I109" s="4"/>
      <c r="J109" s="4"/>
    </row>
    <row r="110" spans="5:10" x14ac:dyDescent="0.2">
      <c r="E110" s="4"/>
      <c r="F110" s="4"/>
      <c r="G110" s="4"/>
      <c r="H110" s="4"/>
      <c r="I110" s="4"/>
      <c r="J110" s="4"/>
    </row>
    <row r="111" spans="5:10" x14ac:dyDescent="0.2">
      <c r="E111" s="4"/>
      <c r="F111" s="4"/>
      <c r="G111" s="4"/>
      <c r="H111" s="4"/>
      <c r="I111" s="4"/>
      <c r="J111" s="4"/>
    </row>
    <row r="112" spans="5:10" x14ac:dyDescent="0.2">
      <c r="E112" s="4"/>
      <c r="F112" s="4"/>
      <c r="G112" s="4"/>
      <c r="H112" s="4"/>
      <c r="I112" s="4"/>
      <c r="J112" s="4"/>
    </row>
    <row r="113" spans="5:10" x14ac:dyDescent="0.2">
      <c r="E113" s="4"/>
      <c r="F113" s="4"/>
      <c r="G113" s="4"/>
      <c r="H113" s="4"/>
      <c r="I113" s="4"/>
      <c r="J113" s="4"/>
    </row>
    <row r="114" spans="5:10" x14ac:dyDescent="0.2">
      <c r="E114" s="4"/>
      <c r="F114" s="4"/>
      <c r="G114" s="4"/>
      <c r="H114" s="4"/>
      <c r="I114" s="4"/>
      <c r="J114" s="4"/>
    </row>
    <row r="115" spans="5:10" x14ac:dyDescent="0.2">
      <c r="E115" s="4"/>
      <c r="F115" s="4"/>
      <c r="G115" s="4"/>
      <c r="H115" s="4"/>
      <c r="I115" s="4"/>
      <c r="J115" s="4"/>
    </row>
    <row r="116" spans="5:10" x14ac:dyDescent="0.2">
      <c r="E116" s="4"/>
      <c r="F116" s="4"/>
      <c r="G116" s="4"/>
      <c r="H116" s="4"/>
      <c r="I116" s="4"/>
      <c r="J116" s="4"/>
    </row>
    <row r="117" spans="5:10" x14ac:dyDescent="0.2">
      <c r="E117" s="4"/>
      <c r="F117" s="4"/>
      <c r="G117" s="4"/>
      <c r="H117" s="4"/>
      <c r="I117" s="4"/>
      <c r="J117" s="4"/>
    </row>
    <row r="118" spans="5:10" x14ac:dyDescent="0.2">
      <c r="E118" s="4"/>
      <c r="F118" s="4"/>
      <c r="G118" s="4"/>
      <c r="H118" s="4"/>
      <c r="I118" s="4"/>
      <c r="J118" s="4"/>
    </row>
    <row r="119" spans="5:10" x14ac:dyDescent="0.2">
      <c r="E119" s="4"/>
      <c r="F119" s="4"/>
      <c r="G119" s="4"/>
      <c r="H119" s="4"/>
      <c r="I119" s="4"/>
      <c r="J119" s="4"/>
    </row>
    <row r="120" spans="5:10" x14ac:dyDescent="0.2">
      <c r="E120" s="4"/>
      <c r="F120" s="4"/>
      <c r="G120" s="4"/>
      <c r="H120" s="4"/>
      <c r="I120" s="4"/>
      <c r="J120" s="4"/>
    </row>
    <row r="121" spans="5:10" x14ac:dyDescent="0.2">
      <c r="E121" s="4"/>
      <c r="F121" s="4"/>
      <c r="G121" s="4"/>
      <c r="H121" s="4"/>
      <c r="I121" s="4"/>
      <c r="J121" s="4"/>
    </row>
    <row r="122" spans="5:10" x14ac:dyDescent="0.2">
      <c r="E122" s="4"/>
      <c r="F122" s="4"/>
      <c r="G122" s="4"/>
      <c r="H122" s="4"/>
      <c r="I122" s="4"/>
      <c r="J122" s="4"/>
    </row>
    <row r="123" spans="5:10" x14ac:dyDescent="0.2">
      <c r="E123" s="4"/>
      <c r="F123" s="4"/>
      <c r="G123" s="4"/>
      <c r="H123" s="4"/>
      <c r="I123" s="4"/>
      <c r="J123" s="4"/>
    </row>
    <row r="124" spans="5:10" x14ac:dyDescent="0.2">
      <c r="E124" s="4"/>
      <c r="F124" s="4"/>
      <c r="G124" s="4"/>
      <c r="H124" s="4"/>
      <c r="I124" s="4"/>
      <c r="J124" s="4"/>
    </row>
    <row r="125" spans="5:10" x14ac:dyDescent="0.2">
      <c r="E125" s="4"/>
      <c r="F125" s="4"/>
      <c r="G125" s="4"/>
      <c r="H125" s="4"/>
      <c r="I125" s="4"/>
      <c r="J125" s="4"/>
    </row>
    <row r="126" spans="5:10" x14ac:dyDescent="0.2">
      <c r="E126" s="4"/>
      <c r="F126" s="4"/>
      <c r="G126" s="4"/>
      <c r="H126" s="4"/>
      <c r="I126" s="4"/>
      <c r="J126" s="4"/>
    </row>
    <row r="127" spans="5:10" x14ac:dyDescent="0.2">
      <c r="E127" s="4"/>
      <c r="F127" s="4"/>
      <c r="G127" s="4"/>
      <c r="H127" s="4"/>
      <c r="I127" s="4"/>
      <c r="J127" s="4"/>
    </row>
    <row r="128" spans="5:10" x14ac:dyDescent="0.2">
      <c r="E128" s="4"/>
      <c r="F128" s="4"/>
      <c r="G128" s="4"/>
      <c r="H128" s="4"/>
      <c r="I128" s="4"/>
      <c r="J128" s="4"/>
    </row>
    <row r="129" spans="5:10" x14ac:dyDescent="0.2">
      <c r="E129" s="4"/>
      <c r="F129" s="4"/>
      <c r="G129" s="4"/>
      <c r="H129" s="4"/>
      <c r="I129" s="4"/>
      <c r="J129" s="4"/>
    </row>
    <row r="130" spans="5:10" x14ac:dyDescent="0.2">
      <c r="E130" s="4"/>
      <c r="F130" s="4"/>
      <c r="G130" s="4"/>
      <c r="H130" s="4"/>
      <c r="I130" s="4"/>
      <c r="J130" s="4"/>
    </row>
    <row r="131" spans="5:10" x14ac:dyDescent="0.2">
      <c r="E131" s="4"/>
      <c r="F131" s="4"/>
      <c r="G131" s="4"/>
      <c r="H131" s="4"/>
      <c r="I131" s="4"/>
      <c r="J131" s="4"/>
    </row>
    <row r="132" spans="5:10" x14ac:dyDescent="0.2">
      <c r="E132" s="4"/>
      <c r="F132" s="4"/>
      <c r="G132" s="4"/>
      <c r="H132" s="4"/>
      <c r="I132" s="4"/>
      <c r="J132" s="4"/>
    </row>
    <row r="133" spans="5:10" x14ac:dyDescent="0.2">
      <c r="E133" s="4"/>
      <c r="F133" s="4"/>
      <c r="G133" s="4"/>
      <c r="H133" s="4"/>
      <c r="I133" s="4"/>
      <c r="J133" s="4"/>
    </row>
    <row r="134" spans="5:10" x14ac:dyDescent="0.2">
      <c r="E134" s="4"/>
      <c r="F134" s="4"/>
      <c r="G134" s="4"/>
      <c r="H134" s="4"/>
      <c r="I134" s="4"/>
      <c r="J134" s="4"/>
    </row>
    <row r="135" spans="5:10" x14ac:dyDescent="0.2">
      <c r="E135" s="4"/>
      <c r="F135" s="4"/>
      <c r="G135" s="4"/>
      <c r="H135" s="4"/>
      <c r="I135" s="4"/>
      <c r="J135" s="4"/>
    </row>
    <row r="136" spans="5:10" x14ac:dyDescent="0.2">
      <c r="E136" s="4"/>
      <c r="F136" s="4"/>
      <c r="G136" s="4"/>
      <c r="H136" s="4"/>
      <c r="I136" s="4"/>
      <c r="J136" s="4"/>
    </row>
    <row r="137" spans="5:10" x14ac:dyDescent="0.2">
      <c r="E137" s="4"/>
      <c r="F137" s="4"/>
      <c r="G137" s="4"/>
      <c r="H137" s="4"/>
      <c r="I137" s="4"/>
      <c r="J137" s="4"/>
    </row>
    <row r="138" spans="5:10" x14ac:dyDescent="0.2">
      <c r="E138" s="4"/>
      <c r="F138" s="4"/>
      <c r="G138" s="4"/>
      <c r="H138" s="4"/>
      <c r="I138" s="4"/>
      <c r="J138" s="4"/>
    </row>
    <row r="139" spans="5:10" x14ac:dyDescent="0.2">
      <c r="E139" s="4"/>
      <c r="F139" s="4"/>
      <c r="G139" s="4"/>
      <c r="H139" s="4"/>
      <c r="I139" s="4"/>
      <c r="J139" s="4"/>
    </row>
    <row r="140" spans="5:10" x14ac:dyDescent="0.2">
      <c r="E140" s="4"/>
      <c r="F140" s="4"/>
      <c r="G140" s="4"/>
      <c r="H140" s="4"/>
      <c r="I140" s="4"/>
      <c r="J140" s="4"/>
    </row>
    <row r="141" spans="5:10" x14ac:dyDescent="0.2">
      <c r="E141" s="4"/>
      <c r="F141" s="4"/>
      <c r="G141" s="4"/>
      <c r="H141" s="4"/>
      <c r="I141" s="4"/>
      <c r="J141" s="4"/>
    </row>
    <row r="142" spans="5:10" x14ac:dyDescent="0.2">
      <c r="E142" s="4"/>
      <c r="F142" s="4"/>
      <c r="G142" s="4"/>
      <c r="H142" s="4"/>
      <c r="I142" s="4"/>
      <c r="J142" s="4"/>
    </row>
    <row r="143" spans="5:10" x14ac:dyDescent="0.2">
      <c r="E143" s="4"/>
      <c r="F143" s="4"/>
      <c r="G143" s="4"/>
      <c r="H143" s="4"/>
      <c r="I143" s="4"/>
      <c r="J143" s="4"/>
    </row>
    <row r="144" spans="5:10" x14ac:dyDescent="0.2">
      <c r="E144" s="4"/>
      <c r="F144" s="4"/>
      <c r="G144" s="4"/>
      <c r="H144" s="4"/>
      <c r="I144" s="4"/>
      <c r="J144" s="4"/>
    </row>
    <row r="145" spans="5:10" x14ac:dyDescent="0.2">
      <c r="E145" s="4"/>
      <c r="F145" s="4"/>
      <c r="G145" s="4"/>
      <c r="H145" s="4"/>
      <c r="I145" s="4"/>
      <c r="J145" s="4"/>
    </row>
    <row r="146" spans="5:10" x14ac:dyDescent="0.2">
      <c r="E146" s="4"/>
      <c r="F146" s="4"/>
      <c r="G146" s="4"/>
      <c r="H146" s="4"/>
      <c r="I146" s="4"/>
      <c r="J146" s="4"/>
    </row>
    <row r="147" spans="5:10" x14ac:dyDescent="0.2">
      <c r="E147" s="4"/>
      <c r="F147" s="4"/>
      <c r="G147" s="4"/>
      <c r="H147" s="4"/>
      <c r="I147" s="4"/>
      <c r="J147" s="4"/>
    </row>
    <row r="148" spans="5:10" x14ac:dyDescent="0.2">
      <c r="E148" s="4"/>
      <c r="F148" s="4"/>
      <c r="G148" s="4"/>
      <c r="H148" s="4"/>
      <c r="I148" s="4"/>
      <c r="J148" s="4"/>
    </row>
    <row r="149" spans="5:10" x14ac:dyDescent="0.2">
      <c r="E149" s="4"/>
      <c r="F149" s="4"/>
      <c r="G149" s="4"/>
      <c r="H149" s="4"/>
      <c r="I149" s="4"/>
      <c r="J149" s="4"/>
    </row>
    <row r="150" spans="5:10" x14ac:dyDescent="0.2">
      <c r="E150" s="4"/>
      <c r="F150" s="4"/>
      <c r="G150" s="4"/>
      <c r="H150" s="4"/>
      <c r="I150" s="4"/>
      <c r="J150" s="4"/>
    </row>
    <row r="151" spans="5:10" x14ac:dyDescent="0.2">
      <c r="E151" s="4"/>
      <c r="F151" s="4"/>
      <c r="G151" s="4"/>
      <c r="H151" s="4"/>
      <c r="I151" s="4"/>
      <c r="J151" s="4"/>
    </row>
    <row r="152" spans="5:10" x14ac:dyDescent="0.2">
      <c r="E152" s="4"/>
      <c r="F152" s="4"/>
      <c r="G152" s="4"/>
      <c r="H152" s="4"/>
      <c r="I152" s="4"/>
      <c r="J152" s="4"/>
    </row>
    <row r="153" spans="5:10" x14ac:dyDescent="0.2">
      <c r="E153" s="4"/>
      <c r="F153" s="4"/>
      <c r="G153" s="4"/>
      <c r="H153" s="4"/>
      <c r="I153" s="4"/>
      <c r="J153" s="4"/>
    </row>
    <row r="154" spans="5:10" x14ac:dyDescent="0.2">
      <c r="E154" s="4"/>
      <c r="F154" s="4"/>
      <c r="G154" s="4"/>
      <c r="H154" s="4"/>
      <c r="I154" s="4"/>
      <c r="J154" s="4"/>
    </row>
    <row r="155" spans="5:10" x14ac:dyDescent="0.2">
      <c r="E155" s="4"/>
      <c r="F155" s="4"/>
      <c r="G155" s="4"/>
      <c r="H155" s="4"/>
      <c r="I155" s="4"/>
      <c r="J155" s="4"/>
    </row>
    <row r="156" spans="5:10" x14ac:dyDescent="0.2">
      <c r="E156" s="4"/>
      <c r="F156" s="4"/>
      <c r="G156" s="4"/>
      <c r="H156" s="4"/>
      <c r="I156" s="4"/>
      <c r="J156" s="4"/>
    </row>
    <row r="157" spans="5:10" x14ac:dyDescent="0.2">
      <c r="E157" s="4"/>
      <c r="F157" s="4"/>
      <c r="G157" s="4"/>
      <c r="H157" s="4"/>
      <c r="I157" s="4"/>
      <c r="J157" s="4"/>
    </row>
    <row r="158" spans="5:10" x14ac:dyDescent="0.2">
      <c r="E158" s="4"/>
      <c r="F158" s="4"/>
      <c r="G158" s="4"/>
      <c r="H158" s="4"/>
      <c r="I158" s="4"/>
      <c r="J158" s="4"/>
    </row>
    <row r="159" spans="5:10" x14ac:dyDescent="0.2">
      <c r="E159" s="4"/>
      <c r="F159" s="4"/>
      <c r="G159" s="4"/>
      <c r="H159" s="4"/>
      <c r="I159" s="4"/>
      <c r="J159" s="4"/>
    </row>
    <row r="160" spans="5:10" x14ac:dyDescent="0.2">
      <c r="E160" s="4"/>
      <c r="F160" s="4"/>
      <c r="G160" s="4"/>
      <c r="H160" s="4"/>
      <c r="I160" s="4"/>
      <c r="J160" s="4"/>
    </row>
    <row r="161" spans="5:10" x14ac:dyDescent="0.2">
      <c r="E161" s="4"/>
      <c r="F161" s="4"/>
      <c r="G161" s="4"/>
      <c r="H161" s="4"/>
      <c r="I161" s="4"/>
      <c r="J161" s="4"/>
    </row>
    <row r="162" spans="5:10" x14ac:dyDescent="0.2">
      <c r="E162" s="4"/>
      <c r="F162" s="4"/>
      <c r="G162" s="4"/>
      <c r="H162" s="4"/>
      <c r="I162" s="4"/>
      <c r="J162" s="4"/>
    </row>
    <row r="163" spans="5:10" x14ac:dyDescent="0.2">
      <c r="E163" s="4"/>
      <c r="F163" s="4"/>
      <c r="G163" s="4"/>
      <c r="H163" s="4"/>
      <c r="I163" s="4"/>
      <c r="J163" s="4"/>
    </row>
    <row r="164" spans="5:10" x14ac:dyDescent="0.2">
      <c r="E164" s="4"/>
      <c r="F164" s="4"/>
      <c r="G164" s="4"/>
      <c r="H164" s="4"/>
      <c r="I164" s="4"/>
      <c r="J164" s="4"/>
    </row>
    <row r="165" spans="5:10" x14ac:dyDescent="0.2">
      <c r="E165" s="4"/>
      <c r="F165" s="4"/>
      <c r="G165" s="4"/>
      <c r="H165" s="4"/>
      <c r="I165" s="4"/>
      <c r="J165" s="4"/>
    </row>
    <row r="166" spans="5:10" x14ac:dyDescent="0.2">
      <c r="E166" s="4"/>
      <c r="F166" s="4"/>
      <c r="G166" s="4"/>
      <c r="H166" s="4"/>
      <c r="I166" s="4"/>
      <c r="J166" s="4"/>
    </row>
    <row r="167" spans="5:10" x14ac:dyDescent="0.2">
      <c r="E167" s="4"/>
      <c r="F167" s="4"/>
      <c r="G167" s="4"/>
      <c r="H167" s="4"/>
      <c r="I167" s="4"/>
      <c r="J167" s="4"/>
    </row>
    <row r="168" spans="5:10" x14ac:dyDescent="0.2">
      <c r="E168" s="4"/>
      <c r="F168" s="4"/>
      <c r="G168" s="4"/>
      <c r="H168" s="4"/>
      <c r="I168" s="4"/>
      <c r="J168" s="4"/>
    </row>
    <row r="169" spans="5:10" x14ac:dyDescent="0.2">
      <c r="E169" s="4"/>
      <c r="F169" s="4"/>
      <c r="G169" s="4"/>
      <c r="H169" s="4"/>
      <c r="I169" s="4"/>
      <c r="J169" s="4"/>
    </row>
    <row r="170" spans="5:10" x14ac:dyDescent="0.2">
      <c r="E170" s="4"/>
      <c r="F170" s="4"/>
      <c r="G170" s="4"/>
      <c r="H170" s="4"/>
      <c r="I170" s="4"/>
      <c r="J170" s="4"/>
    </row>
  </sheetData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workbookViewId="0">
      <selection activeCell="L62" sqref="L62"/>
    </sheetView>
  </sheetViews>
  <sheetFormatPr defaultColWidth="9.140625" defaultRowHeight="15" x14ac:dyDescent="0.25"/>
  <cols>
    <col min="1" max="1" width="8.140625" style="8" customWidth="1"/>
    <col min="2" max="2" width="10.7109375" style="8" bestFit="1" customWidth="1"/>
    <col min="3" max="3" width="10.140625" style="8" bestFit="1" customWidth="1"/>
    <col min="4" max="4" width="12.28515625" style="8" bestFit="1" customWidth="1"/>
    <col min="5" max="5" width="11.140625" style="8" bestFit="1" customWidth="1"/>
    <col min="6" max="6" width="10.7109375" style="8" bestFit="1" customWidth="1"/>
    <col min="7" max="7" width="10.140625" style="8" bestFit="1" customWidth="1"/>
    <col min="8" max="8" width="12.28515625" style="8" bestFit="1" customWidth="1"/>
    <col min="9" max="9" width="11.140625" style="8" bestFit="1" customWidth="1"/>
    <col min="10" max="10" width="9.28515625" style="8" bestFit="1" customWidth="1"/>
    <col min="11" max="11" width="11.85546875" style="8" bestFit="1" customWidth="1"/>
    <col min="12" max="12" width="10.28515625" style="8" bestFit="1" customWidth="1"/>
    <col min="13" max="13" width="12.28515625" style="8" bestFit="1" customWidth="1"/>
    <col min="14" max="14" width="11.140625" style="8" bestFit="1" customWidth="1"/>
    <col min="15" max="15" width="12.42578125" style="8" customWidth="1"/>
    <col min="16" max="16" width="9.7109375" style="8" bestFit="1" customWidth="1"/>
    <col min="17" max="16384" width="9.140625" style="8"/>
  </cols>
  <sheetData>
    <row r="1" spans="1:16" x14ac:dyDescent="0.25">
      <c r="A1" s="8" t="s">
        <v>29</v>
      </c>
    </row>
    <row r="2" spans="1:16" x14ac:dyDescent="0.25">
      <c r="A2" s="8" t="s">
        <v>1</v>
      </c>
    </row>
    <row r="3" spans="1:16" x14ac:dyDescent="0.25">
      <c r="A3" s="8" t="s">
        <v>38</v>
      </c>
    </row>
    <row r="4" spans="1:16" x14ac:dyDescent="0.25">
      <c r="A4" s="32" t="s">
        <v>55</v>
      </c>
    </row>
    <row r="5" spans="1:16" x14ac:dyDescent="0.25">
      <c r="K5" s="11"/>
    </row>
    <row r="6" spans="1:16" x14ac:dyDescent="0.25">
      <c r="B6" s="35" t="s">
        <v>35</v>
      </c>
      <c r="C6" s="36"/>
      <c r="D6" s="36"/>
      <c r="E6" s="37"/>
      <c r="F6" s="35" t="s">
        <v>36</v>
      </c>
      <c r="G6" s="36"/>
      <c r="H6" s="36"/>
      <c r="I6" s="36"/>
      <c r="J6" s="37"/>
      <c r="K6" s="35" t="s">
        <v>37</v>
      </c>
      <c r="L6" s="36"/>
      <c r="M6" s="36"/>
      <c r="N6" s="36"/>
      <c r="O6" s="37"/>
    </row>
    <row r="7" spans="1:16" x14ac:dyDescent="0.25">
      <c r="B7" s="12" t="s">
        <v>30</v>
      </c>
      <c r="C7" s="12" t="s">
        <v>31</v>
      </c>
      <c r="D7" s="12" t="s">
        <v>32</v>
      </c>
      <c r="E7" s="12" t="s">
        <v>33</v>
      </c>
      <c r="F7" s="12" t="s">
        <v>30</v>
      </c>
      <c r="G7" s="12" t="s">
        <v>31</v>
      </c>
      <c r="H7" s="12" t="s">
        <v>32</v>
      </c>
      <c r="I7" s="12" t="s">
        <v>33</v>
      </c>
      <c r="J7" s="12" t="s">
        <v>2</v>
      </c>
      <c r="K7" s="12" t="s">
        <v>30</v>
      </c>
      <c r="L7" s="12" t="s">
        <v>31</v>
      </c>
      <c r="M7" s="12" t="s">
        <v>32</v>
      </c>
      <c r="N7" s="12" t="s">
        <v>33</v>
      </c>
      <c r="O7" s="12" t="s">
        <v>2</v>
      </c>
    </row>
    <row r="8" spans="1:16" x14ac:dyDescent="0.25">
      <c r="A8" s="33" t="s">
        <v>56</v>
      </c>
      <c r="B8" s="25">
        <f>K8/F8</f>
        <v>-86</v>
      </c>
      <c r="C8" s="26">
        <f>L8/G8</f>
        <v>34.70771513353116</v>
      </c>
      <c r="D8" s="26">
        <f>M8/H8</f>
        <v>32</v>
      </c>
      <c r="E8" s="26">
        <v>0</v>
      </c>
      <c r="F8" s="25">
        <f>355940/2000</f>
        <v>177.97</v>
      </c>
      <c r="G8" s="26">
        <f>94360/2000</f>
        <v>47.18</v>
      </c>
      <c r="H8" s="26">
        <f>262460/2000</f>
        <v>131.22999999999999</v>
      </c>
      <c r="I8" s="26">
        <v>0</v>
      </c>
      <c r="J8" s="27">
        <f>SUM(F8:I8)</f>
        <v>356.38</v>
      </c>
      <c r="K8" s="25">
        <v>-15305.42</v>
      </c>
      <c r="L8" s="26">
        <v>1637.51</v>
      </c>
      <c r="M8" s="26">
        <v>4199.3599999999997</v>
      </c>
      <c r="N8" s="26">
        <v>0</v>
      </c>
      <c r="O8" s="27">
        <f>SUM(K8:N8)</f>
        <v>-9468.5499999999993</v>
      </c>
      <c r="P8" s="11"/>
    </row>
    <row r="9" spans="1:16" x14ac:dyDescent="0.25">
      <c r="B9" s="14"/>
      <c r="C9" s="15"/>
      <c r="D9" s="15"/>
      <c r="E9" s="16"/>
      <c r="F9" s="14"/>
      <c r="G9" s="15"/>
      <c r="H9" s="15"/>
      <c r="I9" s="15"/>
      <c r="J9" s="16"/>
      <c r="K9" s="14"/>
      <c r="L9" s="15"/>
      <c r="M9" s="15"/>
      <c r="N9" s="15"/>
      <c r="O9" s="16"/>
    </row>
    <row r="10" spans="1:16" x14ac:dyDescent="0.25">
      <c r="A10" s="32" t="s">
        <v>57</v>
      </c>
      <c r="B10" s="14">
        <f>K10/F10</f>
        <v>-86</v>
      </c>
      <c r="C10" s="15">
        <f t="shared" ref="C10:D10" si="0">L10/G10</f>
        <v>34.435907886692476</v>
      </c>
      <c r="D10" s="15">
        <f t="shared" si="0"/>
        <v>32</v>
      </c>
      <c r="E10" s="15">
        <v>0</v>
      </c>
      <c r="F10" s="14">
        <f>359360/2000</f>
        <v>179.68</v>
      </c>
      <c r="G10" s="15">
        <f>98140/2000</f>
        <v>49.07</v>
      </c>
      <c r="H10" s="15">
        <f>255400/2000</f>
        <v>127.7</v>
      </c>
      <c r="I10" s="15">
        <v>0</v>
      </c>
      <c r="J10" s="16">
        <f>SUM(F10:I10)</f>
        <v>356.45</v>
      </c>
      <c r="K10" s="14">
        <v>-15452.48</v>
      </c>
      <c r="L10" s="15">
        <v>1689.77</v>
      </c>
      <c r="M10" s="15">
        <v>4086.4</v>
      </c>
      <c r="N10" s="15">
        <v>0</v>
      </c>
      <c r="O10" s="16">
        <f>SUM(K10:N10)</f>
        <v>-9676.31</v>
      </c>
      <c r="P10" s="11"/>
    </row>
    <row r="11" spans="1:16" x14ac:dyDescent="0.25">
      <c r="B11" s="14"/>
      <c r="C11" s="15"/>
      <c r="D11" s="15"/>
      <c r="E11" s="16"/>
      <c r="F11" s="14"/>
      <c r="G11" s="15"/>
      <c r="H11" s="15"/>
      <c r="I11" s="15"/>
      <c r="J11" s="16"/>
      <c r="K11" s="14"/>
      <c r="L11" s="15"/>
      <c r="M11" s="15"/>
      <c r="N11" s="15"/>
      <c r="O11" s="16"/>
    </row>
    <row r="12" spans="1:16" x14ac:dyDescent="0.25">
      <c r="A12" s="32" t="s">
        <v>58</v>
      </c>
      <c r="B12" s="14">
        <f>K12/F12</f>
        <v>-86</v>
      </c>
      <c r="C12" s="15">
        <f t="shared" ref="C12:D12" si="1">L12/G12</f>
        <v>37.74918566775245</v>
      </c>
      <c r="D12" s="15">
        <f t="shared" si="1"/>
        <v>34.171002778479412</v>
      </c>
      <c r="E12" s="15">
        <v>0</v>
      </c>
      <c r="F12" s="14">
        <f>349440/2000</f>
        <v>174.72</v>
      </c>
      <c r="G12" s="15">
        <f>85960/2000</f>
        <v>42.98</v>
      </c>
      <c r="H12" s="15">
        <f>237540/2000</f>
        <v>118.77</v>
      </c>
      <c r="I12" s="15">
        <v>0</v>
      </c>
      <c r="J12" s="16">
        <f>SUM(F12:I12)</f>
        <v>336.46999999999997</v>
      </c>
      <c r="K12" s="14">
        <v>-15025.92</v>
      </c>
      <c r="L12" s="15">
        <v>1622.46</v>
      </c>
      <c r="M12" s="15">
        <v>4058.49</v>
      </c>
      <c r="N12" s="15">
        <v>0</v>
      </c>
      <c r="O12" s="16">
        <f>SUM(K12:N12)</f>
        <v>-9344.9699999999993</v>
      </c>
      <c r="P12" s="11"/>
    </row>
    <row r="13" spans="1:16" x14ac:dyDescent="0.25">
      <c r="B13" s="14"/>
      <c r="C13" s="15"/>
      <c r="D13" s="15"/>
      <c r="E13" s="16"/>
      <c r="F13" s="14"/>
      <c r="G13" s="15"/>
      <c r="H13" s="15"/>
      <c r="I13" s="15"/>
      <c r="J13" s="16"/>
      <c r="K13" s="14"/>
      <c r="L13" s="15"/>
      <c r="M13" s="15"/>
      <c r="N13" s="15"/>
      <c r="O13" s="16"/>
    </row>
    <row r="14" spans="1:16" x14ac:dyDescent="0.25">
      <c r="A14" s="32" t="s">
        <v>59</v>
      </c>
      <c r="B14" s="14">
        <f>K14/F14</f>
        <v>-86.000000000000014</v>
      </c>
      <c r="C14" s="15">
        <f>L14/G14</f>
        <v>43.369696969696967</v>
      </c>
      <c r="D14" s="15">
        <f>M14/H14</f>
        <v>38.253797969616244</v>
      </c>
      <c r="E14" s="16">
        <v>0</v>
      </c>
      <c r="F14" s="14">
        <f>397780/2000</f>
        <v>198.89</v>
      </c>
      <c r="G14" s="15">
        <f>89100/2000</f>
        <v>44.55</v>
      </c>
      <c r="H14" s="15">
        <f>277780/2000</f>
        <v>138.88999999999999</v>
      </c>
      <c r="I14" s="15">
        <v>0</v>
      </c>
      <c r="J14" s="16">
        <f>SUM(F14:I14)</f>
        <v>382.33</v>
      </c>
      <c r="K14" s="14">
        <v>-17104.54</v>
      </c>
      <c r="L14" s="15">
        <v>1932.12</v>
      </c>
      <c r="M14" s="15">
        <v>5313.07</v>
      </c>
      <c r="N14" s="15">
        <v>0</v>
      </c>
      <c r="O14" s="16">
        <f>SUM(K14:N14)</f>
        <v>-9859.3500000000022</v>
      </c>
      <c r="P14" s="11"/>
    </row>
    <row r="15" spans="1:16" x14ac:dyDescent="0.25">
      <c r="B15" s="14"/>
      <c r="C15" s="15"/>
      <c r="D15" s="15"/>
      <c r="E15" s="16"/>
      <c r="F15" s="14"/>
      <c r="G15" s="15"/>
      <c r="H15" s="15"/>
      <c r="I15" s="15"/>
      <c r="J15" s="16"/>
      <c r="K15" s="14"/>
      <c r="L15" s="15"/>
      <c r="M15" s="15"/>
      <c r="N15" s="15"/>
      <c r="O15" s="16"/>
    </row>
    <row r="16" spans="1:16" x14ac:dyDescent="0.25">
      <c r="A16" s="33" t="s">
        <v>60</v>
      </c>
      <c r="B16" s="14">
        <f>K16/F16</f>
        <v>-86</v>
      </c>
      <c r="C16" s="15">
        <f>L16/G16</f>
        <v>46.034192825112108</v>
      </c>
      <c r="D16" s="15">
        <f>M16/H16</f>
        <v>39.943286535963885</v>
      </c>
      <c r="E16" s="16">
        <v>0</v>
      </c>
      <c r="F16" s="14">
        <f>376820/2000</f>
        <v>188.41</v>
      </c>
      <c r="G16" s="15">
        <f>71360/2000</f>
        <v>35.68</v>
      </c>
      <c r="H16" s="15">
        <f>323380/2000</f>
        <v>161.69</v>
      </c>
      <c r="I16" s="15">
        <v>0</v>
      </c>
      <c r="J16" s="16">
        <f>SUM(F16:I16)</f>
        <v>385.78</v>
      </c>
      <c r="K16" s="14">
        <v>-16203.26</v>
      </c>
      <c r="L16" s="15">
        <v>1642.5</v>
      </c>
      <c r="M16" s="15">
        <v>6458.43</v>
      </c>
      <c r="N16" s="15">
        <v>0</v>
      </c>
      <c r="O16" s="16">
        <f>SUM(K16:N16)</f>
        <v>-8102.33</v>
      </c>
      <c r="P16" s="11"/>
    </row>
    <row r="17" spans="1:16" x14ac:dyDescent="0.25">
      <c r="B17" s="14"/>
      <c r="C17" s="15"/>
      <c r="D17" s="15"/>
      <c r="E17" s="16"/>
      <c r="F17" s="14"/>
      <c r="G17" s="15"/>
      <c r="H17" s="15"/>
      <c r="I17" s="15"/>
      <c r="J17" s="16"/>
      <c r="K17" s="14"/>
      <c r="L17" s="15"/>
      <c r="M17" s="15"/>
      <c r="N17" s="15"/>
      <c r="O17" s="16"/>
    </row>
    <row r="18" spans="1:16" x14ac:dyDescent="0.25">
      <c r="A18" s="32" t="s">
        <v>61</v>
      </c>
      <c r="B18" s="14">
        <f>K18/F18</f>
        <v>-87.332814371257484</v>
      </c>
      <c r="C18" s="15">
        <f t="shared" ref="C18:D18" si="2">L18/G18</f>
        <v>45.439195367266073</v>
      </c>
      <c r="D18" s="15">
        <f t="shared" si="2"/>
        <v>39</v>
      </c>
      <c r="E18" s="16">
        <v>0</v>
      </c>
      <c r="F18" s="14">
        <f>334000/2000</f>
        <v>167</v>
      </c>
      <c r="G18" s="15">
        <f>65620/2000</f>
        <v>32.81</v>
      </c>
      <c r="H18" s="15">
        <f>310260/2000</f>
        <v>155.13</v>
      </c>
      <c r="I18" s="15">
        <v>0</v>
      </c>
      <c r="J18" s="16">
        <f>SUM(F18:I18)</f>
        <v>354.94</v>
      </c>
      <c r="K18" s="14">
        <v>-14584.58</v>
      </c>
      <c r="L18" s="15">
        <v>1490.86</v>
      </c>
      <c r="M18" s="15">
        <v>6050.07</v>
      </c>
      <c r="N18" s="15">
        <v>0</v>
      </c>
      <c r="O18" s="16">
        <f>SUM(K18:N18)</f>
        <v>-7043.65</v>
      </c>
      <c r="P18" s="11"/>
    </row>
    <row r="19" spans="1:16" x14ac:dyDescent="0.25">
      <c r="B19" s="14"/>
      <c r="C19" s="15"/>
      <c r="D19" s="15"/>
      <c r="E19" s="16"/>
      <c r="F19" s="14"/>
      <c r="G19" s="15"/>
      <c r="H19" s="15"/>
      <c r="I19" s="15"/>
      <c r="J19" s="16"/>
      <c r="K19" s="14"/>
      <c r="L19" s="15"/>
      <c r="M19" s="15"/>
      <c r="N19" s="15"/>
      <c r="O19" s="16"/>
    </row>
    <row r="20" spans="1:16" x14ac:dyDescent="0.25">
      <c r="A20" s="32" t="s">
        <v>62</v>
      </c>
      <c r="B20" s="14">
        <f>K20/F20</f>
        <v>-88</v>
      </c>
      <c r="C20" s="15">
        <f t="shared" ref="C20:D20" si="3">L20/G20</f>
        <v>46.962913464751082</v>
      </c>
      <c r="D20" s="15">
        <f t="shared" si="3"/>
        <v>39.484315979635412</v>
      </c>
      <c r="E20" s="16">
        <v>0</v>
      </c>
      <c r="F20" s="14">
        <f>349680/2000</f>
        <v>174.84</v>
      </c>
      <c r="G20" s="15">
        <f>59860/2000</f>
        <v>29.93</v>
      </c>
      <c r="H20" s="15">
        <f>365340/2000</f>
        <v>182.67</v>
      </c>
      <c r="I20" s="15">
        <v>0</v>
      </c>
      <c r="J20" s="16">
        <f>SUM(F20:I20)</f>
        <v>387.44</v>
      </c>
      <c r="K20" s="14">
        <v>-15385.92</v>
      </c>
      <c r="L20" s="15">
        <v>1405.6</v>
      </c>
      <c r="M20" s="15">
        <v>7212.6</v>
      </c>
      <c r="N20" s="15">
        <v>0</v>
      </c>
      <c r="O20" s="16">
        <f>SUM(K20:N20)</f>
        <v>-6767.7199999999993</v>
      </c>
      <c r="P20" s="11"/>
    </row>
    <row r="21" spans="1:16" x14ac:dyDescent="0.25">
      <c r="B21" s="14"/>
      <c r="C21" s="15"/>
      <c r="D21" s="15"/>
      <c r="E21" s="16"/>
      <c r="F21" s="14"/>
      <c r="G21" s="15"/>
      <c r="H21" s="15"/>
      <c r="I21" s="15"/>
      <c r="J21" s="16"/>
      <c r="K21" s="14"/>
      <c r="L21" s="15"/>
      <c r="M21" s="15"/>
      <c r="N21" s="15"/>
      <c r="O21" s="16"/>
    </row>
    <row r="22" spans="1:16" x14ac:dyDescent="0.25">
      <c r="A22" s="32" t="s">
        <v>63</v>
      </c>
      <c r="B22" s="14">
        <f>K22/F22</f>
        <v>-88</v>
      </c>
      <c r="C22" s="15">
        <f t="shared" ref="C22:D22" si="4">L22/G22</f>
        <v>49.254914598775379</v>
      </c>
      <c r="D22" s="15">
        <f t="shared" si="4"/>
        <v>40.631753714542995</v>
      </c>
      <c r="E22" s="16">
        <v>0</v>
      </c>
      <c r="F22" s="14">
        <f>365240/2000</f>
        <v>182.62</v>
      </c>
      <c r="G22" s="15">
        <f>62060/2000</f>
        <v>31.03</v>
      </c>
      <c r="H22" s="15">
        <f>355360/2000</f>
        <v>177.68</v>
      </c>
      <c r="I22" s="15">
        <v>0</v>
      </c>
      <c r="J22" s="16">
        <f>SUM(F22:I22)</f>
        <v>391.33000000000004</v>
      </c>
      <c r="K22" s="14">
        <v>-16070.56</v>
      </c>
      <c r="L22" s="15">
        <v>1528.38</v>
      </c>
      <c r="M22" s="15">
        <v>7219.45</v>
      </c>
      <c r="N22" s="15">
        <v>0</v>
      </c>
      <c r="O22" s="16">
        <f>SUM(K22:N22)</f>
        <v>-7322.7300000000005</v>
      </c>
      <c r="P22" s="11"/>
    </row>
    <row r="23" spans="1:16" x14ac:dyDescent="0.25">
      <c r="B23" s="14"/>
      <c r="C23" s="15"/>
      <c r="D23" s="15"/>
      <c r="E23" s="16"/>
      <c r="F23" s="14"/>
      <c r="G23" s="15"/>
      <c r="H23" s="15"/>
      <c r="I23" s="15"/>
      <c r="J23" s="16"/>
      <c r="K23" s="14"/>
      <c r="L23" s="15"/>
      <c r="M23" s="15"/>
      <c r="N23" s="15"/>
      <c r="O23" s="16"/>
    </row>
    <row r="24" spans="1:16" x14ac:dyDescent="0.25">
      <c r="A24" s="32" t="s">
        <v>64</v>
      </c>
      <c r="B24" s="14">
        <f>K24/F24</f>
        <v>-88</v>
      </c>
      <c r="C24" s="15">
        <f>L24/G24</f>
        <v>51.584158415841586</v>
      </c>
      <c r="D24" s="15">
        <f>M24/H24</f>
        <v>41.547908422837757</v>
      </c>
      <c r="E24" s="16">
        <v>0</v>
      </c>
      <c r="F24" s="14">
        <f>349180/2000</f>
        <v>174.59</v>
      </c>
      <c r="G24" s="15">
        <f>88880/2000</f>
        <v>44.44</v>
      </c>
      <c r="H24" s="15">
        <f>283040/2000</f>
        <v>141.52000000000001</v>
      </c>
      <c r="I24" s="15">
        <v>0</v>
      </c>
      <c r="J24" s="16">
        <f>SUM(F24:I24)</f>
        <v>360.55</v>
      </c>
      <c r="K24" s="14">
        <v>-15363.92</v>
      </c>
      <c r="L24" s="15">
        <v>2292.4</v>
      </c>
      <c r="M24" s="15">
        <v>5879.86</v>
      </c>
      <c r="N24" s="15">
        <v>0</v>
      </c>
      <c r="O24" s="16">
        <f>SUM(K24:N24)</f>
        <v>-7191.6600000000008</v>
      </c>
      <c r="P24" s="11"/>
    </row>
    <row r="25" spans="1:16" x14ac:dyDescent="0.25">
      <c r="B25" s="14"/>
      <c r="C25" s="15"/>
      <c r="D25" s="15"/>
      <c r="E25" s="16"/>
      <c r="F25" s="14"/>
      <c r="G25" s="15"/>
      <c r="H25" s="15"/>
      <c r="I25" s="15"/>
      <c r="J25" s="16"/>
      <c r="K25" s="14"/>
      <c r="L25" s="15"/>
      <c r="M25" s="15"/>
      <c r="N25" s="15"/>
      <c r="O25" s="16"/>
    </row>
    <row r="26" spans="1:16" x14ac:dyDescent="0.25">
      <c r="A26" s="32" t="s">
        <v>65</v>
      </c>
      <c r="B26" s="14">
        <f>K26/F26</f>
        <v>-88</v>
      </c>
      <c r="C26" s="15">
        <f>L26/G26</f>
        <v>59.877153797064452</v>
      </c>
      <c r="D26" s="15">
        <f>M26/H26</f>
        <v>43.664901977003886</v>
      </c>
      <c r="E26" s="16">
        <v>0</v>
      </c>
      <c r="F26" s="14">
        <f>296360/2000</f>
        <v>148.18</v>
      </c>
      <c r="G26" s="15">
        <f>62680/2000</f>
        <v>31.34</v>
      </c>
      <c r="H26" s="15">
        <f>241780/2000</f>
        <v>120.89</v>
      </c>
      <c r="I26" s="15">
        <v>0</v>
      </c>
      <c r="J26" s="16">
        <f>SUM(F26:I26)</f>
        <v>300.41000000000003</v>
      </c>
      <c r="K26" s="14">
        <v>-13039.84</v>
      </c>
      <c r="L26" s="15">
        <v>1876.55</v>
      </c>
      <c r="M26" s="15">
        <v>5278.65</v>
      </c>
      <c r="N26" s="15">
        <v>0</v>
      </c>
      <c r="O26" s="16">
        <f>SUM(K26:N26)</f>
        <v>-5884.6400000000012</v>
      </c>
      <c r="P26" s="11"/>
    </row>
    <row r="27" spans="1:16" x14ac:dyDescent="0.25">
      <c r="B27" s="14"/>
      <c r="C27" s="15"/>
      <c r="D27" s="15"/>
      <c r="E27" s="16"/>
      <c r="F27" s="14"/>
      <c r="G27" s="15"/>
      <c r="H27" s="15"/>
      <c r="I27" s="15"/>
      <c r="J27" s="16"/>
      <c r="K27" s="14"/>
      <c r="L27" s="15"/>
      <c r="M27" s="15"/>
      <c r="N27" s="15"/>
      <c r="O27" s="16"/>
    </row>
    <row r="28" spans="1:16" x14ac:dyDescent="0.25">
      <c r="A28" s="32" t="s">
        <v>66</v>
      </c>
      <c r="B28" s="14">
        <f>K28/F28</f>
        <v>-88.000000000000014</v>
      </c>
      <c r="C28" s="15">
        <f>L28/G28</f>
        <v>68.437081659973231</v>
      </c>
      <c r="D28" s="15">
        <f>M28/H28</f>
        <v>45.000000000000007</v>
      </c>
      <c r="E28" s="16">
        <v>0</v>
      </c>
      <c r="F28" s="14">
        <f>345400/2000</f>
        <v>172.7</v>
      </c>
      <c r="G28" s="15">
        <f>89640/2000</f>
        <v>44.82</v>
      </c>
      <c r="H28" s="15">
        <f>301080/2000</f>
        <v>150.54</v>
      </c>
      <c r="I28" s="15">
        <v>0</v>
      </c>
      <c r="J28" s="16">
        <f>SUM(F28:I28)</f>
        <v>368.05999999999995</v>
      </c>
      <c r="K28" s="14">
        <v>-15197.6</v>
      </c>
      <c r="L28" s="15">
        <v>3067.35</v>
      </c>
      <c r="M28" s="15">
        <v>6774.3</v>
      </c>
      <c r="N28" s="15">
        <v>0</v>
      </c>
      <c r="O28" s="16">
        <f>SUM(K28:N28)</f>
        <v>-5355.95</v>
      </c>
      <c r="P28" s="11"/>
    </row>
    <row r="29" spans="1:16" x14ac:dyDescent="0.25">
      <c r="B29" s="14"/>
      <c r="C29" s="15"/>
      <c r="D29" s="15"/>
      <c r="E29" s="16"/>
      <c r="F29" s="14"/>
      <c r="G29" s="15"/>
      <c r="H29" s="15"/>
      <c r="I29" s="15"/>
      <c r="J29" s="16"/>
      <c r="K29" s="14"/>
      <c r="L29" s="15"/>
      <c r="M29" s="15"/>
      <c r="N29" s="15"/>
      <c r="O29" s="16"/>
    </row>
    <row r="30" spans="1:16" x14ac:dyDescent="0.25">
      <c r="A30" s="32" t="s">
        <v>67</v>
      </c>
      <c r="B30" s="17">
        <f>K30/F30</f>
        <v>-88</v>
      </c>
      <c r="C30" s="18">
        <f>L30/G30</f>
        <v>59.291355721393039</v>
      </c>
      <c r="D30" s="18">
        <f>M30/H30</f>
        <v>36.275219217448971</v>
      </c>
      <c r="E30" s="19">
        <v>0</v>
      </c>
      <c r="F30" s="17">
        <f>318640/2000</f>
        <v>159.32</v>
      </c>
      <c r="G30" s="18">
        <f>64320/2000</f>
        <v>32.159999999999997</v>
      </c>
      <c r="H30" s="18">
        <f>271420/2000</f>
        <v>135.71</v>
      </c>
      <c r="I30" s="18">
        <v>0</v>
      </c>
      <c r="J30" s="19">
        <f>SUM(F30:I30)</f>
        <v>327.19</v>
      </c>
      <c r="K30" s="17">
        <v>-14020.16</v>
      </c>
      <c r="L30" s="18">
        <v>1906.81</v>
      </c>
      <c r="M30" s="18">
        <v>4922.91</v>
      </c>
      <c r="N30" s="18">
        <v>0</v>
      </c>
      <c r="O30" s="19">
        <f>SUM(K30:N30)</f>
        <v>-7190.4400000000005</v>
      </c>
      <c r="P30" s="11"/>
    </row>
    <row r="31" spans="1:16" x14ac:dyDescent="0.25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6" ht="15.75" thickBot="1" x14ac:dyDescent="0.3">
      <c r="B32" s="20"/>
      <c r="C32" s="20"/>
      <c r="D32" s="20"/>
      <c r="E32" s="20"/>
      <c r="F32" s="21">
        <f>SUM(F8:F31)</f>
        <v>2098.92</v>
      </c>
      <c r="G32" s="21">
        <f t="shared" ref="G32:J32" si="5">SUM(G8:G31)</f>
        <v>465.99</v>
      </c>
      <c r="H32" s="21">
        <f t="shared" si="5"/>
        <v>1742.42</v>
      </c>
      <c r="I32" s="21">
        <f t="shared" si="5"/>
        <v>0</v>
      </c>
      <c r="J32" s="21">
        <f t="shared" si="5"/>
        <v>4307.33</v>
      </c>
      <c r="K32" s="21">
        <f>SUM(K8:K31)</f>
        <v>-182754.2</v>
      </c>
      <c r="L32" s="21">
        <f t="shared" ref="L32:N32" si="6">SUM(L8:L31)</f>
        <v>22092.31</v>
      </c>
      <c r="M32" s="21">
        <f t="shared" si="6"/>
        <v>67453.59</v>
      </c>
      <c r="N32" s="21">
        <f t="shared" si="6"/>
        <v>0</v>
      </c>
      <c r="O32" s="21">
        <f>SUM(O8:O30)</f>
        <v>-93208.300000000017</v>
      </c>
    </row>
    <row r="33" spans="2:15" ht="15.75" thickTop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2:15" x14ac:dyDescent="0.25">
      <c r="B34" s="20"/>
      <c r="C34" s="20"/>
      <c r="D34" s="20"/>
      <c r="E34" s="20"/>
      <c r="F34" s="20"/>
      <c r="G34" s="20"/>
      <c r="H34" s="20"/>
      <c r="I34" s="20"/>
      <c r="J34" s="20"/>
      <c r="K34" s="20"/>
      <c r="O34" s="11"/>
    </row>
    <row r="35" spans="2:15" x14ac:dyDescent="0.25"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2:15" x14ac:dyDescent="0.25">
      <c r="B36" s="20"/>
      <c r="C36" s="20"/>
      <c r="D36" s="20"/>
      <c r="E36" s="20"/>
      <c r="F36" s="20"/>
      <c r="G36" s="20"/>
      <c r="H36" s="20"/>
      <c r="I36" s="20"/>
      <c r="J36" s="20"/>
      <c r="K36" s="20"/>
      <c r="O36" s="22"/>
    </row>
  </sheetData>
  <mergeCells count="3">
    <mergeCell ref="B6:E6"/>
    <mergeCell ref="F6:J6"/>
    <mergeCell ref="K6:O6"/>
  </mergeCells>
  <pageMargins left="0.7" right="0.7" top="0.75" bottom="0.75" header="0.3" footer="0.3"/>
  <pageSetup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workbookViewId="0">
      <selection activeCell="L62" sqref="L62"/>
    </sheetView>
  </sheetViews>
  <sheetFormatPr defaultColWidth="9.140625" defaultRowHeight="15" x14ac:dyDescent="0.25"/>
  <cols>
    <col min="1" max="1" width="8.140625" style="8" customWidth="1"/>
    <col min="2" max="2" width="10.7109375" style="8" bestFit="1" customWidth="1"/>
    <col min="3" max="3" width="10.140625" style="8" bestFit="1" customWidth="1"/>
    <col min="4" max="4" width="12.28515625" style="8" bestFit="1" customWidth="1"/>
    <col min="5" max="5" width="11.140625" style="8" bestFit="1" customWidth="1"/>
    <col min="6" max="6" width="11.42578125" style="8" bestFit="1" customWidth="1"/>
    <col min="7" max="7" width="10.140625" style="8" bestFit="1" customWidth="1"/>
    <col min="8" max="8" width="12.28515625" style="8" bestFit="1" customWidth="1"/>
    <col min="9" max="9" width="11.140625" style="8" bestFit="1" customWidth="1"/>
    <col min="10" max="10" width="9.28515625" style="8" bestFit="1" customWidth="1"/>
    <col min="11" max="11" width="11.85546875" style="8" bestFit="1" customWidth="1"/>
    <col min="12" max="12" width="10.28515625" style="8" bestFit="1" customWidth="1"/>
    <col min="13" max="13" width="12.28515625" style="8" bestFit="1" customWidth="1"/>
    <col min="14" max="15" width="11.140625" style="8" bestFit="1" customWidth="1"/>
    <col min="16" max="16" width="9.7109375" style="8" bestFit="1" customWidth="1"/>
    <col min="17" max="16384" width="9.140625" style="8"/>
  </cols>
  <sheetData>
    <row r="1" spans="1:15" x14ac:dyDescent="0.25">
      <c r="A1" s="8" t="s">
        <v>29</v>
      </c>
    </row>
    <row r="2" spans="1:15" x14ac:dyDescent="0.25">
      <c r="A2" s="8" t="s">
        <v>1</v>
      </c>
    </row>
    <row r="3" spans="1:15" x14ac:dyDescent="0.25">
      <c r="A3" s="23" t="s">
        <v>34</v>
      </c>
    </row>
    <row r="4" spans="1:15" x14ac:dyDescent="0.25">
      <c r="A4" s="32" t="s">
        <v>55</v>
      </c>
    </row>
    <row r="5" spans="1:15" x14ac:dyDescent="0.25">
      <c r="K5" s="11"/>
    </row>
    <row r="6" spans="1:15" x14ac:dyDescent="0.25">
      <c r="B6" s="35" t="s">
        <v>35</v>
      </c>
      <c r="C6" s="36"/>
      <c r="D6" s="36"/>
      <c r="E6" s="37"/>
      <c r="F6" s="35" t="s">
        <v>36</v>
      </c>
      <c r="G6" s="36"/>
      <c r="H6" s="36"/>
      <c r="I6" s="36"/>
      <c r="J6" s="37"/>
      <c r="K6" s="35" t="s">
        <v>37</v>
      </c>
      <c r="L6" s="36"/>
      <c r="M6" s="36"/>
      <c r="N6" s="36"/>
      <c r="O6" s="37"/>
    </row>
    <row r="7" spans="1:15" x14ac:dyDescent="0.25">
      <c r="B7" s="12" t="s">
        <v>30</v>
      </c>
      <c r="C7" s="12" t="s">
        <v>31</v>
      </c>
      <c r="D7" s="12" t="s">
        <v>32</v>
      </c>
      <c r="E7" s="12" t="s">
        <v>33</v>
      </c>
      <c r="F7" s="13" t="s">
        <v>30</v>
      </c>
      <c r="G7" s="12" t="s">
        <v>31</v>
      </c>
      <c r="H7" s="12" t="s">
        <v>32</v>
      </c>
      <c r="I7" s="12" t="s">
        <v>33</v>
      </c>
      <c r="J7" s="12" t="s">
        <v>2</v>
      </c>
      <c r="K7" s="12" t="s">
        <v>30</v>
      </c>
      <c r="L7" s="12" t="s">
        <v>31</v>
      </c>
      <c r="M7" s="12" t="s">
        <v>32</v>
      </c>
      <c r="N7" s="12" t="s">
        <v>33</v>
      </c>
      <c r="O7" s="12" t="s">
        <v>2</v>
      </c>
    </row>
    <row r="8" spans="1:15" x14ac:dyDescent="0.25">
      <c r="A8" s="33" t="s">
        <v>56</v>
      </c>
      <c r="B8" s="14">
        <f>K8/F8</f>
        <v>-86</v>
      </c>
      <c r="C8" s="15">
        <v>0</v>
      </c>
      <c r="D8" s="15">
        <f t="shared" ref="D8" si="0">M8/H8</f>
        <v>32</v>
      </c>
      <c r="E8" s="15">
        <v>0</v>
      </c>
      <c r="F8" s="25">
        <f>119440/2000</f>
        <v>59.72</v>
      </c>
      <c r="G8" s="26">
        <v>0</v>
      </c>
      <c r="H8" s="26">
        <f>79540/2000</f>
        <v>39.770000000000003</v>
      </c>
      <c r="I8" s="26">
        <v>0</v>
      </c>
      <c r="J8" s="27">
        <f>SUM(F8:I8)</f>
        <v>99.490000000000009</v>
      </c>
      <c r="K8" s="25">
        <v>-5135.92</v>
      </c>
      <c r="L8" s="26">
        <v>0</v>
      </c>
      <c r="M8" s="26">
        <v>1272.6400000000001</v>
      </c>
      <c r="N8" s="26">
        <v>0</v>
      </c>
      <c r="O8" s="27">
        <f>SUM(K8:N8)</f>
        <v>-3863.2799999999997</v>
      </c>
    </row>
    <row r="9" spans="1:15" x14ac:dyDescent="0.25">
      <c r="B9" s="14"/>
      <c r="C9" s="15"/>
      <c r="D9" s="15"/>
      <c r="E9" s="16"/>
      <c r="F9" s="14"/>
      <c r="G9" s="15"/>
      <c r="H9" s="15"/>
      <c r="I9" s="15"/>
      <c r="J9" s="16"/>
      <c r="K9" s="14"/>
      <c r="L9" s="15"/>
      <c r="M9" s="15"/>
      <c r="N9" s="15"/>
      <c r="O9" s="16"/>
    </row>
    <row r="10" spans="1:15" x14ac:dyDescent="0.25">
      <c r="A10" s="32" t="s">
        <v>57</v>
      </c>
      <c r="B10" s="14">
        <f>K10/F10</f>
        <v>-86</v>
      </c>
      <c r="C10" s="15">
        <v>0</v>
      </c>
      <c r="D10" s="15">
        <f t="shared" ref="D10" si="1">M10/H10</f>
        <v>32</v>
      </c>
      <c r="E10" s="16">
        <v>0</v>
      </c>
      <c r="F10" s="14">
        <f>125900/2000</f>
        <v>62.95</v>
      </c>
      <c r="G10" s="15">
        <v>0</v>
      </c>
      <c r="H10" s="15">
        <f>88480/2000</f>
        <v>44.24</v>
      </c>
      <c r="I10" s="15">
        <v>0</v>
      </c>
      <c r="J10" s="16">
        <f>SUM(F10:I10)</f>
        <v>107.19</v>
      </c>
      <c r="K10" s="14">
        <v>-5413.7</v>
      </c>
      <c r="L10" s="15">
        <v>0</v>
      </c>
      <c r="M10" s="15">
        <v>1415.68</v>
      </c>
      <c r="N10" s="15">
        <v>0</v>
      </c>
      <c r="O10" s="16">
        <f>SUM(K10:N10)</f>
        <v>-3998.0199999999995</v>
      </c>
    </row>
    <row r="11" spans="1:15" x14ac:dyDescent="0.25">
      <c r="B11" s="14"/>
      <c r="C11" s="15"/>
      <c r="D11" s="15"/>
      <c r="E11" s="16"/>
      <c r="F11" s="14"/>
      <c r="G11" s="15"/>
      <c r="H11" s="15"/>
      <c r="I11" s="15"/>
      <c r="J11" s="16"/>
      <c r="K11" s="14"/>
      <c r="L11" s="15"/>
      <c r="M11" s="15"/>
      <c r="N11" s="15"/>
      <c r="O11" s="16"/>
    </row>
    <row r="12" spans="1:15" x14ac:dyDescent="0.25">
      <c r="A12" s="32" t="s">
        <v>58</v>
      </c>
      <c r="B12" s="14">
        <f>K12/F12</f>
        <v>-86</v>
      </c>
      <c r="C12" s="15">
        <v>0</v>
      </c>
      <c r="D12" s="15">
        <f t="shared" ref="D12" si="2">M12/H12</f>
        <v>34.191196698762035</v>
      </c>
      <c r="E12" s="16">
        <v>0</v>
      </c>
      <c r="F12" s="14">
        <f>106340/2000</f>
        <v>53.17</v>
      </c>
      <c r="G12" s="15">
        <v>0</v>
      </c>
      <c r="H12" s="15">
        <f>72700/2000</f>
        <v>36.35</v>
      </c>
      <c r="I12" s="15">
        <v>0</v>
      </c>
      <c r="J12" s="16">
        <f>SUM(F12:I12)</f>
        <v>89.52000000000001</v>
      </c>
      <c r="K12" s="14">
        <v>-4572.62</v>
      </c>
      <c r="L12" s="15">
        <v>0</v>
      </c>
      <c r="M12" s="15">
        <v>1242.8499999999999</v>
      </c>
      <c r="N12" s="15">
        <v>0</v>
      </c>
      <c r="O12" s="16">
        <f>SUM(K12:N12)</f>
        <v>-3329.77</v>
      </c>
    </row>
    <row r="13" spans="1:15" x14ac:dyDescent="0.25">
      <c r="B13" s="14"/>
      <c r="C13" s="15"/>
      <c r="D13" s="15"/>
      <c r="E13" s="16"/>
      <c r="F13" s="14"/>
      <c r="G13" s="15"/>
      <c r="H13" s="15"/>
      <c r="I13" s="15"/>
      <c r="J13" s="16"/>
      <c r="K13" s="14"/>
      <c r="L13" s="15"/>
      <c r="M13" s="15"/>
      <c r="N13" s="15"/>
      <c r="O13" s="16"/>
    </row>
    <row r="14" spans="1:15" x14ac:dyDescent="0.25">
      <c r="A14" s="32" t="s">
        <v>59</v>
      </c>
      <c r="B14" s="14">
        <f>K14/F14</f>
        <v>-86</v>
      </c>
      <c r="C14" s="15">
        <v>0</v>
      </c>
      <c r="D14" s="15">
        <f t="shared" ref="D14" si="3">M14/H14</f>
        <v>38.179585022656809</v>
      </c>
      <c r="E14" s="16">
        <v>0</v>
      </c>
      <c r="F14" s="14">
        <f>120800/2000</f>
        <v>60.4</v>
      </c>
      <c r="G14" s="15">
        <v>0</v>
      </c>
      <c r="H14" s="15">
        <f>83860/2000</f>
        <v>41.93</v>
      </c>
      <c r="I14" s="15">
        <v>0</v>
      </c>
      <c r="J14" s="16">
        <f>SUM(F14:I14)</f>
        <v>102.33</v>
      </c>
      <c r="K14" s="14">
        <v>-5194.3999999999996</v>
      </c>
      <c r="L14" s="15">
        <v>0</v>
      </c>
      <c r="M14" s="15">
        <v>1600.87</v>
      </c>
      <c r="N14" s="15">
        <v>0</v>
      </c>
      <c r="O14" s="16">
        <f>SUM(K14:N14)</f>
        <v>-3593.5299999999997</v>
      </c>
    </row>
    <row r="15" spans="1:15" x14ac:dyDescent="0.25">
      <c r="B15" s="14"/>
      <c r="C15" s="15"/>
      <c r="D15" s="15"/>
      <c r="E15" s="16"/>
      <c r="F15" s="14"/>
      <c r="G15" s="15"/>
      <c r="H15" s="15"/>
      <c r="I15" s="15"/>
      <c r="J15" s="16"/>
      <c r="K15" s="14"/>
      <c r="L15" s="15"/>
      <c r="M15" s="15"/>
      <c r="N15" s="15"/>
      <c r="O15" s="16"/>
    </row>
    <row r="16" spans="1:15" x14ac:dyDescent="0.25">
      <c r="A16" s="33" t="s">
        <v>60</v>
      </c>
      <c r="B16" s="14">
        <f>K16/F16</f>
        <v>-86</v>
      </c>
      <c r="C16" s="15">
        <v>0</v>
      </c>
      <c r="D16" s="15">
        <f t="shared" ref="D16" si="4">M16/H16</f>
        <v>39.892672094744633</v>
      </c>
      <c r="E16" s="16">
        <v>0</v>
      </c>
      <c r="F16" s="14">
        <f>122160/2000</f>
        <v>61.08</v>
      </c>
      <c r="G16" s="15">
        <v>0</v>
      </c>
      <c r="H16" s="15">
        <f>81060/2000</f>
        <v>40.53</v>
      </c>
      <c r="I16" s="15">
        <v>0</v>
      </c>
      <c r="J16" s="16">
        <f>SUM(F16:I16)</f>
        <v>101.61</v>
      </c>
      <c r="K16" s="14">
        <v>-5252.88</v>
      </c>
      <c r="L16" s="15">
        <v>0</v>
      </c>
      <c r="M16" s="15">
        <v>1616.85</v>
      </c>
      <c r="N16" s="15">
        <v>0</v>
      </c>
      <c r="O16" s="16">
        <f>SUM(K16:N16)</f>
        <v>-3636.03</v>
      </c>
    </row>
    <row r="17" spans="1:16" x14ac:dyDescent="0.25">
      <c r="B17" s="14"/>
      <c r="C17" s="15"/>
      <c r="D17" s="15"/>
      <c r="E17" s="16"/>
      <c r="F17" s="14"/>
      <c r="G17" s="15"/>
      <c r="H17" s="15"/>
      <c r="I17" s="15"/>
      <c r="J17" s="16"/>
      <c r="K17" s="14"/>
      <c r="L17" s="15"/>
      <c r="M17" s="15"/>
      <c r="N17" s="15"/>
      <c r="O17" s="16"/>
    </row>
    <row r="18" spans="1:16" x14ac:dyDescent="0.25">
      <c r="A18" s="32" t="s">
        <v>61</v>
      </c>
      <c r="B18" s="14">
        <f>K18/F18</f>
        <v>-87.30119712689546</v>
      </c>
      <c r="C18" s="15">
        <v>0</v>
      </c>
      <c r="D18" s="15">
        <f t="shared" ref="D18" si="5">M18/H18</f>
        <v>39</v>
      </c>
      <c r="E18" s="16">
        <v>0</v>
      </c>
      <c r="F18" s="14">
        <f>125300/2000</f>
        <v>62.65</v>
      </c>
      <c r="G18" s="15">
        <v>0</v>
      </c>
      <c r="H18" s="15">
        <f>89820/2000</f>
        <v>44.91</v>
      </c>
      <c r="I18" s="15">
        <v>0</v>
      </c>
      <c r="J18" s="16">
        <f>SUM(F18:I18)</f>
        <v>107.56</v>
      </c>
      <c r="K18" s="14">
        <v>-5469.42</v>
      </c>
      <c r="L18" s="15">
        <v>0</v>
      </c>
      <c r="M18" s="15">
        <v>1751.49</v>
      </c>
      <c r="N18" s="15">
        <v>0</v>
      </c>
      <c r="O18" s="16">
        <f>SUM(K18:N18)</f>
        <v>-3717.9300000000003</v>
      </c>
    </row>
    <row r="19" spans="1:16" x14ac:dyDescent="0.25">
      <c r="B19" s="14"/>
      <c r="C19" s="15"/>
      <c r="D19" s="15"/>
      <c r="E19" s="16"/>
      <c r="F19" s="14"/>
      <c r="G19" s="15"/>
      <c r="H19" s="15"/>
      <c r="I19" s="15"/>
      <c r="J19" s="16"/>
      <c r="K19" s="14"/>
      <c r="L19" s="15"/>
      <c r="M19" s="15"/>
      <c r="N19" s="15"/>
      <c r="O19" s="16"/>
    </row>
    <row r="20" spans="1:16" x14ac:dyDescent="0.25">
      <c r="A20" s="32" t="s">
        <v>62</v>
      </c>
      <c r="B20" s="14">
        <f>K20/F20</f>
        <v>-88</v>
      </c>
      <c r="C20" s="15">
        <v>0</v>
      </c>
      <c r="D20" s="15">
        <f t="shared" ref="D20" si="6">M20/H20</f>
        <v>39.474745458175278</v>
      </c>
      <c r="E20" s="16">
        <v>0</v>
      </c>
      <c r="F20" s="14">
        <f>139560/2000</f>
        <v>69.78</v>
      </c>
      <c r="G20" s="15">
        <v>0</v>
      </c>
      <c r="H20" s="15">
        <f>100180/2000</f>
        <v>50.09</v>
      </c>
      <c r="I20" s="15">
        <v>0</v>
      </c>
      <c r="J20" s="16">
        <f>SUM(F20:I20)</f>
        <v>119.87</v>
      </c>
      <c r="K20" s="14">
        <v>-6140.64</v>
      </c>
      <c r="L20" s="15">
        <v>0</v>
      </c>
      <c r="M20" s="15">
        <v>1977.29</v>
      </c>
      <c r="N20" s="15">
        <v>0</v>
      </c>
      <c r="O20" s="16">
        <f>SUM(K20:N20)</f>
        <v>-4163.3500000000004</v>
      </c>
    </row>
    <row r="21" spans="1:16" x14ac:dyDescent="0.25">
      <c r="B21" s="14"/>
      <c r="C21" s="15"/>
      <c r="D21" s="15"/>
      <c r="E21" s="16"/>
      <c r="F21" s="14"/>
      <c r="G21" s="15"/>
      <c r="H21" s="15"/>
      <c r="I21" s="15"/>
      <c r="J21" s="16"/>
      <c r="K21" s="14"/>
      <c r="L21" s="15"/>
      <c r="M21" s="15"/>
      <c r="N21" s="15"/>
      <c r="O21" s="16"/>
    </row>
    <row r="22" spans="1:16" x14ac:dyDescent="0.25">
      <c r="A22" s="32" t="s">
        <v>63</v>
      </c>
      <c r="B22" s="14">
        <f>K22/F22</f>
        <v>-88</v>
      </c>
      <c r="C22" s="15">
        <v>0</v>
      </c>
      <c r="D22" s="15">
        <f t="shared" ref="D22" si="7">M22/H22</f>
        <v>40.555689585846402</v>
      </c>
      <c r="E22" s="16">
        <v>0</v>
      </c>
      <c r="F22" s="14">
        <f>125640/2000</f>
        <v>62.82</v>
      </c>
      <c r="G22" s="15">
        <f>0</f>
        <v>0</v>
      </c>
      <c r="H22" s="15">
        <f>99480/2000</f>
        <v>49.74</v>
      </c>
      <c r="I22" s="15">
        <v>0</v>
      </c>
      <c r="J22" s="16">
        <f>SUM(F22:I22)</f>
        <v>112.56</v>
      </c>
      <c r="K22" s="14">
        <v>-5528.16</v>
      </c>
      <c r="L22" s="15">
        <v>0</v>
      </c>
      <c r="M22" s="15">
        <v>2017.24</v>
      </c>
      <c r="N22" s="15">
        <v>0</v>
      </c>
      <c r="O22" s="16">
        <f>SUM(K22:N22)</f>
        <v>-3510.92</v>
      </c>
    </row>
    <row r="23" spans="1:16" x14ac:dyDescent="0.25">
      <c r="B23" s="14"/>
      <c r="C23" s="15"/>
      <c r="D23" s="15"/>
      <c r="E23" s="16"/>
      <c r="F23" s="14"/>
      <c r="G23" s="15"/>
      <c r="H23" s="15"/>
      <c r="I23" s="15"/>
      <c r="J23" s="16"/>
      <c r="K23" s="14"/>
      <c r="L23" s="15"/>
      <c r="M23" s="15"/>
      <c r="N23" s="15"/>
      <c r="O23" s="16"/>
    </row>
    <row r="24" spans="1:16" x14ac:dyDescent="0.25">
      <c r="A24" s="32" t="s">
        <v>64</v>
      </c>
      <c r="B24" s="14">
        <f>K24/F24</f>
        <v>-88.000000000000014</v>
      </c>
      <c r="C24" s="15">
        <v>0</v>
      </c>
      <c r="D24" s="15">
        <f>M24/H24</f>
        <v>41.555164448355519</v>
      </c>
      <c r="E24" s="16">
        <v>0</v>
      </c>
      <c r="F24" s="14">
        <f>125490/2000</f>
        <v>62.744999999999997</v>
      </c>
      <c r="G24" s="15">
        <v>0</v>
      </c>
      <c r="H24" s="15">
        <f>90910/2000</f>
        <v>45.454999999999998</v>
      </c>
      <c r="I24" s="15">
        <v>0</v>
      </c>
      <c r="J24" s="16">
        <f>SUM(F24:I24)</f>
        <v>108.19999999999999</v>
      </c>
      <c r="K24" s="14">
        <v>-5521.56</v>
      </c>
      <c r="L24" s="15">
        <v>0</v>
      </c>
      <c r="M24" s="15">
        <v>1888.89</v>
      </c>
      <c r="N24" s="15">
        <v>0</v>
      </c>
      <c r="O24" s="16">
        <f>SUM(K24:N24)</f>
        <v>-3632.67</v>
      </c>
      <c r="P24" s="11"/>
    </row>
    <row r="25" spans="1:16" x14ac:dyDescent="0.25">
      <c r="B25" s="14"/>
      <c r="C25" s="15"/>
      <c r="D25" s="15"/>
      <c r="E25" s="16"/>
      <c r="F25" s="14"/>
      <c r="G25" s="15"/>
      <c r="H25" s="15"/>
      <c r="I25" s="15"/>
      <c r="J25" s="16"/>
      <c r="K25" s="14"/>
      <c r="L25" s="15"/>
      <c r="M25" s="15"/>
      <c r="N25" s="15"/>
      <c r="O25" s="16"/>
    </row>
    <row r="26" spans="1:16" x14ac:dyDescent="0.25">
      <c r="A26" s="32" t="s">
        <v>65</v>
      </c>
      <c r="B26" s="14">
        <f>K26/F26</f>
        <v>-88</v>
      </c>
      <c r="C26" s="15">
        <v>0</v>
      </c>
      <c r="D26" s="15">
        <f>M26/H26</f>
        <v>43.496762007555311</v>
      </c>
      <c r="E26" s="16">
        <v>0</v>
      </c>
      <c r="F26" s="14">
        <f>112100/2000</f>
        <v>56.05</v>
      </c>
      <c r="G26" s="15">
        <v>0</v>
      </c>
      <c r="H26" s="15">
        <f>74120/2000</f>
        <v>37.06</v>
      </c>
      <c r="I26" s="15">
        <v>0</v>
      </c>
      <c r="J26" s="16">
        <f>SUM(F26:I26)</f>
        <v>93.11</v>
      </c>
      <c r="K26" s="14">
        <v>-4932.3999999999996</v>
      </c>
      <c r="L26" s="15">
        <f t="shared" ref="L26:L30" si="8">C26*G26</f>
        <v>0</v>
      </c>
      <c r="M26" s="15">
        <v>1611.99</v>
      </c>
      <c r="N26" s="15">
        <f>I26*E26</f>
        <v>0</v>
      </c>
      <c r="O26" s="16">
        <f>SUM(K26:N26)</f>
        <v>-3320.41</v>
      </c>
    </row>
    <row r="27" spans="1:16" x14ac:dyDescent="0.25">
      <c r="B27" s="14"/>
      <c r="C27" s="15"/>
      <c r="D27" s="15"/>
      <c r="E27" s="16"/>
      <c r="F27" s="14"/>
      <c r="G27" s="15"/>
      <c r="H27" s="15"/>
      <c r="I27" s="15"/>
      <c r="J27" s="16"/>
      <c r="K27" s="14"/>
      <c r="L27" s="15"/>
      <c r="M27" s="15"/>
      <c r="N27" s="15"/>
      <c r="O27" s="16"/>
    </row>
    <row r="28" spans="1:16" x14ac:dyDescent="0.25">
      <c r="A28" s="32" t="s">
        <v>66</v>
      </c>
      <c r="B28" s="14">
        <f>K28/F28</f>
        <v>-88</v>
      </c>
      <c r="C28" s="15">
        <v>0</v>
      </c>
      <c r="D28" s="15">
        <f>M28/H28</f>
        <v>45</v>
      </c>
      <c r="E28" s="16">
        <v>0</v>
      </c>
      <c r="F28" s="14">
        <f>144580/2000</f>
        <v>72.290000000000006</v>
      </c>
      <c r="G28" s="15">
        <v>0</v>
      </c>
      <c r="H28" s="15">
        <f>96360/2000</f>
        <v>48.18</v>
      </c>
      <c r="I28" s="15">
        <v>0</v>
      </c>
      <c r="J28" s="16">
        <f>SUM(F28:I28)</f>
        <v>120.47</v>
      </c>
      <c r="K28" s="14">
        <v>-6361.52</v>
      </c>
      <c r="L28" s="15">
        <v>0</v>
      </c>
      <c r="M28" s="15">
        <v>2168.1</v>
      </c>
      <c r="N28" s="15">
        <f>I28*E28</f>
        <v>0</v>
      </c>
      <c r="O28" s="16">
        <f>SUM(K28:N28)</f>
        <v>-4193.42</v>
      </c>
    </row>
    <row r="29" spans="1:16" x14ac:dyDescent="0.25">
      <c r="B29" s="14"/>
      <c r="C29" s="15"/>
      <c r="D29" s="15"/>
      <c r="E29" s="16"/>
      <c r="F29" s="14"/>
      <c r="G29" s="15"/>
      <c r="H29" s="15"/>
      <c r="I29" s="15"/>
      <c r="J29" s="16"/>
      <c r="K29" s="14"/>
      <c r="L29" s="15"/>
      <c r="M29" s="15"/>
      <c r="N29" s="15"/>
      <c r="O29" s="16"/>
    </row>
    <row r="30" spans="1:16" x14ac:dyDescent="0.25">
      <c r="A30" s="32" t="s">
        <v>67</v>
      </c>
      <c r="B30" s="17">
        <f>K30/F30</f>
        <v>-88</v>
      </c>
      <c r="C30" s="18">
        <v>0</v>
      </c>
      <c r="D30" s="18">
        <f>M30/H30</f>
        <v>36.741338270298861</v>
      </c>
      <c r="E30" s="19">
        <v>0</v>
      </c>
      <c r="F30" s="17">
        <f>106040/2000</f>
        <v>53.02</v>
      </c>
      <c r="G30" s="18">
        <v>0</v>
      </c>
      <c r="H30" s="18">
        <f>75620/2000</f>
        <v>37.81</v>
      </c>
      <c r="I30" s="18">
        <v>0</v>
      </c>
      <c r="J30" s="19">
        <f>SUM(F30:I30)</f>
        <v>90.830000000000013</v>
      </c>
      <c r="K30" s="17">
        <v>-4665.76</v>
      </c>
      <c r="L30" s="18">
        <f t="shared" si="8"/>
        <v>0</v>
      </c>
      <c r="M30" s="18">
        <v>1389.19</v>
      </c>
      <c r="N30" s="18">
        <f>I30*E30</f>
        <v>0</v>
      </c>
      <c r="O30" s="19">
        <f>SUM(K30:N30)</f>
        <v>-3276.57</v>
      </c>
    </row>
    <row r="31" spans="1:16" x14ac:dyDescent="0.25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6" ht="15.75" thickBot="1" x14ac:dyDescent="0.3">
      <c r="B32" s="20"/>
      <c r="C32" s="20"/>
      <c r="D32" s="20"/>
      <c r="E32" s="20"/>
      <c r="F32" s="21">
        <f>SUM(F8:F31)</f>
        <v>736.67499999999984</v>
      </c>
      <c r="G32" s="21">
        <f t="shared" ref="G32:J32" si="9">SUM(G8:G31)</f>
        <v>0</v>
      </c>
      <c r="H32" s="21">
        <f t="shared" si="9"/>
        <v>516.06500000000005</v>
      </c>
      <c r="I32" s="21">
        <f t="shared" si="9"/>
        <v>0</v>
      </c>
      <c r="J32" s="21">
        <f t="shared" si="9"/>
        <v>1252.74</v>
      </c>
      <c r="K32" s="21">
        <f>SUM(K8:K31)</f>
        <v>-64188.98</v>
      </c>
      <c r="L32" s="21">
        <f t="shared" ref="L32:N32" si="10">SUM(L8:L31)</f>
        <v>0</v>
      </c>
      <c r="M32" s="21">
        <f t="shared" si="10"/>
        <v>19953.079999999994</v>
      </c>
      <c r="N32" s="21">
        <f t="shared" si="10"/>
        <v>0</v>
      </c>
      <c r="O32" s="21">
        <f>SUM(O8:O30)</f>
        <v>-44235.899999999987</v>
      </c>
    </row>
    <row r="33" spans="2:15" ht="15.75" thickTop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2:15" x14ac:dyDescent="0.25">
      <c r="B34" s="20"/>
      <c r="C34" s="20"/>
      <c r="D34" s="20"/>
      <c r="E34" s="20"/>
      <c r="F34" s="20"/>
      <c r="G34" s="20"/>
      <c r="H34" s="20"/>
      <c r="I34" s="20"/>
      <c r="J34" s="20"/>
      <c r="K34" s="20"/>
      <c r="O34" s="11"/>
    </row>
    <row r="35" spans="2:15" x14ac:dyDescent="0.25"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2:15" x14ac:dyDescent="0.25">
      <c r="B36" s="20"/>
      <c r="C36" s="20"/>
      <c r="D36" s="20"/>
      <c r="E36" s="20"/>
      <c r="F36" s="20"/>
      <c r="G36" s="20"/>
      <c r="H36" s="20"/>
      <c r="I36" s="20"/>
      <c r="J36" s="20"/>
      <c r="K36" s="20"/>
      <c r="O36" s="22"/>
    </row>
  </sheetData>
  <mergeCells count="3">
    <mergeCell ref="B6:E6"/>
    <mergeCell ref="F6:J6"/>
    <mergeCell ref="K6:O6"/>
  </mergeCells>
  <pageMargins left="0.7" right="0.7" top="0.75" bottom="0.75" header="0.3" footer="0.3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0DBFD08A76827499AFA56B604BC45A7" ma:contentTypeVersion="104" ma:contentTypeDescription="" ma:contentTypeScope="" ma:versionID="dd3917276b63831a7c4435a5deabb5b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2017-05-15T07:00:00+00:00</OpenedDate>
    <Date1 xmlns="dc463f71-b30c-4ab2-9473-d307f9d35888">2017-05-15T07:00:00+00:00</Date1>
    <IsDocumentOrder xmlns="dc463f71-b30c-4ab2-9473-d307f9d35888" xsi:nil="true"/>
    <IsHighlyConfidential xmlns="dc463f71-b30c-4ab2-9473-d307f9d35888">false</IsHighlyConfidential>
    <CaseCompanyNames xmlns="dc463f71-b30c-4ab2-9473-d307f9d35888">Sanitary Service Company, Inc.</CaseCompanyNames>
    <Nickname xmlns="http://schemas.microsoft.com/sharepoint/v3" xsi:nil="true"/>
    <DocketNumber xmlns="dc463f71-b30c-4ab2-9473-d307f9d35888">170376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2E1952F-8583-4FF7-9329-0C05E09F2C6A}"/>
</file>

<file path=customXml/itemProps2.xml><?xml version="1.0" encoding="utf-8"?>
<ds:datastoreItem xmlns:ds="http://schemas.openxmlformats.org/officeDocument/2006/customXml" ds:itemID="{6AE7374B-A1F6-407A-BFC1-F130E9EB75B0}"/>
</file>

<file path=customXml/itemProps3.xml><?xml version="1.0" encoding="utf-8"?>
<ds:datastoreItem xmlns:ds="http://schemas.openxmlformats.org/officeDocument/2006/customXml" ds:itemID="{74A5658D-AA77-4983-A902-F3E896C7E042}"/>
</file>

<file path=customXml/itemProps4.xml><?xml version="1.0" encoding="utf-8"?>
<ds:datastoreItem xmlns:ds="http://schemas.openxmlformats.org/officeDocument/2006/customXml" ds:itemID="{2F24F0D9-C342-48BB-BEE5-FCB6D46450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G-14 Residential</vt:lpstr>
      <vt:lpstr>G-14 Multi</vt:lpstr>
      <vt:lpstr>Single Family Commodities</vt:lpstr>
      <vt:lpstr>Multi Family Commodities</vt:lpstr>
      <vt:lpstr>'G-14 Multi'!Print_Area</vt:lpstr>
      <vt:lpstr>'G-14 Residential'!Print_Area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Jones</dc:creator>
  <cp:lastModifiedBy>Amber Jones</cp:lastModifiedBy>
  <cp:lastPrinted>2017-05-15T19:59:24Z</cp:lastPrinted>
  <dcterms:created xsi:type="dcterms:W3CDTF">2011-05-13T18:16:28Z</dcterms:created>
  <dcterms:modified xsi:type="dcterms:W3CDTF">2017-05-15T20:01:30Z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0x0101006E56B4D1795A2E4DB2F0B01679ED314A00D0DBFD08A76827499AFA56B604BC45A7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