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240" yWindow="360" windowWidth="14100" windowHeight="4485" tabRatio="899"/>
  </bookViews>
  <sheets>
    <sheet name="COS" sheetId="1" r:id="rId1"/>
    <sheet name="Disposal" sheetId="10" r:id="rId2"/>
    <sheet name="Yardwaste Analysis" sheetId="11" r:id="rId3"/>
    <sheet name="Roll Off Average Cost" sheetId="12" r:id="rId4"/>
  </sheets>
  <externalReferences>
    <externalReference r:id="rId5"/>
  </externalReferences>
  <definedNames>
    <definedName name="_xlnm._FilterDatabase" localSheetId="0" hidden="1">COS!$A$107:$AB$169</definedName>
    <definedName name="CommlStaffPriceOut">'[1]Price Out-Reg EASTSIDE-Resi'!#REF!</definedName>
    <definedName name="_COS1">#REF!</definedName>
    <definedName name="_COS2">#REF!</definedName>
    <definedName name="DBxStaffPriceOut">'[1]Price Out-Reg EASTSIDE-Resi'!#REF!</definedName>
    <definedName name="EXT">#REF!</definedName>
    <definedName name="MATRIX">#REF!</definedName>
    <definedName name="MFStaffPriceOut">'[1]Price Out-Reg EASTSIDE-Resi'!#REF!</definedName>
    <definedName name="_xlnm.Print_Area" localSheetId="0">COS!$A$1:$AA$174</definedName>
    <definedName name="_xlnm.Print_Titles" localSheetId="0">COS!$1:$16</definedName>
    <definedName name="ReslStaffPriceOut">'[1]Price Out-Reg EASTSIDE-Resi'!#REF!</definedName>
  </definedNames>
  <calcPr calcId="145621" fullCalcOnLoad="1"/>
</workbook>
</file>

<file path=xl/calcChain.xml><?xml version="1.0" encoding="utf-8"?>
<calcChain xmlns="http://schemas.openxmlformats.org/spreadsheetml/2006/main">
  <c r="F121" i="10" l="1"/>
  <c r="F119" i="10"/>
  <c r="F111" i="10"/>
  <c r="F114" i="10"/>
  <c r="F116" i="10"/>
  <c r="F15" i="10"/>
  <c r="O18" i="11"/>
  <c r="C7" i="11"/>
  <c r="D7" i="11"/>
  <c r="E7" i="11"/>
  <c r="F7" i="11"/>
  <c r="G7" i="11"/>
  <c r="H7" i="11"/>
  <c r="I7" i="11"/>
  <c r="J7" i="11"/>
  <c r="K7" i="11"/>
  <c r="L7" i="11"/>
  <c r="M7" i="11"/>
  <c r="B7" i="11"/>
  <c r="G48" i="10"/>
  <c r="H48" i="10"/>
  <c r="I48" i="10"/>
  <c r="J48" i="10"/>
  <c r="K48" i="10"/>
  <c r="L48" i="10"/>
  <c r="M48" i="10"/>
  <c r="N48" i="10"/>
  <c r="O48" i="10"/>
  <c r="P48" i="10"/>
  <c r="Q48" i="10"/>
  <c r="F48" i="10"/>
  <c r="G42" i="10"/>
  <c r="H42" i="10"/>
  <c r="I42" i="10"/>
  <c r="J42" i="10"/>
  <c r="K42" i="10"/>
  <c r="L42" i="10"/>
  <c r="M42" i="10"/>
  <c r="N42" i="10"/>
  <c r="O42" i="10"/>
  <c r="P42" i="10"/>
  <c r="Q42" i="10"/>
  <c r="F42" i="10"/>
  <c r="G38" i="10"/>
  <c r="H38" i="10"/>
  <c r="I38" i="10"/>
  <c r="J38" i="10"/>
  <c r="K38" i="10"/>
  <c r="L38" i="10"/>
  <c r="M38" i="10"/>
  <c r="N38" i="10"/>
  <c r="O38" i="10"/>
  <c r="P38" i="10"/>
  <c r="Q38" i="10"/>
  <c r="F38" i="10"/>
  <c r="G23" i="10"/>
  <c r="H23" i="10"/>
  <c r="I23" i="10"/>
  <c r="J23" i="10"/>
  <c r="K23" i="10"/>
  <c r="L23" i="10"/>
  <c r="M23" i="10"/>
  <c r="N23" i="10"/>
  <c r="O23" i="10"/>
  <c r="P23" i="10"/>
  <c r="Q23" i="10"/>
  <c r="F23" i="10"/>
  <c r="R21" i="10"/>
  <c r="G27" i="10"/>
  <c r="H27" i="10"/>
  <c r="I27" i="10"/>
  <c r="J27" i="10"/>
  <c r="K27" i="10"/>
  <c r="L27" i="10"/>
  <c r="M27" i="10"/>
  <c r="N27" i="10"/>
  <c r="O27" i="10"/>
  <c r="P27" i="10"/>
  <c r="Q27" i="10"/>
  <c r="F27" i="10"/>
  <c r="G34" i="10"/>
  <c r="H34" i="10"/>
  <c r="I34" i="10"/>
  <c r="J34" i="10"/>
  <c r="K34" i="10"/>
  <c r="L34" i="10"/>
  <c r="M34" i="10"/>
  <c r="N34" i="10"/>
  <c r="O34" i="10"/>
  <c r="P34" i="10"/>
  <c r="Q34" i="10"/>
  <c r="F34" i="10"/>
  <c r="R32" i="10"/>
  <c r="R63" i="10"/>
  <c r="L20" i="1"/>
  <c r="D80" i="1"/>
  <c r="L80" i="1"/>
  <c r="C80" i="1"/>
  <c r="J80" i="1"/>
  <c r="K80" i="1"/>
  <c r="D69" i="1"/>
  <c r="L69" i="1"/>
  <c r="D70" i="1"/>
  <c r="L70" i="1"/>
  <c r="D77" i="1"/>
  <c r="L77" i="1"/>
  <c r="D78" i="1"/>
  <c r="L78" i="1"/>
  <c r="D79" i="1"/>
  <c r="L79" i="1"/>
  <c r="D128" i="1"/>
  <c r="L128" i="1"/>
  <c r="D129" i="1"/>
  <c r="L129" i="1"/>
  <c r="D135" i="1"/>
  <c r="L135" i="1"/>
  <c r="D136" i="1"/>
  <c r="L136" i="1"/>
  <c r="D143" i="1"/>
  <c r="L143" i="1"/>
  <c r="D144" i="1"/>
  <c r="D145" i="1"/>
  <c r="L145" i="1"/>
  <c r="D146" i="1"/>
  <c r="L146" i="1"/>
  <c r="C155" i="1"/>
  <c r="C156" i="1"/>
  <c r="E156" i="1"/>
  <c r="C157" i="1"/>
  <c r="D46" i="1"/>
  <c r="D112" i="1"/>
  <c r="F80" i="1"/>
  <c r="C78" i="1"/>
  <c r="J78" i="1"/>
  <c r="K78" i="1"/>
  <c r="F78" i="1"/>
  <c r="C70" i="1"/>
  <c r="E70" i="1"/>
  <c r="F70" i="1"/>
  <c r="D63" i="1"/>
  <c r="C63" i="1"/>
  <c r="J63" i="1"/>
  <c r="K63" i="1"/>
  <c r="C48" i="1"/>
  <c r="J48" i="1"/>
  <c r="K48" i="1"/>
  <c r="L48" i="1"/>
  <c r="C49" i="1"/>
  <c r="E49" i="1"/>
  <c r="L49" i="1"/>
  <c r="C50" i="1"/>
  <c r="J50" i="1"/>
  <c r="K50" i="1"/>
  <c r="L50" i="1"/>
  <c r="C51" i="1"/>
  <c r="J51" i="1"/>
  <c r="K51" i="1"/>
  <c r="L51" i="1"/>
  <c r="N51" i="1"/>
  <c r="C52" i="1"/>
  <c r="L52" i="1"/>
  <c r="N52" i="1"/>
  <c r="C53" i="1"/>
  <c r="E53" i="1"/>
  <c r="L53" i="1"/>
  <c r="C54" i="1"/>
  <c r="E54" i="1"/>
  <c r="D54" i="1"/>
  <c r="L54" i="1"/>
  <c r="N54" i="1"/>
  <c r="C55" i="1"/>
  <c r="L55" i="1"/>
  <c r="N55" i="1"/>
  <c r="C56" i="1"/>
  <c r="E56" i="1"/>
  <c r="J56" i="1"/>
  <c r="K56" i="1"/>
  <c r="L56" i="1"/>
  <c r="C57" i="1"/>
  <c r="L57" i="1"/>
  <c r="N57" i="1"/>
  <c r="C58" i="1"/>
  <c r="N58" i="1"/>
  <c r="L58" i="1"/>
  <c r="C59" i="1"/>
  <c r="J59" i="1"/>
  <c r="K59" i="1"/>
  <c r="L59" i="1"/>
  <c r="C60" i="1"/>
  <c r="L60" i="1"/>
  <c r="C61" i="1"/>
  <c r="E61" i="1"/>
  <c r="L61" i="1"/>
  <c r="C62" i="1"/>
  <c r="D62" i="1"/>
  <c r="C64" i="1"/>
  <c r="E64" i="1"/>
  <c r="L64" i="1"/>
  <c r="C65" i="1"/>
  <c r="J65" i="1"/>
  <c r="L65" i="1"/>
  <c r="C66" i="1"/>
  <c r="J66" i="1"/>
  <c r="K66" i="1"/>
  <c r="L66" i="1"/>
  <c r="C67" i="1"/>
  <c r="L67" i="1"/>
  <c r="C68" i="1"/>
  <c r="J68" i="1"/>
  <c r="K68" i="1"/>
  <c r="L68" i="1"/>
  <c r="C69" i="1"/>
  <c r="N69" i="1"/>
  <c r="C71" i="1"/>
  <c r="J71" i="1"/>
  <c r="K71" i="1"/>
  <c r="E71" i="1"/>
  <c r="L71" i="1"/>
  <c r="C72" i="1"/>
  <c r="L72" i="1"/>
  <c r="C73" i="1"/>
  <c r="N73" i="1"/>
  <c r="L73" i="1"/>
  <c r="C74" i="1"/>
  <c r="J74" i="1"/>
  <c r="K74" i="1"/>
  <c r="L74" i="1"/>
  <c r="N74" i="1"/>
  <c r="C75" i="1"/>
  <c r="E75" i="1"/>
  <c r="L75" i="1"/>
  <c r="C76" i="1"/>
  <c r="J76" i="1"/>
  <c r="K76" i="1"/>
  <c r="L76" i="1"/>
  <c r="C77" i="1"/>
  <c r="E77" i="1"/>
  <c r="C79" i="1"/>
  <c r="J79" i="1"/>
  <c r="K79" i="1"/>
  <c r="C81" i="1"/>
  <c r="J81" i="1"/>
  <c r="K81" i="1"/>
  <c r="L81" i="1"/>
  <c r="N81" i="1"/>
  <c r="C82" i="1"/>
  <c r="L82" i="1"/>
  <c r="N82" i="1"/>
  <c r="C83" i="1"/>
  <c r="N83" i="1"/>
  <c r="L83" i="1"/>
  <c r="C84" i="1"/>
  <c r="L84" i="1"/>
  <c r="N84" i="1"/>
  <c r="C85" i="1"/>
  <c r="L85" i="1"/>
  <c r="N85" i="1"/>
  <c r="C86" i="1"/>
  <c r="E86" i="1"/>
  <c r="L86" i="1"/>
  <c r="N86" i="1"/>
  <c r="C87" i="1"/>
  <c r="J87" i="1"/>
  <c r="K87" i="1"/>
  <c r="L87" i="1"/>
  <c r="C88" i="1"/>
  <c r="N88" i="1"/>
  <c r="J88" i="1"/>
  <c r="K88" i="1"/>
  <c r="L88" i="1"/>
  <c r="C89" i="1"/>
  <c r="L89" i="1"/>
  <c r="C90" i="1"/>
  <c r="E90" i="1"/>
  <c r="L90" i="1"/>
  <c r="C91" i="1"/>
  <c r="L91" i="1"/>
  <c r="C92" i="1"/>
  <c r="L92" i="1"/>
  <c r="N92" i="1"/>
  <c r="C113" i="1"/>
  <c r="L113" i="1"/>
  <c r="C114" i="1"/>
  <c r="N114" i="1"/>
  <c r="L114" i="1"/>
  <c r="C115" i="1"/>
  <c r="J115" i="1"/>
  <c r="K115" i="1"/>
  <c r="L115" i="1"/>
  <c r="C116" i="1"/>
  <c r="L116" i="1"/>
  <c r="C117" i="1"/>
  <c r="E117" i="1"/>
  <c r="L117" i="1"/>
  <c r="C118" i="1"/>
  <c r="J118" i="1"/>
  <c r="K118" i="1"/>
  <c r="L118" i="1"/>
  <c r="N118" i="1"/>
  <c r="O118" i="1"/>
  <c r="AA118" i="1"/>
  <c r="C119" i="1"/>
  <c r="E119" i="1"/>
  <c r="L119" i="1"/>
  <c r="N119" i="1"/>
  <c r="O119" i="1"/>
  <c r="AA119" i="1"/>
  <c r="C120" i="1"/>
  <c r="D120" i="1"/>
  <c r="L120" i="1"/>
  <c r="C121" i="1"/>
  <c r="N121" i="1"/>
  <c r="O121" i="1"/>
  <c r="AA121" i="1"/>
  <c r="L121" i="1"/>
  <c r="C122" i="1"/>
  <c r="E122" i="1"/>
  <c r="L122" i="1"/>
  <c r="C123" i="1"/>
  <c r="L123" i="1"/>
  <c r="C124" i="1"/>
  <c r="L124" i="1"/>
  <c r="C125" i="1"/>
  <c r="L125" i="1"/>
  <c r="C126" i="1"/>
  <c r="L126" i="1"/>
  <c r="N126" i="1"/>
  <c r="O126" i="1"/>
  <c r="AA126" i="1"/>
  <c r="C127" i="1"/>
  <c r="N127" i="1"/>
  <c r="O127" i="1"/>
  <c r="AA127" i="1"/>
  <c r="L127" i="1"/>
  <c r="C128" i="1"/>
  <c r="C129" i="1"/>
  <c r="N129" i="1"/>
  <c r="O129" i="1"/>
  <c r="AA129" i="1"/>
  <c r="C130" i="1"/>
  <c r="L130" i="1"/>
  <c r="N130" i="1"/>
  <c r="O130" i="1"/>
  <c r="AA130" i="1"/>
  <c r="C131" i="1"/>
  <c r="E131" i="1"/>
  <c r="L131" i="1"/>
  <c r="C132" i="1"/>
  <c r="L132" i="1"/>
  <c r="C133" i="1"/>
  <c r="J133" i="1"/>
  <c r="K133" i="1"/>
  <c r="L133" i="1"/>
  <c r="N133" i="1"/>
  <c r="O133" i="1"/>
  <c r="AA133" i="1"/>
  <c r="C134" i="1"/>
  <c r="L134" i="1"/>
  <c r="C135" i="1"/>
  <c r="C136" i="1"/>
  <c r="E136" i="1"/>
  <c r="C137" i="1"/>
  <c r="L137" i="1"/>
  <c r="C138" i="1"/>
  <c r="L138" i="1"/>
  <c r="C139" i="1"/>
  <c r="E139" i="1"/>
  <c r="L139" i="1"/>
  <c r="C140" i="1"/>
  <c r="L140" i="1"/>
  <c r="N140" i="1"/>
  <c r="O140" i="1"/>
  <c r="AA140" i="1"/>
  <c r="C141" i="1"/>
  <c r="L141" i="1"/>
  <c r="C142" i="1"/>
  <c r="L142" i="1"/>
  <c r="C143" i="1"/>
  <c r="E143" i="1"/>
  <c r="C144" i="1"/>
  <c r="J144" i="1"/>
  <c r="K144" i="1"/>
  <c r="C145" i="1"/>
  <c r="C146" i="1"/>
  <c r="J146" i="1"/>
  <c r="K146" i="1"/>
  <c r="C147" i="1"/>
  <c r="L147" i="1"/>
  <c r="N147" i="1"/>
  <c r="O147" i="1"/>
  <c r="AA147" i="1"/>
  <c r="C148" i="1"/>
  <c r="J148" i="1"/>
  <c r="K148" i="1"/>
  <c r="L148" i="1"/>
  <c r="C149" i="1"/>
  <c r="J149" i="1"/>
  <c r="K149" i="1"/>
  <c r="L149" i="1"/>
  <c r="C150" i="1"/>
  <c r="N150" i="1"/>
  <c r="O150" i="1"/>
  <c r="AA150" i="1"/>
  <c r="L150" i="1"/>
  <c r="C151" i="1"/>
  <c r="L151" i="1"/>
  <c r="C152" i="1"/>
  <c r="J152" i="1"/>
  <c r="K152" i="1"/>
  <c r="L152" i="1"/>
  <c r="C153" i="1"/>
  <c r="L153" i="1"/>
  <c r="C154" i="1"/>
  <c r="J154" i="1"/>
  <c r="K154" i="1"/>
  <c r="L154" i="1"/>
  <c r="L155" i="1"/>
  <c r="L156" i="1"/>
  <c r="L157" i="1"/>
  <c r="C158" i="1"/>
  <c r="L158" i="1"/>
  <c r="N20" i="1"/>
  <c r="L21" i="1"/>
  <c r="L22" i="1"/>
  <c r="N22" i="1"/>
  <c r="L23" i="1"/>
  <c r="N23" i="1"/>
  <c r="O23" i="1"/>
  <c r="AA23" i="1"/>
  <c r="L24" i="1"/>
  <c r="L25" i="1"/>
  <c r="L26" i="1"/>
  <c r="L27" i="1"/>
  <c r="N27" i="1"/>
  <c r="L28" i="1"/>
  <c r="N28" i="1"/>
  <c r="O28" i="1"/>
  <c r="AA28" i="1"/>
  <c r="L29" i="1"/>
  <c r="N29" i="1"/>
  <c r="L30" i="1"/>
  <c r="N30" i="1"/>
  <c r="O30" i="1"/>
  <c r="AA30" i="1"/>
  <c r="F39" i="1"/>
  <c r="L31" i="1"/>
  <c r="N31" i="1"/>
  <c r="C43" i="1"/>
  <c r="L43" i="1"/>
  <c r="C44" i="1"/>
  <c r="E44" i="1"/>
  <c r="L44" i="1"/>
  <c r="C45" i="1"/>
  <c r="E45" i="1"/>
  <c r="L45" i="1"/>
  <c r="C108" i="1"/>
  <c r="L108" i="1"/>
  <c r="N108" i="1"/>
  <c r="O108" i="1"/>
  <c r="AA108" i="1"/>
  <c r="C109" i="1"/>
  <c r="J109" i="1"/>
  <c r="K109" i="1"/>
  <c r="L109" i="1"/>
  <c r="C110" i="1"/>
  <c r="J110" i="1"/>
  <c r="K110" i="1"/>
  <c r="L110" i="1"/>
  <c r="C111" i="1"/>
  <c r="J111" i="1"/>
  <c r="K111" i="1"/>
  <c r="L111" i="1"/>
  <c r="C46" i="1"/>
  <c r="E46" i="1"/>
  <c r="C47" i="1"/>
  <c r="J47" i="1"/>
  <c r="K47" i="1"/>
  <c r="E51" i="1"/>
  <c r="E52" i="1"/>
  <c r="E55" i="1"/>
  <c r="E60" i="1"/>
  <c r="E67" i="1"/>
  <c r="E83" i="1"/>
  <c r="E84" i="1"/>
  <c r="E92" i="1"/>
  <c r="C93" i="1"/>
  <c r="E93" i="1"/>
  <c r="C94" i="1"/>
  <c r="E94" i="1"/>
  <c r="C95" i="1"/>
  <c r="E95" i="1"/>
  <c r="C96" i="1"/>
  <c r="E96" i="1"/>
  <c r="C97" i="1"/>
  <c r="E97" i="1"/>
  <c r="C98" i="1"/>
  <c r="E98" i="1"/>
  <c r="C99" i="1"/>
  <c r="E99" i="1"/>
  <c r="C100" i="1"/>
  <c r="E100" i="1"/>
  <c r="C101" i="1"/>
  <c r="E101" i="1"/>
  <c r="C102" i="1"/>
  <c r="J102" i="1"/>
  <c r="K102" i="1"/>
  <c r="E102" i="1"/>
  <c r="E108" i="1"/>
  <c r="E111" i="1"/>
  <c r="C112" i="1"/>
  <c r="E115" i="1"/>
  <c r="E118" i="1"/>
  <c r="E126" i="1"/>
  <c r="E127" i="1"/>
  <c r="E130" i="1"/>
  <c r="E133" i="1"/>
  <c r="E134" i="1"/>
  <c r="E142" i="1"/>
  <c r="E147" i="1"/>
  <c r="E151" i="1"/>
  <c r="C159" i="1"/>
  <c r="N159" i="1"/>
  <c r="O159" i="1"/>
  <c r="C160" i="1"/>
  <c r="E160" i="1"/>
  <c r="C161" i="1"/>
  <c r="C162" i="1"/>
  <c r="E162" i="1"/>
  <c r="C163" i="1"/>
  <c r="E163" i="1"/>
  <c r="C164" i="1"/>
  <c r="E164" i="1"/>
  <c r="C165" i="1"/>
  <c r="C166" i="1"/>
  <c r="J166" i="1"/>
  <c r="K166" i="1"/>
  <c r="C167" i="1"/>
  <c r="E167" i="1"/>
  <c r="R11" i="1"/>
  <c r="R12" i="1"/>
  <c r="U11" i="1"/>
  <c r="F63" i="1"/>
  <c r="F54" i="1"/>
  <c r="L46" i="1"/>
  <c r="F46" i="1"/>
  <c r="L47" i="1"/>
  <c r="N47" i="1"/>
  <c r="F146" i="1"/>
  <c r="F144" i="1"/>
  <c r="F136" i="1"/>
  <c r="F129" i="1"/>
  <c r="J120" i="1"/>
  <c r="K120" i="1"/>
  <c r="F120" i="1"/>
  <c r="L112" i="1"/>
  <c r="F112" i="1"/>
  <c r="F143" i="1"/>
  <c r="F109" i="1"/>
  <c r="J77" i="1"/>
  <c r="K77" i="1"/>
  <c r="F77" i="1"/>
  <c r="B7" i="12"/>
  <c r="C7" i="12"/>
  <c r="C14" i="12"/>
  <c r="F7" i="12"/>
  <c r="H7" i="12"/>
  <c r="H14" i="12"/>
  <c r="I127" i="10"/>
  <c r="J127" i="10"/>
  <c r="K127" i="10"/>
  <c r="K129" i="10"/>
  <c r="L127" i="10"/>
  <c r="M127" i="10"/>
  <c r="N127" i="10"/>
  <c r="F127" i="10"/>
  <c r="F156" i="10"/>
  <c r="G127" i="10"/>
  <c r="H127" i="10"/>
  <c r="H156" i="10"/>
  <c r="L7" i="12"/>
  <c r="L14" i="12"/>
  <c r="P145" i="10"/>
  <c r="J7" i="12"/>
  <c r="F144" i="10"/>
  <c r="G144" i="10"/>
  <c r="H144" i="10"/>
  <c r="I144" i="10"/>
  <c r="J144" i="10"/>
  <c r="J162" i="10"/>
  <c r="J163" i="10"/>
  <c r="L144" i="10"/>
  <c r="M144" i="10"/>
  <c r="M162" i="10"/>
  <c r="M163" i="10"/>
  <c r="N144" i="10"/>
  <c r="P144" i="10"/>
  <c r="Q144" i="10"/>
  <c r="C8" i="12"/>
  <c r="F8" i="12"/>
  <c r="H8" i="12"/>
  <c r="J8" i="12"/>
  <c r="J142" i="1"/>
  <c r="K142" i="1"/>
  <c r="F142" i="1"/>
  <c r="F75" i="1"/>
  <c r="J134" i="1"/>
  <c r="K134" i="1"/>
  <c r="F134" i="1"/>
  <c r="J67" i="1"/>
  <c r="K67" i="1"/>
  <c r="F67" i="1"/>
  <c r="F127" i="1"/>
  <c r="J126" i="1"/>
  <c r="K126" i="1"/>
  <c r="F126" i="1"/>
  <c r="F61" i="1"/>
  <c r="J60" i="1"/>
  <c r="K60" i="1"/>
  <c r="F60" i="1"/>
  <c r="F59" i="1"/>
  <c r="F62" i="1"/>
  <c r="J62" i="1"/>
  <c r="K62" i="1"/>
  <c r="F119" i="1"/>
  <c r="F118" i="1"/>
  <c r="F117" i="1"/>
  <c r="F116" i="1"/>
  <c r="F53" i="1"/>
  <c r="F52" i="1"/>
  <c r="F51" i="1"/>
  <c r="F50" i="1"/>
  <c r="F115" i="1"/>
  <c r="F49" i="1"/>
  <c r="Q43" i="10"/>
  <c r="P52" i="10"/>
  <c r="H43" i="10"/>
  <c r="J155" i="1"/>
  <c r="K155" i="1"/>
  <c r="F92" i="1"/>
  <c r="J92" i="1"/>
  <c r="K92" i="1"/>
  <c r="F158" i="1"/>
  <c r="J158" i="1"/>
  <c r="K158" i="1"/>
  <c r="J55" i="1"/>
  <c r="K55" i="1"/>
  <c r="J57" i="1"/>
  <c r="J58" i="1"/>
  <c r="K58" i="1"/>
  <c r="J72" i="1"/>
  <c r="K72" i="1"/>
  <c r="J73" i="1"/>
  <c r="K73" i="1"/>
  <c r="J82" i="1"/>
  <c r="K82" i="1"/>
  <c r="J83" i="1"/>
  <c r="K83" i="1"/>
  <c r="J84" i="1"/>
  <c r="K84" i="1"/>
  <c r="J85" i="1"/>
  <c r="J89" i="1"/>
  <c r="K89" i="1"/>
  <c r="J121" i="1"/>
  <c r="K121" i="1"/>
  <c r="J130" i="1"/>
  <c r="K130" i="1"/>
  <c r="J132" i="1"/>
  <c r="K132" i="1"/>
  <c r="J135" i="1"/>
  <c r="K135" i="1"/>
  <c r="J140" i="1"/>
  <c r="K140" i="1"/>
  <c r="J147" i="1"/>
  <c r="K147" i="1"/>
  <c r="J151" i="1"/>
  <c r="K151" i="1"/>
  <c r="J97" i="1"/>
  <c r="K97" i="1"/>
  <c r="J99" i="1"/>
  <c r="K99" i="1"/>
  <c r="J100" i="1"/>
  <c r="K100" i="1"/>
  <c r="J101" i="1"/>
  <c r="K101" i="1"/>
  <c r="J108" i="1"/>
  <c r="K108" i="1"/>
  <c r="J20" i="1"/>
  <c r="K20" i="1"/>
  <c r="J21" i="1"/>
  <c r="K21" i="1"/>
  <c r="J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 s="1"/>
  <c r="J32" i="1"/>
  <c r="K32" i="1"/>
  <c r="J33" i="1"/>
  <c r="K33" i="1"/>
  <c r="J34" i="1"/>
  <c r="J35" i="1"/>
  <c r="K35" i="1"/>
  <c r="J36" i="1"/>
  <c r="R58" i="10"/>
  <c r="J160" i="1"/>
  <c r="K160" i="1"/>
  <c r="J163" i="1"/>
  <c r="K163" i="1"/>
  <c r="J164" i="1"/>
  <c r="K164" i="1"/>
  <c r="L159" i="1"/>
  <c r="L160" i="1"/>
  <c r="N160" i="1"/>
  <c r="O160" i="1"/>
  <c r="L161" i="1"/>
  <c r="L162" i="1"/>
  <c r="L163" i="1"/>
  <c r="L164" i="1"/>
  <c r="N164" i="1"/>
  <c r="O164" i="1"/>
  <c r="L165" i="1"/>
  <c r="L166" i="1"/>
  <c r="L102" i="1"/>
  <c r="L101" i="1"/>
  <c r="L100" i="1"/>
  <c r="N100" i="1"/>
  <c r="L99" i="1"/>
  <c r="N99" i="1"/>
  <c r="L98" i="1"/>
  <c r="L97" i="1"/>
  <c r="L96" i="1"/>
  <c r="L95" i="1"/>
  <c r="L94" i="1"/>
  <c r="L93" i="1"/>
  <c r="K22" i="1"/>
  <c r="K34" i="1"/>
  <c r="K36" i="1"/>
  <c r="K57" i="1"/>
  <c r="K85" i="1"/>
  <c r="F43" i="1"/>
  <c r="F44" i="1"/>
  <c r="F45" i="1"/>
  <c r="F108" i="1"/>
  <c r="F110" i="1"/>
  <c r="F111" i="1"/>
  <c r="F48" i="1"/>
  <c r="F55" i="1"/>
  <c r="F56" i="1"/>
  <c r="F57" i="1"/>
  <c r="F58" i="1"/>
  <c r="F64" i="1"/>
  <c r="F65" i="1"/>
  <c r="F66" i="1"/>
  <c r="F68" i="1"/>
  <c r="F69" i="1"/>
  <c r="F71" i="1"/>
  <c r="F72" i="1"/>
  <c r="F73" i="1"/>
  <c r="F74" i="1"/>
  <c r="F76" i="1"/>
  <c r="F79" i="1"/>
  <c r="F81" i="1"/>
  <c r="F82" i="1"/>
  <c r="F83" i="1"/>
  <c r="F84" i="1"/>
  <c r="F113" i="1"/>
  <c r="F114" i="1"/>
  <c r="F121" i="1"/>
  <c r="F122" i="1"/>
  <c r="F123" i="1"/>
  <c r="F124" i="1"/>
  <c r="F125" i="1"/>
  <c r="F128" i="1"/>
  <c r="F130" i="1"/>
  <c r="F131" i="1"/>
  <c r="F132" i="1"/>
  <c r="F133" i="1"/>
  <c r="F135" i="1"/>
  <c r="F137" i="1"/>
  <c r="F138" i="1"/>
  <c r="F139" i="1"/>
  <c r="F140" i="1"/>
  <c r="F141" i="1"/>
  <c r="F145" i="1"/>
  <c r="F147" i="1"/>
  <c r="F47" i="1"/>
  <c r="F85" i="1"/>
  <c r="F86" i="1"/>
  <c r="F87" i="1"/>
  <c r="F88" i="1"/>
  <c r="F89" i="1"/>
  <c r="F90" i="1"/>
  <c r="F91" i="1"/>
  <c r="F93" i="1"/>
  <c r="F94" i="1"/>
  <c r="F95" i="1"/>
  <c r="F96" i="1"/>
  <c r="F97" i="1"/>
  <c r="F98" i="1"/>
  <c r="F99" i="1"/>
  <c r="F100" i="1"/>
  <c r="F101" i="1"/>
  <c r="F102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F163" i="1"/>
  <c r="F164" i="1"/>
  <c r="F165" i="1"/>
  <c r="F166" i="1"/>
  <c r="M174" i="1"/>
  <c r="N101" i="1"/>
  <c r="R46" i="10"/>
  <c r="R69" i="10"/>
  <c r="R70" i="10"/>
  <c r="L39" i="1"/>
  <c r="F8" i="1"/>
  <c r="G119" i="10"/>
  <c r="G151" i="10"/>
  <c r="H119" i="10"/>
  <c r="I119" i="10"/>
  <c r="I151" i="10"/>
  <c r="J119" i="10"/>
  <c r="K119" i="10"/>
  <c r="K151" i="10"/>
  <c r="L119" i="10"/>
  <c r="M119" i="10"/>
  <c r="N119" i="10"/>
  <c r="O119" i="10"/>
  <c r="O151" i="10"/>
  <c r="P119" i="10"/>
  <c r="Q119" i="10"/>
  <c r="Q151" i="10"/>
  <c r="O127" i="10"/>
  <c r="O156" i="10"/>
  <c r="P127" i="10"/>
  <c r="Q127" i="10"/>
  <c r="B9" i="11"/>
  <c r="B14" i="11"/>
  <c r="B27" i="11"/>
  <c r="B28" i="11"/>
  <c r="C14" i="11"/>
  <c r="C9" i="11"/>
  <c r="D9" i="11"/>
  <c r="D14" i="11"/>
  <c r="H137" i="10"/>
  <c r="H158" i="10"/>
  <c r="E9" i="11"/>
  <c r="E14" i="11"/>
  <c r="F14" i="11"/>
  <c r="O14" i="11"/>
  <c r="O13" i="11"/>
  <c r="F9" i="11"/>
  <c r="G9" i="11"/>
  <c r="G14" i="11"/>
  <c r="H9" i="11"/>
  <c r="H14" i="11"/>
  <c r="I9" i="11"/>
  <c r="I14" i="11"/>
  <c r="I19" i="11"/>
  <c r="I24" i="11"/>
  <c r="I27" i="11"/>
  <c r="I28" i="11"/>
  <c r="J9" i="11"/>
  <c r="J24" i="11"/>
  <c r="J23" i="11"/>
  <c r="J14" i="11"/>
  <c r="J19" i="11"/>
  <c r="K19" i="11"/>
  <c r="K9" i="11"/>
  <c r="K14" i="11"/>
  <c r="K24" i="11"/>
  <c r="K23" i="11"/>
  <c r="L19" i="11"/>
  <c r="L24" i="11"/>
  <c r="L23" i="11"/>
  <c r="L14" i="11"/>
  <c r="L9" i="11"/>
  <c r="P137" i="10"/>
  <c r="M19" i="11"/>
  <c r="M9" i="11"/>
  <c r="M14" i="11"/>
  <c r="F132" i="10"/>
  <c r="F157" i="10"/>
  <c r="G132" i="10"/>
  <c r="H132" i="10"/>
  <c r="I132" i="10"/>
  <c r="J132" i="10"/>
  <c r="J157" i="10"/>
  <c r="K132" i="10"/>
  <c r="L132" i="10"/>
  <c r="M132" i="10"/>
  <c r="N132" i="10"/>
  <c r="N157" i="10"/>
  <c r="O132" i="10"/>
  <c r="P132" i="10"/>
  <c r="Q132" i="10"/>
  <c r="G121" i="10"/>
  <c r="G152" i="10"/>
  <c r="H121" i="10"/>
  <c r="I121" i="10"/>
  <c r="J121" i="10"/>
  <c r="K121" i="10"/>
  <c r="K152" i="10"/>
  <c r="L121" i="10"/>
  <c r="M121" i="10"/>
  <c r="N121" i="10"/>
  <c r="O121" i="10"/>
  <c r="O152" i="10"/>
  <c r="P121" i="10"/>
  <c r="Q121" i="10"/>
  <c r="R41" i="10"/>
  <c r="F128" i="10"/>
  <c r="G128" i="10"/>
  <c r="G129" i="10"/>
  <c r="H128" i="10"/>
  <c r="J128" i="10"/>
  <c r="K128" i="10"/>
  <c r="L128" i="10"/>
  <c r="L129" i="10"/>
  <c r="M128" i="10"/>
  <c r="N128" i="10"/>
  <c r="N129" i="10"/>
  <c r="O128" i="10"/>
  <c r="O129" i="10"/>
  <c r="P128" i="10"/>
  <c r="P129" i="10"/>
  <c r="Q128" i="10"/>
  <c r="Q129" i="10"/>
  <c r="F133" i="10"/>
  <c r="F134" i="10"/>
  <c r="G133" i="10"/>
  <c r="H133" i="10"/>
  <c r="H134" i="10"/>
  <c r="I133" i="10"/>
  <c r="J133" i="10"/>
  <c r="J134" i="10"/>
  <c r="K133" i="10"/>
  <c r="K134" i="10"/>
  <c r="L133" i="10"/>
  <c r="M133" i="10"/>
  <c r="M134" i="10"/>
  <c r="N133" i="10"/>
  <c r="N134" i="10"/>
  <c r="O133" i="10"/>
  <c r="O134" i="10"/>
  <c r="P133" i="10"/>
  <c r="P134" i="10"/>
  <c r="Q133" i="10"/>
  <c r="Q134" i="10"/>
  <c r="F120" i="10"/>
  <c r="G120" i="10"/>
  <c r="H120" i="10"/>
  <c r="I51" i="10"/>
  <c r="I54" i="10"/>
  <c r="J120" i="10"/>
  <c r="K120" i="10"/>
  <c r="L120" i="10"/>
  <c r="M51" i="10"/>
  <c r="N120" i="10"/>
  <c r="O120" i="10"/>
  <c r="P51" i="10"/>
  <c r="P120" i="10"/>
  <c r="Q51" i="10"/>
  <c r="R26" i="10"/>
  <c r="G122" i="10"/>
  <c r="H122" i="10"/>
  <c r="I122" i="10"/>
  <c r="J122" i="10"/>
  <c r="K122" i="10"/>
  <c r="L122" i="10"/>
  <c r="M122" i="10"/>
  <c r="N122" i="10"/>
  <c r="O122" i="10"/>
  <c r="P122" i="10"/>
  <c r="Q122" i="10"/>
  <c r="R108" i="10"/>
  <c r="B26" i="11"/>
  <c r="H19" i="11"/>
  <c r="H24" i="11"/>
  <c r="G19" i="11"/>
  <c r="F19" i="11"/>
  <c r="E19" i="11"/>
  <c r="D19" i="11"/>
  <c r="C19" i="11"/>
  <c r="B19" i="11"/>
  <c r="O17" i="11"/>
  <c r="F5" i="1"/>
  <c r="F6" i="1"/>
  <c r="G7" i="10"/>
  <c r="H7" i="10"/>
  <c r="R12" i="10"/>
  <c r="R13" i="10"/>
  <c r="R14" i="10"/>
  <c r="G15" i="10"/>
  <c r="H15" i="10"/>
  <c r="I15" i="10"/>
  <c r="I16" i="10"/>
  <c r="I17" i="10"/>
  <c r="J15" i="10"/>
  <c r="J16" i="10"/>
  <c r="J17" i="10"/>
  <c r="K15" i="10"/>
  <c r="K16" i="10"/>
  <c r="K17" i="10"/>
  <c r="L15" i="10"/>
  <c r="M15" i="10"/>
  <c r="N15" i="10"/>
  <c r="O15" i="10"/>
  <c r="O16" i="10"/>
  <c r="O17" i="10"/>
  <c r="P15" i="10"/>
  <c r="Q15" i="10"/>
  <c r="F51" i="10"/>
  <c r="F52" i="10"/>
  <c r="F53" i="10"/>
  <c r="G52" i="10"/>
  <c r="G53" i="10"/>
  <c r="H52" i="10"/>
  <c r="H53" i="10"/>
  <c r="I52" i="10"/>
  <c r="I53" i="10"/>
  <c r="J51" i="10"/>
  <c r="J52" i="10"/>
  <c r="J53" i="10"/>
  <c r="K52" i="10"/>
  <c r="K53" i="10"/>
  <c r="L51" i="10"/>
  <c r="L52" i="10"/>
  <c r="L53" i="10"/>
  <c r="M52" i="10"/>
  <c r="M54" i="10"/>
  <c r="M16" i="10"/>
  <c r="M17" i="10"/>
  <c r="M53" i="10"/>
  <c r="N51" i="10"/>
  <c r="N52" i="10"/>
  <c r="N53" i="10"/>
  <c r="O52" i="10"/>
  <c r="O53" i="10"/>
  <c r="P53" i="10"/>
  <c r="Q52" i="10"/>
  <c r="Q53" i="10"/>
  <c r="R23" i="10"/>
  <c r="R25" i="10"/>
  <c r="R59" i="10"/>
  <c r="R60" i="10"/>
  <c r="R27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36" i="10"/>
  <c r="R40" i="10"/>
  <c r="R65" i="10"/>
  <c r="F43" i="10"/>
  <c r="G43" i="10"/>
  <c r="J43" i="10"/>
  <c r="K43" i="10"/>
  <c r="L43" i="10"/>
  <c r="M43" i="10"/>
  <c r="N43" i="10"/>
  <c r="O43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F59" i="10"/>
  <c r="G59" i="10"/>
  <c r="H59" i="10"/>
  <c r="I59" i="10"/>
  <c r="I60" i="10"/>
  <c r="J59" i="10"/>
  <c r="K59" i="10"/>
  <c r="K60" i="10"/>
  <c r="L59" i="10"/>
  <c r="M59" i="10"/>
  <c r="N59" i="10"/>
  <c r="O59" i="10"/>
  <c r="O60" i="10"/>
  <c r="P59" i="10"/>
  <c r="Q59" i="10"/>
  <c r="F60" i="10"/>
  <c r="G60" i="10"/>
  <c r="J60" i="10"/>
  <c r="M60" i="10"/>
  <c r="N60" i="10"/>
  <c r="Q60" i="10"/>
  <c r="F63" i="10"/>
  <c r="G63" i="10"/>
  <c r="H63" i="10"/>
  <c r="I63" i="10"/>
  <c r="J63" i="10"/>
  <c r="K63" i="10"/>
  <c r="L63" i="10"/>
  <c r="M63" i="10"/>
  <c r="M66" i="10"/>
  <c r="N63" i="10"/>
  <c r="O63" i="10"/>
  <c r="P63" i="10"/>
  <c r="Q63" i="10"/>
  <c r="F64" i="10"/>
  <c r="G64" i="10"/>
  <c r="H64" i="10"/>
  <c r="I64" i="10"/>
  <c r="J64" i="10"/>
  <c r="J66" i="10"/>
  <c r="K64" i="10"/>
  <c r="L64" i="10"/>
  <c r="M64" i="10"/>
  <c r="N64" i="10"/>
  <c r="N66" i="10"/>
  <c r="O64" i="10"/>
  <c r="P64" i="10"/>
  <c r="Q64" i="10"/>
  <c r="R64" i="10"/>
  <c r="F65" i="10"/>
  <c r="G65" i="10"/>
  <c r="H65" i="10"/>
  <c r="I65" i="10"/>
  <c r="J65" i="10"/>
  <c r="K65" i="10"/>
  <c r="K66" i="10"/>
  <c r="L65" i="10"/>
  <c r="M65" i="10"/>
  <c r="N65" i="10"/>
  <c r="O65" i="10"/>
  <c r="P65" i="10"/>
  <c r="Q65" i="10"/>
  <c r="G66" i="10"/>
  <c r="H66" i="10"/>
  <c r="O66" i="10"/>
  <c r="F69" i="10"/>
  <c r="F70" i="10"/>
  <c r="G69" i="10"/>
  <c r="G70" i="10"/>
  <c r="I69" i="10"/>
  <c r="J69" i="10"/>
  <c r="J70" i="10"/>
  <c r="K69" i="10"/>
  <c r="K70" i="10"/>
  <c r="L69" i="10"/>
  <c r="M69" i="10"/>
  <c r="N69" i="10"/>
  <c r="N70" i="10"/>
  <c r="O69" i="10"/>
  <c r="O70" i="10"/>
  <c r="P69" i="10"/>
  <c r="P70" i="10"/>
  <c r="Q69" i="10"/>
  <c r="I70" i="10"/>
  <c r="L70" i="10"/>
  <c r="M70" i="10"/>
  <c r="Q70" i="10"/>
  <c r="R78" i="10"/>
  <c r="R79" i="10"/>
  <c r="R80" i="10"/>
  <c r="R81" i="10"/>
  <c r="R82" i="10"/>
  <c r="R87" i="10"/>
  <c r="R88" i="10"/>
  <c r="R91" i="10"/>
  <c r="R92" i="10"/>
  <c r="R101" i="10"/>
  <c r="H151" i="10"/>
  <c r="L151" i="10"/>
  <c r="M151" i="10"/>
  <c r="P151" i="10"/>
  <c r="F152" i="10"/>
  <c r="H152" i="10"/>
  <c r="H153" i="10"/>
  <c r="I152" i="10"/>
  <c r="J152" i="10"/>
  <c r="L152" i="10"/>
  <c r="L153" i="10"/>
  <c r="M152" i="10"/>
  <c r="N152" i="10"/>
  <c r="P152" i="10"/>
  <c r="P153" i="10"/>
  <c r="Q152" i="10"/>
  <c r="M153" i="10"/>
  <c r="G156" i="10"/>
  <c r="I156" i="10"/>
  <c r="L156" i="10"/>
  <c r="M156" i="10"/>
  <c r="M159" i="10"/>
  <c r="N156" i="10"/>
  <c r="P156" i="10"/>
  <c r="Q156" i="10"/>
  <c r="G157" i="10"/>
  <c r="H157" i="10"/>
  <c r="K157" i="10"/>
  <c r="L157" i="10"/>
  <c r="M157" i="10"/>
  <c r="O157" i="10"/>
  <c r="P157" i="10"/>
  <c r="Q157" i="10"/>
  <c r="F162" i="10"/>
  <c r="F163" i="10"/>
  <c r="G162" i="10"/>
  <c r="H162" i="10"/>
  <c r="H163" i="10"/>
  <c r="I162" i="10"/>
  <c r="I163" i="10"/>
  <c r="L162" i="10"/>
  <c r="L163" i="10"/>
  <c r="P162" i="10"/>
  <c r="P163" i="10"/>
  <c r="Q162" i="10"/>
  <c r="G163" i="10"/>
  <c r="Q163" i="10"/>
  <c r="B5" i="11"/>
  <c r="O7" i="11"/>
  <c r="O12" i="11"/>
  <c r="C26" i="11"/>
  <c r="C27" i="11"/>
  <c r="C28" i="11"/>
  <c r="D26" i="11"/>
  <c r="D27" i="11"/>
  <c r="D28" i="11"/>
  <c r="E26" i="11"/>
  <c r="F26" i="11"/>
  <c r="F27" i="11"/>
  <c r="F28" i="11"/>
  <c r="G26" i="11"/>
  <c r="G27" i="11"/>
  <c r="G28" i="11"/>
  <c r="H26" i="11"/>
  <c r="H27" i="11"/>
  <c r="H28" i="11"/>
  <c r="I26" i="11"/>
  <c r="J26" i="11"/>
  <c r="K26" i="11"/>
  <c r="K27" i="11"/>
  <c r="K28" i="11"/>
  <c r="L26" i="11"/>
  <c r="L27" i="11"/>
  <c r="L28" i="11"/>
  <c r="M26" i="11"/>
  <c r="M27" i="11"/>
  <c r="M28" i="11"/>
  <c r="E27" i="11"/>
  <c r="E28" i="11"/>
  <c r="B4" i="12"/>
  <c r="K137" i="10"/>
  <c r="K138" i="10"/>
  <c r="I128" i="10"/>
  <c r="I129" i="10"/>
  <c r="G137" i="10"/>
  <c r="G138" i="10"/>
  <c r="I137" i="10"/>
  <c r="L6" i="1"/>
  <c r="N137" i="10"/>
  <c r="N138" i="10"/>
  <c r="N139" i="10"/>
  <c r="Q66" i="10"/>
  <c r="Q72" i="10"/>
  <c r="L60" i="10"/>
  <c r="P158" i="10"/>
  <c r="P159" i="10"/>
  <c r="O22" i="11"/>
  <c r="R22" i="10"/>
  <c r="R121" i="10"/>
  <c r="R152" i="10"/>
  <c r="L144" i="1"/>
  <c r="E80" i="1"/>
  <c r="I43" i="10"/>
  <c r="G51" i="10"/>
  <c r="G54" i="10"/>
  <c r="G16" i="10"/>
  <c r="Q120" i="10"/>
  <c r="M120" i="10"/>
  <c r="I120" i="10"/>
  <c r="H138" i="10"/>
  <c r="H139" i="10"/>
  <c r="J27" i="11"/>
  <c r="J28" i="11"/>
  <c r="N163" i="1"/>
  <c r="O163" i="1"/>
  <c r="L8" i="12"/>
  <c r="P60" i="10"/>
  <c r="H60" i="10"/>
  <c r="N151" i="10"/>
  <c r="N153" i="10"/>
  <c r="J151" i="10"/>
  <c r="J153" i="10"/>
  <c r="F151" i="10"/>
  <c r="F153" i="10"/>
  <c r="P43" i="10"/>
  <c r="E8" i="12"/>
  <c r="K144" i="10"/>
  <c r="G7" i="12"/>
  <c r="K7" i="12"/>
  <c r="O144" i="10"/>
  <c r="O162" i="10"/>
  <c r="O163" i="10"/>
  <c r="D7" i="12"/>
  <c r="H69" i="10"/>
  <c r="H70" i="10"/>
  <c r="H51" i="10"/>
  <c r="H54" i="10"/>
  <c r="I8" i="12"/>
  <c r="E145" i="1"/>
  <c r="E124" i="1"/>
  <c r="J124" i="1"/>
  <c r="K124" i="1"/>
  <c r="E121" i="1"/>
  <c r="E116" i="1"/>
  <c r="P138" i="10"/>
  <c r="M24" i="11"/>
  <c r="M23" i="11"/>
  <c r="M8" i="12"/>
  <c r="E166" i="1"/>
  <c r="N26" i="1"/>
  <c r="J98" i="1"/>
  <c r="K98" i="1"/>
  <c r="N71" i="1"/>
  <c r="B8" i="12"/>
  <c r="E146" i="1"/>
  <c r="E85" i="1"/>
  <c r="E82" i="1"/>
  <c r="E68" i="1"/>
  <c r="L62" i="1"/>
  <c r="E62" i="1"/>
  <c r="E7" i="12"/>
  <c r="E152" i="1"/>
  <c r="E140" i="1"/>
  <c r="N70" i="1"/>
  <c r="N46" i="1"/>
  <c r="E57" i="1"/>
  <c r="N24" i="1"/>
  <c r="E120" i="1"/>
  <c r="N120" i="1"/>
  <c r="O120" i="1"/>
  <c r="E79" i="1"/>
  <c r="L63" i="1"/>
  <c r="N155" i="1"/>
  <c r="O155" i="1"/>
  <c r="E155" i="1"/>
  <c r="N136" i="1"/>
  <c r="M7" i="12"/>
  <c r="I7" i="12"/>
  <c r="N25" i="1"/>
  <c r="N21" i="1"/>
  <c r="O21" i="1"/>
  <c r="AA21" i="1"/>
  <c r="E78" i="1"/>
  <c r="E69" i="1"/>
  <c r="N157" i="1"/>
  <c r="O157" i="1"/>
  <c r="AA157" i="1"/>
  <c r="N53" i="1"/>
  <c r="N77" i="1"/>
  <c r="Q137" i="10"/>
  <c r="Q138" i="10"/>
  <c r="Q139" i="10"/>
  <c r="L137" i="10"/>
  <c r="L139" i="10"/>
  <c r="L138" i="10"/>
  <c r="K158" i="10"/>
  <c r="K139" i="10"/>
  <c r="K162" i="10"/>
  <c r="K163" i="10"/>
  <c r="G158" i="10"/>
  <c r="G139" i="10"/>
  <c r="D8" i="12"/>
  <c r="R47" i="10"/>
  <c r="R48" i="10"/>
  <c r="S46" i="10"/>
  <c r="K8" i="12"/>
  <c r="O51" i="10"/>
  <c r="G8" i="12"/>
  <c r="O138" i="10"/>
  <c r="O139" i="10"/>
  <c r="O137" i="10"/>
  <c r="J138" i="10"/>
  <c r="J137" i="10"/>
  <c r="J158" i="10"/>
  <c r="K51" i="10"/>
  <c r="N158" i="10"/>
  <c r="G14" i="12"/>
  <c r="K145" i="10"/>
  <c r="K146" i="10"/>
  <c r="K113" i="10"/>
  <c r="M137" i="10"/>
  <c r="M138" i="10"/>
  <c r="M139" i="10"/>
  <c r="K14" i="12"/>
  <c r="O145" i="10"/>
  <c r="M14" i="12"/>
  <c r="Q145" i="10"/>
  <c r="Q146" i="10"/>
  <c r="Q113" i="10"/>
  <c r="Q158" i="10"/>
  <c r="Q159" i="10"/>
  <c r="M158" i="10"/>
  <c r="O158" i="10"/>
  <c r="F137" i="10"/>
  <c r="F139" i="10"/>
  <c r="F138" i="10"/>
  <c r="O19" i="11"/>
  <c r="D24" i="11"/>
  <c r="B24" i="11"/>
  <c r="H23" i="11"/>
  <c r="G24" i="11"/>
  <c r="G23" i="11"/>
  <c r="B23" i="11"/>
  <c r="I23" i="11"/>
  <c r="D23" i="11"/>
  <c r="C24" i="11"/>
  <c r="C23" i="11"/>
  <c r="F24" i="11"/>
  <c r="F23" i="11"/>
  <c r="E24" i="11"/>
  <c r="E23" i="11"/>
  <c r="O9" i="11"/>
  <c r="O8" i="11"/>
  <c r="F14" i="12"/>
  <c r="J145" i="10"/>
  <c r="J146" i="10"/>
  <c r="J113" i="10"/>
  <c r="P146" i="10"/>
  <c r="P113" i="10"/>
  <c r="O146" i="10"/>
  <c r="O113" i="10"/>
  <c r="J14" i="12"/>
  <c r="N145" i="10"/>
  <c r="N146" i="10"/>
  <c r="N113" i="10"/>
  <c r="I14" i="12"/>
  <c r="M145" i="10"/>
  <c r="M146" i="10"/>
  <c r="M113" i="10"/>
  <c r="R144" i="10"/>
  <c r="R162" i="10"/>
  <c r="R163" i="10"/>
  <c r="J139" i="10"/>
  <c r="F158" i="10"/>
  <c r="G159" i="10"/>
  <c r="G165" i="10"/>
  <c r="P139" i="10"/>
  <c r="G153" i="10"/>
  <c r="K153" i="10"/>
  <c r="Q153" i="10"/>
  <c r="I153" i="10"/>
  <c r="O153" i="10"/>
  <c r="I134" i="10"/>
  <c r="N159" i="10"/>
  <c r="M123" i="10"/>
  <c r="M111" i="10"/>
  <c r="G123" i="10"/>
  <c r="G111" i="10"/>
  <c r="E14" i="12"/>
  <c r="I145" i="10"/>
  <c r="I146" i="10"/>
  <c r="I113" i="10"/>
  <c r="G145" i="10"/>
  <c r="G146" i="10"/>
  <c r="G113" i="10"/>
  <c r="D14" i="12"/>
  <c r="H145" i="10"/>
  <c r="H146" i="10"/>
  <c r="H113" i="10"/>
  <c r="B14" i="12"/>
  <c r="L145" i="10"/>
  <c r="L146" i="10"/>
  <c r="L113" i="10"/>
  <c r="H72" i="10"/>
  <c r="S47" i="10"/>
  <c r="N162" i="10"/>
  <c r="N163" i="10"/>
  <c r="M165" i="10"/>
  <c r="N72" i="10"/>
  <c r="J72" i="10"/>
  <c r="L54" i="10"/>
  <c r="L16" i="10"/>
  <c r="L17" i="10"/>
  <c r="L158" i="10"/>
  <c r="L159" i="10"/>
  <c r="L165" i="10"/>
  <c r="I158" i="10"/>
  <c r="R42" i="10"/>
  <c r="R53" i="10"/>
  <c r="I66" i="10"/>
  <c r="F159" i="10"/>
  <c r="F165" i="10"/>
  <c r="R137" i="10"/>
  <c r="I138" i="10"/>
  <c r="I139" i="10"/>
  <c r="P66" i="10"/>
  <c r="L66" i="10"/>
  <c r="L72" i="10"/>
  <c r="O54" i="10"/>
  <c r="F54" i="10"/>
  <c r="F16" i="10"/>
  <c r="F17" i="10"/>
  <c r="L134" i="10"/>
  <c r="R133" i="10"/>
  <c r="G134" i="10"/>
  <c r="K141" i="10"/>
  <c r="K112" i="10"/>
  <c r="S43" i="10"/>
  <c r="F66" i="10"/>
  <c r="F72" i="10"/>
  <c r="N141" i="10"/>
  <c r="N112" i="10"/>
  <c r="O159" i="10"/>
  <c r="O165" i="10"/>
  <c r="O141" i="10"/>
  <c r="O112" i="10"/>
  <c r="P165" i="10"/>
  <c r="G72" i="10"/>
  <c r="O72" i="10"/>
  <c r="K72" i="10"/>
  <c r="Q141" i="10"/>
  <c r="Q112" i="10"/>
  <c r="R132" i="10"/>
  <c r="H159" i="10"/>
  <c r="H165" i="10"/>
  <c r="I157" i="10"/>
  <c r="R37" i="10"/>
  <c r="P141" i="10"/>
  <c r="P112" i="10"/>
  <c r="L141" i="10"/>
  <c r="L112" i="10"/>
  <c r="G141" i="10"/>
  <c r="G112" i="10"/>
  <c r="R28" i="10"/>
  <c r="I123" i="10"/>
  <c r="I111" i="10"/>
  <c r="R120" i="10"/>
  <c r="P72" i="10"/>
  <c r="Q123" i="10"/>
  <c r="Q111" i="10"/>
  <c r="P123" i="10"/>
  <c r="P111" i="10"/>
  <c r="P114" i="10"/>
  <c r="P115" i="10"/>
  <c r="P116" i="10"/>
  <c r="R119" i="10"/>
  <c r="R151" i="10"/>
  <c r="R153" i="10"/>
  <c r="P54" i="10"/>
  <c r="P16" i="10"/>
  <c r="P17" i="10"/>
  <c r="O123" i="10"/>
  <c r="O111" i="10"/>
  <c r="K123" i="10"/>
  <c r="K111" i="10"/>
  <c r="J54" i="10"/>
  <c r="Q54" i="10"/>
  <c r="Q16" i="10"/>
  <c r="Q17" i="10"/>
  <c r="K54" i="10"/>
  <c r="N54" i="10"/>
  <c r="N16" i="10"/>
  <c r="N17" i="10"/>
  <c r="J123" i="10"/>
  <c r="J111" i="10"/>
  <c r="L123" i="10"/>
  <c r="L111" i="10"/>
  <c r="H123" i="10"/>
  <c r="H111" i="10"/>
  <c r="N123" i="10"/>
  <c r="N111" i="10"/>
  <c r="M72" i="10"/>
  <c r="I72" i="10"/>
  <c r="F122" i="10"/>
  <c r="Q165" i="10"/>
  <c r="K156" i="10"/>
  <c r="K159" i="10"/>
  <c r="K165" i="10"/>
  <c r="H16" i="10"/>
  <c r="H17" i="10"/>
  <c r="R66" i="10"/>
  <c r="R72" i="10"/>
  <c r="L5" i="1"/>
  <c r="L7" i="1"/>
  <c r="J129" i="10"/>
  <c r="J141" i="10"/>
  <c r="J112" i="10"/>
  <c r="R128" i="10"/>
  <c r="F129" i="10"/>
  <c r="F141" i="10"/>
  <c r="F112" i="10"/>
  <c r="M129" i="10"/>
  <c r="M141" i="10"/>
  <c r="M112" i="10"/>
  <c r="R33" i="10"/>
  <c r="H129" i="10"/>
  <c r="H141" i="10"/>
  <c r="H112" i="10"/>
  <c r="R127" i="10"/>
  <c r="J156" i="10"/>
  <c r="J159" i="10"/>
  <c r="J165" i="10"/>
  <c r="D5" i="11"/>
  <c r="I7" i="10"/>
  <c r="D4" i="12"/>
  <c r="C5" i="11"/>
  <c r="C4" i="12"/>
  <c r="G17" i="10"/>
  <c r="E110" i="1"/>
  <c r="E66" i="1"/>
  <c r="E65" i="1"/>
  <c r="N48" i="1"/>
  <c r="E47" i="1"/>
  <c r="J52" i="1"/>
  <c r="K52" i="1"/>
  <c r="O24" i="11"/>
  <c r="O23" i="11"/>
  <c r="R95" i="10"/>
  <c r="R96" i="10"/>
  <c r="G114" i="10"/>
  <c r="G115" i="10"/>
  <c r="G116" i="10"/>
  <c r="N165" i="10"/>
  <c r="M114" i="10"/>
  <c r="M115" i="10"/>
  <c r="M116" i="10"/>
  <c r="I141" i="10"/>
  <c r="I112" i="10"/>
  <c r="I114" i="10"/>
  <c r="I115" i="10"/>
  <c r="I116" i="10"/>
  <c r="Q114" i="10"/>
  <c r="Q115" i="10"/>
  <c r="Q116" i="10"/>
  <c r="N114" i="10"/>
  <c r="N115" i="10"/>
  <c r="N116" i="10"/>
  <c r="R102" i="10"/>
  <c r="F145" i="10"/>
  <c r="J114" i="10"/>
  <c r="J115" i="10"/>
  <c r="J116" i="10"/>
  <c r="S40" i="10"/>
  <c r="S41" i="10"/>
  <c r="R138" i="10"/>
  <c r="R139" i="10"/>
  <c r="I159" i="10"/>
  <c r="I165" i="10"/>
  <c r="R158" i="10"/>
  <c r="K114" i="10"/>
  <c r="K115" i="10"/>
  <c r="K116" i="10"/>
  <c r="L114" i="10"/>
  <c r="L115" i="10"/>
  <c r="L116" i="10"/>
  <c r="O114" i="10"/>
  <c r="O115" i="10"/>
  <c r="O116" i="10"/>
  <c r="R157" i="10"/>
  <c r="R134" i="10"/>
  <c r="R38" i="10"/>
  <c r="S37" i="10"/>
  <c r="H114" i="10"/>
  <c r="H115" i="10"/>
  <c r="H116" i="10"/>
  <c r="R122" i="10"/>
  <c r="R123" i="10"/>
  <c r="R111" i="10"/>
  <c r="F123" i="10"/>
  <c r="R34" i="10"/>
  <c r="R156" i="10"/>
  <c r="R129" i="10"/>
  <c r="E4" i="12"/>
  <c r="J7" i="10"/>
  <c r="E5" i="11"/>
  <c r="R145" i="10"/>
  <c r="R146" i="10"/>
  <c r="R113" i="10"/>
  <c r="F146" i="10"/>
  <c r="F113" i="10"/>
  <c r="F115" i="10"/>
  <c r="R141" i="10"/>
  <c r="R112" i="10"/>
  <c r="T112" i="10"/>
  <c r="S36" i="10"/>
  <c r="R52" i="10"/>
  <c r="T111" i="10"/>
  <c r="U111" i="10"/>
  <c r="R51" i="10"/>
  <c r="R43" i="10"/>
  <c r="S32" i="10"/>
  <c r="S151" i="10"/>
  <c r="R159" i="10"/>
  <c r="R165" i="10"/>
  <c r="S33" i="10"/>
  <c r="F5" i="11"/>
  <c r="F4" i="12"/>
  <c r="K7" i="10"/>
  <c r="T113" i="10"/>
  <c r="U113" i="10"/>
  <c r="R114" i="10"/>
  <c r="R115" i="10"/>
  <c r="R116" i="10"/>
  <c r="U112" i="10"/>
  <c r="R54" i="10"/>
  <c r="S165" i="10"/>
  <c r="L7" i="10"/>
  <c r="G4" i="12"/>
  <c r="G5" i="11"/>
  <c r="S166" i="10"/>
  <c r="M7" i="10"/>
  <c r="H5" i="11"/>
  <c r="H4" i="12"/>
  <c r="O25" i="1"/>
  <c r="AA25" i="1"/>
  <c r="O26" i="1"/>
  <c r="AA26" i="1"/>
  <c r="O31" i="1"/>
  <c r="AA31" i="1"/>
  <c r="O22" i="1"/>
  <c r="AA22" i="1"/>
  <c r="O27" i="1"/>
  <c r="AA27" i="1"/>
  <c r="O24" i="1"/>
  <c r="AA24" i="1"/>
  <c r="O29" i="1"/>
  <c r="AA29" i="1"/>
  <c r="AA155" i="1"/>
  <c r="O136" i="1"/>
  <c r="AA136" i="1"/>
  <c r="AA120" i="1"/>
  <c r="O114" i="1"/>
  <c r="AA114" i="1"/>
  <c r="N7" i="10"/>
  <c r="I5" i="11"/>
  <c r="I4" i="12"/>
  <c r="J4" i="12"/>
  <c r="O7" i="10"/>
  <c r="J5" i="11"/>
  <c r="K4" i="12"/>
  <c r="P7" i="10"/>
  <c r="K5" i="11"/>
  <c r="L4" i="12"/>
  <c r="Q7" i="10"/>
  <c r="L5" i="11"/>
  <c r="M4" i="12"/>
  <c r="A3" i="10"/>
  <c r="M5" i="11"/>
  <c r="E129" i="1"/>
  <c r="E149" i="1"/>
  <c r="N110" i="1"/>
  <c r="O110" i="1"/>
  <c r="AA110" i="1"/>
  <c r="E109" i="1"/>
  <c r="E144" i="1"/>
  <c r="J139" i="1"/>
  <c r="K139" i="1"/>
  <c r="J131" i="1"/>
  <c r="K131" i="1"/>
  <c r="J136" i="1"/>
  <c r="K136" i="1"/>
  <c r="E154" i="1"/>
  <c r="N156" i="1"/>
  <c r="O156" i="1"/>
  <c r="AA156" i="1"/>
  <c r="N109" i="1"/>
  <c r="O109" i="1"/>
  <c r="N162" i="1"/>
  <c r="O162" i="1"/>
  <c r="J117" i="1"/>
  <c r="K117" i="1"/>
  <c r="J127" i="1"/>
  <c r="K127" i="1"/>
  <c r="J129" i="1"/>
  <c r="K129" i="1"/>
  <c r="N122" i="1"/>
  <c r="O122" i="1"/>
  <c r="AA122" i="1"/>
  <c r="N144" i="1"/>
  <c r="O144" i="1"/>
  <c r="AA144" i="1"/>
  <c r="N152" i="1"/>
  <c r="O152" i="1"/>
  <c r="AA152" i="1"/>
  <c r="J162" i="1"/>
  <c r="K162" i="1"/>
  <c r="J156" i="1"/>
  <c r="K156" i="1"/>
  <c r="N139" i="1"/>
  <c r="O139" i="1"/>
  <c r="AA139" i="1"/>
  <c r="J122" i="1"/>
  <c r="K122" i="1"/>
  <c r="N117" i="1"/>
  <c r="O117" i="1"/>
  <c r="AA117" i="1"/>
  <c r="AA109" i="1"/>
  <c r="E157" i="1"/>
  <c r="J157" i="1"/>
  <c r="K157" i="1"/>
  <c r="N146" i="1"/>
  <c r="O146" i="1"/>
  <c r="AA146" i="1"/>
  <c r="E161" i="1"/>
  <c r="J161" i="1"/>
  <c r="K161" i="1"/>
  <c r="N161" i="1"/>
  <c r="O161" i="1"/>
  <c r="N151" i="1"/>
  <c r="O151" i="1"/>
  <c r="AA151" i="1"/>
  <c r="N149" i="1"/>
  <c r="O149" i="1"/>
  <c r="AA149" i="1"/>
  <c r="N145" i="1"/>
  <c r="O145" i="1"/>
  <c r="AA145" i="1"/>
  <c r="J145" i="1"/>
  <c r="K145" i="1"/>
  <c r="N132" i="1"/>
  <c r="O132" i="1"/>
  <c r="AA132" i="1"/>
  <c r="E132" i="1"/>
  <c r="J128" i="1"/>
  <c r="K128" i="1"/>
  <c r="E128" i="1"/>
  <c r="N128" i="1"/>
  <c r="O128" i="1"/>
  <c r="AA128" i="1"/>
  <c r="N125" i="1"/>
  <c r="O125" i="1"/>
  <c r="AA125" i="1"/>
  <c r="J125" i="1"/>
  <c r="K125" i="1"/>
  <c r="E125" i="1"/>
  <c r="N123" i="1"/>
  <c r="O123" i="1"/>
  <c r="AA123" i="1"/>
  <c r="J123" i="1"/>
  <c r="K123" i="1"/>
  <c r="E123" i="1"/>
  <c r="N158" i="1"/>
  <c r="O158" i="1"/>
  <c r="AA158" i="1"/>
  <c r="E158" i="1"/>
  <c r="E153" i="1"/>
  <c r="J153" i="1"/>
  <c r="K153" i="1"/>
  <c r="N153" i="1"/>
  <c r="O153" i="1"/>
  <c r="AA153" i="1"/>
  <c r="N138" i="1"/>
  <c r="O138" i="1"/>
  <c r="AA138" i="1"/>
  <c r="E138" i="1"/>
  <c r="J138" i="1"/>
  <c r="K138" i="1"/>
  <c r="N131" i="1"/>
  <c r="O131" i="1"/>
  <c r="AA131" i="1"/>
  <c r="N113" i="1"/>
  <c r="O113" i="1"/>
  <c r="AA113" i="1"/>
  <c r="E113" i="1"/>
  <c r="J113" i="1"/>
  <c r="K113" i="1"/>
  <c r="N124" i="1"/>
  <c r="O124" i="1"/>
  <c r="AA124" i="1"/>
  <c r="N166" i="1"/>
  <c r="O166" i="1"/>
  <c r="E165" i="1"/>
  <c r="J165" i="1"/>
  <c r="K165" i="1"/>
  <c r="N111" i="1"/>
  <c r="O111" i="1"/>
  <c r="AA111" i="1"/>
  <c r="N143" i="1"/>
  <c r="O143" i="1"/>
  <c r="AA143" i="1"/>
  <c r="J143" i="1"/>
  <c r="K143" i="1"/>
  <c r="N141" i="1"/>
  <c r="O141" i="1"/>
  <c r="AA141" i="1"/>
  <c r="J141" i="1"/>
  <c r="K141" i="1"/>
  <c r="E141" i="1"/>
  <c r="E135" i="1"/>
  <c r="N135" i="1"/>
  <c r="O135" i="1"/>
  <c r="AA135" i="1"/>
  <c r="J116" i="1"/>
  <c r="K116" i="1"/>
  <c r="N116" i="1"/>
  <c r="O116" i="1"/>
  <c r="AA116" i="1"/>
  <c r="J112" i="1"/>
  <c r="K112" i="1"/>
  <c r="E112" i="1"/>
  <c r="N112" i="1"/>
  <c r="O112" i="1"/>
  <c r="AA112" i="1"/>
  <c r="N154" i="1"/>
  <c r="O154" i="1"/>
  <c r="AA154" i="1"/>
  <c r="N165" i="1"/>
  <c r="O165" i="1"/>
  <c r="J119" i="1"/>
  <c r="K119" i="1"/>
  <c r="E159" i="1"/>
  <c r="J159" i="1"/>
  <c r="K159" i="1"/>
  <c r="E150" i="1"/>
  <c r="J150" i="1"/>
  <c r="K150" i="1"/>
  <c r="E148" i="1"/>
  <c r="N148" i="1"/>
  <c r="O148" i="1"/>
  <c r="AA148" i="1"/>
  <c r="N142" i="1"/>
  <c r="O142" i="1"/>
  <c r="AA142" i="1"/>
  <c r="J137" i="1"/>
  <c r="K137" i="1"/>
  <c r="N137" i="1"/>
  <c r="O137" i="1"/>
  <c r="AA137" i="1"/>
  <c r="E137" i="1"/>
  <c r="N134" i="1"/>
  <c r="O134" i="1"/>
  <c r="AA134" i="1"/>
  <c r="N115" i="1"/>
  <c r="O115" i="1"/>
  <c r="AA115" i="1"/>
  <c r="E114" i="1"/>
  <c r="J114" i="1"/>
  <c r="K114" i="1"/>
  <c r="F9" i="1"/>
  <c r="R16" i="10"/>
  <c r="R15" i="10"/>
  <c r="J70" i="1"/>
  <c r="K70" i="1"/>
  <c r="N94" i="1"/>
  <c r="J53" i="1"/>
  <c r="K53" i="1"/>
  <c r="N89" i="1"/>
  <c r="E74" i="1"/>
  <c r="N61" i="1"/>
  <c r="E89" i="1"/>
  <c r="F10" i="1"/>
  <c r="J86" i="1"/>
  <c r="K86" i="1"/>
  <c r="E81" i="1"/>
  <c r="N43" i="1"/>
  <c r="N72" i="1"/>
  <c r="N67" i="1"/>
  <c r="N80" i="1"/>
  <c r="E48" i="1"/>
  <c r="J94" i="1"/>
  <c r="K94" i="1"/>
  <c r="N91" i="1"/>
  <c r="E58" i="1"/>
  <c r="E88" i="1"/>
  <c r="J46" i="1"/>
  <c r="K46" i="1"/>
  <c r="N98" i="1"/>
  <c r="N102" i="1"/>
  <c r="J64" i="1"/>
  <c r="K64" i="1"/>
  <c r="E73" i="1"/>
  <c r="N66" i="1"/>
  <c r="N62" i="1"/>
  <c r="N60" i="1"/>
  <c r="N56" i="1"/>
  <c r="N78" i="1"/>
  <c r="E43" i="1"/>
  <c r="N50" i="1"/>
  <c r="E59" i="1"/>
  <c r="E76" i="1"/>
  <c r="N79" i="1"/>
  <c r="N68" i="1"/>
  <c r="N96" i="1"/>
  <c r="J43" i="1"/>
  <c r="K43" i="1"/>
  <c r="J96" i="1"/>
  <c r="K96" i="1"/>
  <c r="J93" i="1"/>
  <c r="K93" i="1"/>
  <c r="J91" i="1"/>
  <c r="K91" i="1"/>
  <c r="J69" i="1"/>
  <c r="K69" i="1"/>
  <c r="J75" i="1"/>
  <c r="K75" i="1"/>
  <c r="E72" i="1"/>
  <c r="N90" i="1"/>
  <c r="N87" i="1"/>
  <c r="N76" i="1"/>
  <c r="N59" i="1"/>
  <c r="E50" i="1"/>
  <c r="E104" i="1"/>
  <c r="N63" i="1"/>
  <c r="N49" i="1"/>
  <c r="E63" i="1"/>
  <c r="J54" i="1"/>
  <c r="K54" i="1"/>
  <c r="N97" i="1"/>
  <c r="N95" i="1"/>
  <c r="J49" i="1"/>
  <c r="K49" i="1"/>
  <c r="J61" i="1"/>
  <c r="K61" i="1"/>
  <c r="E91" i="1"/>
  <c r="N64" i="1"/>
  <c r="N75" i="1"/>
  <c r="N93" i="1"/>
  <c r="J95" i="1"/>
  <c r="K95" i="1"/>
  <c r="J90" i="1"/>
  <c r="K90" i="1"/>
  <c r="E87" i="1"/>
  <c r="K65" i="1"/>
  <c r="N65" i="1"/>
  <c r="N45" i="1"/>
  <c r="J45" i="1"/>
  <c r="K45" i="1"/>
  <c r="N44" i="1"/>
  <c r="J44" i="1"/>
  <c r="N8" i="1"/>
  <c r="J8" i="1"/>
  <c r="J7" i="1" s="1"/>
  <c r="N39" i="1"/>
  <c r="J39" i="1"/>
  <c r="F7" i="1"/>
  <c r="E169" i="1"/>
  <c r="N169" i="1"/>
  <c r="O169" i="1"/>
  <c r="K169" i="1"/>
  <c r="J169" i="1"/>
  <c r="AA169" i="1"/>
  <c r="E174" i="1"/>
  <c r="R17" i="10"/>
  <c r="K10" i="1"/>
  <c r="J10" i="1"/>
  <c r="N10" i="1"/>
  <c r="K44" i="1"/>
  <c r="J9" i="1"/>
  <c r="J104" i="1"/>
  <c r="J174" i="1"/>
  <c r="N9" i="1"/>
  <c r="O4" i="1"/>
  <c r="M24" i="1"/>
  <c r="Q24" i="1"/>
  <c r="R24" i="1"/>
  <c r="N104" i="1"/>
  <c r="N174" i="1"/>
  <c r="N7" i="1"/>
  <c r="K9" i="1"/>
  <c r="K104" i="1"/>
  <c r="K174" i="1"/>
  <c r="M26" i="1"/>
  <c r="Q26" i="1"/>
  <c r="R26" i="1"/>
  <c r="S26" i="1"/>
  <c r="T26" i="1"/>
  <c r="V26" i="1"/>
  <c r="M20" i="1"/>
  <c r="Q20" i="1"/>
  <c r="R20" i="1"/>
  <c r="S20" i="1"/>
  <c r="T20" i="1"/>
  <c r="V20" i="1"/>
  <c r="M30" i="1"/>
  <c r="Q30" i="1"/>
  <c r="R30" i="1"/>
  <c r="S30" i="1"/>
  <c r="T30" i="1"/>
  <c r="V30" i="1"/>
  <c r="M23" i="1"/>
  <c r="Q23" i="1"/>
  <c r="R23" i="1"/>
  <c r="S23" i="1"/>
  <c r="T23" i="1"/>
  <c r="V23" i="1"/>
  <c r="M28" i="1"/>
  <c r="Q28" i="1"/>
  <c r="R28" i="1"/>
  <c r="S28" i="1"/>
  <c r="T28" i="1"/>
  <c r="V28" i="1"/>
  <c r="O20" i="1"/>
  <c r="O8" i="1"/>
  <c r="M22" i="1"/>
  <c r="Q22" i="1"/>
  <c r="R22" i="1"/>
  <c r="S22" i="1"/>
  <c r="T22" i="1"/>
  <c r="V22" i="1"/>
  <c r="M31" i="1"/>
  <c r="Q31" i="1"/>
  <c r="R31" i="1"/>
  <c r="S31" i="1"/>
  <c r="T31" i="1"/>
  <c r="V31" i="1"/>
  <c r="W31" i="1" s="1"/>
  <c r="M21" i="1"/>
  <c r="Q21" i="1"/>
  <c r="R21" i="1"/>
  <c r="S21" i="1"/>
  <c r="T21" i="1"/>
  <c r="V21" i="1"/>
  <c r="M27" i="1"/>
  <c r="Q27" i="1"/>
  <c r="R27" i="1"/>
  <c r="S27" i="1"/>
  <c r="T27" i="1"/>
  <c r="V27" i="1"/>
  <c r="O5" i="1"/>
  <c r="M29" i="1"/>
  <c r="Q29" i="1"/>
  <c r="R29" i="1"/>
  <c r="S29" i="1"/>
  <c r="T29" i="1"/>
  <c r="V29" i="1"/>
  <c r="M25" i="1"/>
  <c r="Q25" i="1"/>
  <c r="R25" i="1"/>
  <c r="S25" i="1"/>
  <c r="S24" i="1"/>
  <c r="T24" i="1"/>
  <c r="V24" i="1"/>
  <c r="O56" i="1"/>
  <c r="AA56" i="1"/>
  <c r="M44" i="1"/>
  <c r="M48" i="1"/>
  <c r="Q48" i="1"/>
  <c r="S48" i="1"/>
  <c r="T48" i="1"/>
  <c r="V48" i="1"/>
  <c r="M52" i="1"/>
  <c r="Q52" i="1"/>
  <c r="S52" i="1"/>
  <c r="T52" i="1"/>
  <c r="V52" i="1"/>
  <c r="M56" i="1"/>
  <c r="M60" i="1"/>
  <c r="M64" i="1"/>
  <c r="M68" i="1"/>
  <c r="Q68" i="1"/>
  <c r="S68" i="1"/>
  <c r="T68" i="1"/>
  <c r="V68" i="1"/>
  <c r="M72" i="1"/>
  <c r="M76" i="1"/>
  <c r="M80" i="1"/>
  <c r="Q80" i="1"/>
  <c r="S80" i="1"/>
  <c r="T80" i="1"/>
  <c r="V80" i="1"/>
  <c r="M84" i="1"/>
  <c r="Q84" i="1"/>
  <c r="S84" i="1"/>
  <c r="T84" i="1"/>
  <c r="V84" i="1"/>
  <c r="M88" i="1"/>
  <c r="M92" i="1"/>
  <c r="M96" i="1"/>
  <c r="M100" i="1"/>
  <c r="M45" i="1"/>
  <c r="M49" i="1"/>
  <c r="M53" i="1"/>
  <c r="Q53" i="1"/>
  <c r="S53" i="1"/>
  <c r="T53" i="1"/>
  <c r="V53" i="1"/>
  <c r="M57" i="1"/>
  <c r="Q57" i="1"/>
  <c r="S57" i="1"/>
  <c r="T57" i="1"/>
  <c r="V57" i="1"/>
  <c r="M61" i="1"/>
  <c r="M65" i="1"/>
  <c r="M69" i="1"/>
  <c r="Q69" i="1"/>
  <c r="S69" i="1"/>
  <c r="T69" i="1"/>
  <c r="V69" i="1"/>
  <c r="M73" i="1"/>
  <c r="Q73" i="1"/>
  <c r="M77" i="1"/>
  <c r="M81" i="1"/>
  <c r="M85" i="1"/>
  <c r="Q85" i="1"/>
  <c r="S85" i="1"/>
  <c r="T85" i="1"/>
  <c r="V85" i="1"/>
  <c r="M89" i="1"/>
  <c r="Q89" i="1"/>
  <c r="S89" i="1"/>
  <c r="T89" i="1"/>
  <c r="V89" i="1"/>
  <c r="M93" i="1"/>
  <c r="M97" i="1"/>
  <c r="M101" i="1"/>
  <c r="M46" i="1"/>
  <c r="Q46" i="1"/>
  <c r="S46" i="1"/>
  <c r="T46" i="1"/>
  <c r="V46" i="1"/>
  <c r="M54" i="1"/>
  <c r="M62" i="1"/>
  <c r="M70" i="1"/>
  <c r="M78" i="1"/>
  <c r="Q78" i="1"/>
  <c r="S78" i="1"/>
  <c r="T78" i="1"/>
  <c r="V78" i="1"/>
  <c r="M86" i="1"/>
  <c r="M94" i="1"/>
  <c r="M102" i="1"/>
  <c r="M116" i="1"/>
  <c r="Q116" i="1"/>
  <c r="S116" i="1"/>
  <c r="T116" i="1"/>
  <c r="V116" i="1"/>
  <c r="M132" i="1"/>
  <c r="Q132" i="1"/>
  <c r="M148" i="1"/>
  <c r="Q148" i="1"/>
  <c r="M156" i="1"/>
  <c r="Q156" i="1"/>
  <c r="M58" i="1"/>
  <c r="Q58" i="1"/>
  <c r="S58" i="1"/>
  <c r="T58" i="1"/>
  <c r="V58" i="1"/>
  <c r="M112" i="1"/>
  <c r="Q112" i="1"/>
  <c r="M128" i="1"/>
  <c r="Q128" i="1"/>
  <c r="M144" i="1"/>
  <c r="Q144" i="1"/>
  <c r="S144" i="1"/>
  <c r="T144" i="1"/>
  <c r="V144" i="1"/>
  <c r="M47" i="1"/>
  <c r="Q47" i="1"/>
  <c r="S47" i="1"/>
  <c r="T47" i="1"/>
  <c r="V47" i="1"/>
  <c r="M55" i="1"/>
  <c r="M63" i="1"/>
  <c r="M71" i="1"/>
  <c r="Q71" i="1"/>
  <c r="S71" i="1"/>
  <c r="T71" i="1"/>
  <c r="V71" i="1"/>
  <c r="M79" i="1"/>
  <c r="Q79" i="1"/>
  <c r="S79" i="1"/>
  <c r="T79" i="1"/>
  <c r="V79" i="1"/>
  <c r="M87" i="1"/>
  <c r="M95" i="1"/>
  <c r="M109" i="1"/>
  <c r="Q109" i="1"/>
  <c r="S109" i="1"/>
  <c r="T109" i="1"/>
  <c r="V109" i="1"/>
  <c r="M125" i="1"/>
  <c r="Q125" i="1"/>
  <c r="S125" i="1"/>
  <c r="T125" i="1"/>
  <c r="V125" i="1"/>
  <c r="M141" i="1"/>
  <c r="Q141" i="1"/>
  <c r="M165" i="1"/>
  <c r="M50" i="1"/>
  <c r="Q50" i="1"/>
  <c r="S50" i="1"/>
  <c r="T50" i="1"/>
  <c r="V50" i="1"/>
  <c r="M66" i="1"/>
  <c r="Q66" i="1"/>
  <c r="S66" i="1"/>
  <c r="T66" i="1"/>
  <c r="V66" i="1"/>
  <c r="M74" i="1"/>
  <c r="M82" i="1"/>
  <c r="M90" i="1"/>
  <c r="Q90" i="1"/>
  <c r="S90" i="1"/>
  <c r="T90" i="1"/>
  <c r="V90" i="1"/>
  <c r="M98" i="1"/>
  <c r="M120" i="1"/>
  <c r="Q120" i="1"/>
  <c r="M136" i="1"/>
  <c r="Q136" i="1"/>
  <c r="M152" i="1"/>
  <c r="Q152" i="1"/>
  <c r="M160" i="1"/>
  <c r="M51" i="1"/>
  <c r="M83" i="1"/>
  <c r="M121" i="1"/>
  <c r="Q121" i="1"/>
  <c r="M153" i="1"/>
  <c r="Q153" i="1"/>
  <c r="M113" i="1"/>
  <c r="Q113" i="1"/>
  <c r="S113" i="1"/>
  <c r="T113" i="1"/>
  <c r="V113" i="1"/>
  <c r="M59" i="1"/>
  <c r="M91" i="1"/>
  <c r="Q91" i="1"/>
  <c r="S91" i="1"/>
  <c r="T91" i="1"/>
  <c r="V91" i="1"/>
  <c r="M129" i="1"/>
  <c r="Q129" i="1"/>
  <c r="M161" i="1"/>
  <c r="M67" i="1"/>
  <c r="M99" i="1"/>
  <c r="M137" i="1"/>
  <c r="Q137" i="1"/>
  <c r="M75" i="1"/>
  <c r="M145" i="1"/>
  <c r="Q145" i="1"/>
  <c r="M157" i="1"/>
  <c r="Q157" i="1"/>
  <c r="M146" i="1"/>
  <c r="Q146" i="1"/>
  <c r="S146" i="1"/>
  <c r="T146" i="1"/>
  <c r="V146" i="1"/>
  <c r="M138" i="1"/>
  <c r="Q138" i="1"/>
  <c r="M118" i="1"/>
  <c r="Q118" i="1"/>
  <c r="M154" i="1"/>
  <c r="Q154" i="1"/>
  <c r="S154" i="1"/>
  <c r="T154" i="1"/>
  <c r="V154" i="1"/>
  <c r="M133" i="1"/>
  <c r="Q133" i="1"/>
  <c r="S133" i="1"/>
  <c r="T133" i="1"/>
  <c r="V133" i="1"/>
  <c r="M159" i="1"/>
  <c r="M117" i="1"/>
  <c r="Q117" i="1"/>
  <c r="M126" i="1"/>
  <c r="Q126" i="1"/>
  <c r="M143" i="1"/>
  <c r="Q143" i="1"/>
  <c r="M142" i="1"/>
  <c r="Q142" i="1"/>
  <c r="M164" i="1"/>
  <c r="M162" i="1"/>
  <c r="M163" i="1"/>
  <c r="M130" i="1"/>
  <c r="Q130" i="1"/>
  <c r="M140" i="1"/>
  <c r="Q140" i="1"/>
  <c r="M149" i="1"/>
  <c r="Q149" i="1"/>
  <c r="M110" i="1"/>
  <c r="Q110" i="1"/>
  <c r="M124" i="1"/>
  <c r="Q124" i="1"/>
  <c r="S124" i="1"/>
  <c r="T124" i="1"/>
  <c r="V124" i="1"/>
  <c r="M166" i="1"/>
  <c r="M150" i="1"/>
  <c r="Q150" i="1"/>
  <c r="M127" i="1"/>
  <c r="Q127" i="1"/>
  <c r="S127" i="1"/>
  <c r="T127" i="1"/>
  <c r="V127" i="1"/>
  <c r="M147" i="1"/>
  <c r="Q147" i="1"/>
  <c r="M122" i="1"/>
  <c r="Q122" i="1"/>
  <c r="S122" i="1"/>
  <c r="T122" i="1"/>
  <c r="V122" i="1"/>
  <c r="M108" i="1"/>
  <c r="Q108" i="1"/>
  <c r="M134" i="1"/>
  <c r="Q134" i="1"/>
  <c r="M115" i="1"/>
  <c r="Q115" i="1"/>
  <c r="S115" i="1"/>
  <c r="T115" i="1"/>
  <c r="V115" i="1"/>
  <c r="M151" i="1"/>
  <c r="Q151" i="1"/>
  <c r="S151" i="1"/>
  <c r="T151" i="1"/>
  <c r="V151" i="1"/>
  <c r="M111" i="1"/>
  <c r="Q111" i="1"/>
  <c r="S111" i="1"/>
  <c r="T111" i="1"/>
  <c r="V111" i="1"/>
  <c r="M139" i="1"/>
  <c r="Q139" i="1"/>
  <c r="M119" i="1"/>
  <c r="Q119" i="1"/>
  <c r="S119" i="1"/>
  <c r="T119" i="1"/>
  <c r="V119" i="1"/>
  <c r="M158" i="1"/>
  <c r="Q158" i="1"/>
  <c r="M131" i="1"/>
  <c r="Q131" i="1"/>
  <c r="M135" i="1"/>
  <c r="Q135" i="1"/>
  <c r="M114" i="1"/>
  <c r="Q114" i="1"/>
  <c r="S114" i="1"/>
  <c r="T114" i="1"/>
  <c r="V114" i="1"/>
  <c r="M155" i="1"/>
  <c r="Q155" i="1"/>
  <c r="M123" i="1"/>
  <c r="Q123" i="1"/>
  <c r="AA20" i="1"/>
  <c r="AA39" i="1"/>
  <c r="O39" i="1"/>
  <c r="Q86" i="1"/>
  <c r="S86" i="1"/>
  <c r="T86" i="1"/>
  <c r="V86" i="1"/>
  <c r="Q61" i="1"/>
  <c r="S61" i="1"/>
  <c r="T61" i="1"/>
  <c r="V61" i="1"/>
  <c r="O49" i="1"/>
  <c r="AA49" i="1"/>
  <c r="O91" i="1"/>
  <c r="AA91" i="1"/>
  <c r="Q60" i="1"/>
  <c r="S60" i="1"/>
  <c r="T60" i="1"/>
  <c r="V60" i="1"/>
  <c r="Q88" i="1"/>
  <c r="S88" i="1"/>
  <c r="T88" i="1"/>
  <c r="V88" i="1"/>
  <c r="O66" i="1"/>
  <c r="AA66" i="1"/>
  <c r="Q92" i="1"/>
  <c r="S92" i="1"/>
  <c r="T92" i="1"/>
  <c r="V92" i="1"/>
  <c r="W92" i="1"/>
  <c r="X92" i="1"/>
  <c r="Y92" i="1"/>
  <c r="M43" i="1"/>
  <c r="Q43" i="1"/>
  <c r="S43" i="1"/>
  <c r="T43" i="1"/>
  <c r="V43" i="1"/>
  <c r="Q59" i="1"/>
  <c r="S59" i="1"/>
  <c r="T59" i="1"/>
  <c r="V59" i="1"/>
  <c r="O48" i="1"/>
  <c r="AA48" i="1"/>
  <c r="O65" i="1"/>
  <c r="AA65" i="1"/>
  <c r="O55" i="1"/>
  <c r="AA55" i="1"/>
  <c r="O45" i="1"/>
  <c r="AA45" i="1"/>
  <c r="O81" i="1"/>
  <c r="AA81" i="1"/>
  <c r="O51" i="1"/>
  <c r="AA51" i="1"/>
  <c r="O88" i="1"/>
  <c r="AA88" i="1"/>
  <c r="O60" i="1"/>
  <c r="AA60" i="1"/>
  <c r="Q72" i="1"/>
  <c r="S72" i="1"/>
  <c r="T72" i="1"/>
  <c r="V72" i="1"/>
  <c r="Q87" i="1"/>
  <c r="S87" i="1"/>
  <c r="T87" i="1"/>
  <c r="V87" i="1"/>
  <c r="O63" i="1"/>
  <c r="AA63" i="1"/>
  <c r="O69" i="1"/>
  <c r="AA69" i="1"/>
  <c r="Q76" i="1"/>
  <c r="S76" i="1"/>
  <c r="T76" i="1"/>
  <c r="V76" i="1"/>
  <c r="O102" i="1"/>
  <c r="O96" i="1"/>
  <c r="O85" i="1"/>
  <c r="AA85" i="1"/>
  <c r="O53" i="1"/>
  <c r="AA53" i="1"/>
  <c r="Q64" i="1"/>
  <c r="S64" i="1"/>
  <c r="T64" i="1"/>
  <c r="V64" i="1"/>
  <c r="O83" i="1"/>
  <c r="AA83" i="1"/>
  <c r="O64" i="1"/>
  <c r="AA64" i="1"/>
  <c r="Q65" i="1"/>
  <c r="S65" i="1"/>
  <c r="T65" i="1"/>
  <c r="V65" i="1"/>
  <c r="Q70" i="1"/>
  <c r="S70" i="1"/>
  <c r="T70" i="1"/>
  <c r="V70" i="1"/>
  <c r="Q82" i="1"/>
  <c r="S82" i="1"/>
  <c r="T82" i="1"/>
  <c r="V82" i="1"/>
  <c r="O80" i="1"/>
  <c r="AA80" i="1"/>
  <c r="O46" i="1"/>
  <c r="AA46" i="1"/>
  <c r="Q81" i="1"/>
  <c r="S81" i="1"/>
  <c r="T81" i="1"/>
  <c r="V81" i="1"/>
  <c r="O52" i="1"/>
  <c r="AA52" i="1"/>
  <c r="Q49" i="1"/>
  <c r="S49" i="1"/>
  <c r="T49" i="1"/>
  <c r="V49" i="1"/>
  <c r="O75" i="1"/>
  <c r="AA75" i="1"/>
  <c r="O44" i="1"/>
  <c r="AA44" i="1"/>
  <c r="Q77" i="1"/>
  <c r="S77" i="1"/>
  <c r="T77" i="1"/>
  <c r="V77" i="1"/>
  <c r="Q63" i="1"/>
  <c r="S63" i="1"/>
  <c r="T63" i="1"/>
  <c r="V63" i="1"/>
  <c r="O68" i="1"/>
  <c r="AA68" i="1"/>
  <c r="Q83" i="1"/>
  <c r="S83" i="1"/>
  <c r="T83" i="1"/>
  <c r="V83" i="1"/>
  <c r="Q56" i="1"/>
  <c r="S56" i="1"/>
  <c r="T56" i="1"/>
  <c r="V56" i="1"/>
  <c r="O43" i="1"/>
  <c r="O78" i="1"/>
  <c r="AA78" i="1"/>
  <c r="O101" i="1"/>
  <c r="O99" i="1"/>
  <c r="O84" i="1"/>
  <c r="AA84" i="1"/>
  <c r="O47" i="1"/>
  <c r="O90" i="1"/>
  <c r="AA90" i="1"/>
  <c r="Q51" i="1"/>
  <c r="S51" i="1"/>
  <c r="T51" i="1"/>
  <c r="V51" i="1"/>
  <c r="Q45" i="1"/>
  <c r="S45" i="1"/>
  <c r="T45" i="1"/>
  <c r="V45" i="1"/>
  <c r="O74" i="1"/>
  <c r="AA74" i="1"/>
  <c r="O95" i="1"/>
  <c r="O97" i="1"/>
  <c r="Q54" i="1"/>
  <c r="S54" i="1"/>
  <c r="T54" i="1"/>
  <c r="V54" i="1"/>
  <c r="O93" i="1"/>
  <c r="Q55" i="1"/>
  <c r="S55" i="1"/>
  <c r="T55" i="1"/>
  <c r="V55" i="1"/>
  <c r="O82" i="1"/>
  <c r="AA82" i="1"/>
  <c r="O76" i="1"/>
  <c r="AA76" i="1"/>
  <c r="O71" i="1"/>
  <c r="AA71" i="1"/>
  <c r="O54" i="1"/>
  <c r="AA54" i="1"/>
  <c r="O61" i="1"/>
  <c r="AA61" i="1"/>
  <c r="O98" i="1"/>
  <c r="Q67" i="1"/>
  <c r="S67" i="1"/>
  <c r="T67" i="1"/>
  <c r="V67" i="1"/>
  <c r="O79" i="1"/>
  <c r="AA79" i="1"/>
  <c r="O50" i="1"/>
  <c r="AA50" i="1"/>
  <c r="O94" i="1"/>
  <c r="O86" i="1"/>
  <c r="AA86" i="1"/>
  <c r="O77" i="1"/>
  <c r="AA77" i="1"/>
  <c r="O100" i="1"/>
  <c r="O70" i="1"/>
  <c r="AA70" i="1"/>
  <c r="O73" i="1"/>
  <c r="AA73" i="1"/>
  <c r="O67" i="1"/>
  <c r="AA67" i="1"/>
  <c r="O92" i="1"/>
  <c r="AA92" i="1"/>
  <c r="O87" i="1"/>
  <c r="AA87" i="1"/>
  <c r="O62" i="1"/>
  <c r="AA62" i="1"/>
  <c r="O57" i="1"/>
  <c r="AA57" i="1"/>
  <c r="O59" i="1"/>
  <c r="AA59" i="1"/>
  <c r="O58" i="1"/>
  <c r="AA58" i="1"/>
  <c r="Q44" i="1"/>
  <c r="S44" i="1"/>
  <c r="T44" i="1"/>
  <c r="V44" i="1"/>
  <c r="Q74" i="1"/>
  <c r="S74" i="1"/>
  <c r="T74" i="1"/>
  <c r="V74" i="1"/>
  <c r="O89" i="1"/>
  <c r="AA89" i="1"/>
  <c r="Q75" i="1"/>
  <c r="S75" i="1"/>
  <c r="T75" i="1"/>
  <c r="V75" i="1"/>
  <c r="Q62" i="1"/>
  <c r="S62" i="1"/>
  <c r="T62" i="1"/>
  <c r="V62" i="1"/>
  <c r="O72" i="1"/>
  <c r="AA72" i="1"/>
  <c r="T25" i="1"/>
  <c r="V25" i="1"/>
  <c r="W25" i="1"/>
  <c r="X25" i="1"/>
  <c r="Y25" i="1"/>
  <c r="AB21" i="1"/>
  <c r="W21" i="1"/>
  <c r="X21" i="1"/>
  <c r="Y21" i="1"/>
  <c r="AB29" i="1"/>
  <c r="W29" i="1"/>
  <c r="X29" i="1"/>
  <c r="Y29" i="1"/>
  <c r="AB28" i="1"/>
  <c r="W28" i="1"/>
  <c r="X28" i="1"/>
  <c r="Y28" i="1"/>
  <c r="AB24" i="1"/>
  <c r="W24" i="1"/>
  <c r="X24" i="1"/>
  <c r="Y24" i="1"/>
  <c r="AB20" i="1"/>
  <c r="W20" i="1"/>
  <c r="W27" i="1"/>
  <c r="X27" i="1"/>
  <c r="Y27" i="1"/>
  <c r="AB27" i="1"/>
  <c r="W26" i="1"/>
  <c r="X26" i="1"/>
  <c r="Y26" i="1"/>
  <c r="AB26" i="1"/>
  <c r="W22" i="1"/>
  <c r="X22" i="1"/>
  <c r="Y22" i="1"/>
  <c r="AB22" i="1"/>
  <c r="W30" i="1"/>
  <c r="X30" i="1"/>
  <c r="Y30" i="1"/>
  <c r="AB30" i="1"/>
  <c r="W23" i="1"/>
  <c r="X23" i="1"/>
  <c r="Y23" i="1"/>
  <c r="AB23" i="1"/>
  <c r="S139" i="1"/>
  <c r="T139" i="1"/>
  <c r="V139" i="1"/>
  <c r="S134" i="1"/>
  <c r="T134" i="1"/>
  <c r="V134" i="1"/>
  <c r="S110" i="1"/>
  <c r="T110" i="1"/>
  <c r="V110" i="1"/>
  <c r="S143" i="1"/>
  <c r="T143" i="1"/>
  <c r="V143" i="1"/>
  <c r="W146" i="1"/>
  <c r="X146" i="1"/>
  <c r="Y146" i="1"/>
  <c r="AB146" i="1"/>
  <c r="S129" i="1"/>
  <c r="T129" i="1"/>
  <c r="V129" i="1"/>
  <c r="AB125" i="1"/>
  <c r="W125" i="1"/>
  <c r="X125" i="1"/>
  <c r="Y125" i="1"/>
  <c r="W111" i="1"/>
  <c r="X111" i="1"/>
  <c r="Y111" i="1"/>
  <c r="AB111" i="1"/>
  <c r="S150" i="1"/>
  <c r="T150" i="1"/>
  <c r="V150" i="1"/>
  <c r="AB154" i="1"/>
  <c r="W154" i="1"/>
  <c r="X154" i="1"/>
  <c r="Y154" i="1"/>
  <c r="S121" i="1"/>
  <c r="T121" i="1"/>
  <c r="V121" i="1"/>
  <c r="W144" i="1"/>
  <c r="X144" i="1"/>
  <c r="Y144" i="1"/>
  <c r="AB144" i="1"/>
  <c r="S155" i="1"/>
  <c r="T155" i="1"/>
  <c r="V155" i="1"/>
  <c r="S158" i="1"/>
  <c r="T158" i="1"/>
  <c r="V158" i="1"/>
  <c r="W158" i="1"/>
  <c r="X158" i="1"/>
  <c r="Y158" i="1"/>
  <c r="W151" i="1"/>
  <c r="X151" i="1"/>
  <c r="Y151" i="1"/>
  <c r="AB151" i="1"/>
  <c r="W122" i="1"/>
  <c r="X122" i="1"/>
  <c r="Y122" i="1"/>
  <c r="AB122" i="1"/>
  <c r="S140" i="1"/>
  <c r="T140" i="1"/>
  <c r="V140" i="1"/>
  <c r="S117" i="1"/>
  <c r="T117" i="1"/>
  <c r="V117" i="1"/>
  <c r="S118" i="1"/>
  <c r="T118" i="1"/>
  <c r="V118" i="1"/>
  <c r="S145" i="1"/>
  <c r="T145" i="1"/>
  <c r="V145" i="1"/>
  <c r="S136" i="1"/>
  <c r="T136" i="1"/>
  <c r="V136" i="1"/>
  <c r="S128" i="1"/>
  <c r="T128" i="1"/>
  <c r="V128" i="1"/>
  <c r="S148" i="1"/>
  <c r="T148" i="1"/>
  <c r="V148" i="1"/>
  <c r="S135" i="1"/>
  <c r="T135" i="1"/>
  <c r="V135" i="1"/>
  <c r="W127" i="1"/>
  <c r="X127" i="1"/>
  <c r="Y127" i="1"/>
  <c r="AB127" i="1"/>
  <c r="W133" i="1"/>
  <c r="X133" i="1"/>
  <c r="Y133" i="1"/>
  <c r="AB133" i="1"/>
  <c r="S137" i="1"/>
  <c r="T137" i="1"/>
  <c r="V137" i="1"/>
  <c r="S153" i="1"/>
  <c r="T153" i="1"/>
  <c r="V153" i="1"/>
  <c r="W116" i="1"/>
  <c r="X116" i="1"/>
  <c r="Y116" i="1"/>
  <c r="AB116" i="1"/>
  <c r="S123" i="1"/>
  <c r="T123" i="1"/>
  <c r="V123" i="1"/>
  <c r="S131" i="1"/>
  <c r="T131" i="1"/>
  <c r="V131" i="1"/>
  <c r="S108" i="1"/>
  <c r="T108" i="1"/>
  <c r="V108" i="1"/>
  <c r="S149" i="1"/>
  <c r="T149" i="1"/>
  <c r="V149" i="1"/>
  <c r="S126" i="1"/>
  <c r="T126" i="1"/>
  <c r="V126" i="1"/>
  <c r="S157" i="1"/>
  <c r="T157" i="1"/>
  <c r="V157" i="1"/>
  <c r="S152" i="1"/>
  <c r="T152" i="1"/>
  <c r="V152" i="1"/>
  <c r="W109" i="1"/>
  <c r="X109" i="1"/>
  <c r="Y109" i="1"/>
  <c r="AB109" i="1"/>
  <c r="S156" i="1"/>
  <c r="T156" i="1"/>
  <c r="V156" i="1"/>
  <c r="AB114" i="1"/>
  <c r="W114" i="1"/>
  <c r="X114" i="1"/>
  <c r="Y114" i="1"/>
  <c r="W119" i="1"/>
  <c r="X119" i="1"/>
  <c r="Y119" i="1"/>
  <c r="AB119" i="1"/>
  <c r="W115" i="1"/>
  <c r="X115" i="1"/>
  <c r="Y115" i="1"/>
  <c r="AB115" i="1"/>
  <c r="S147" i="1"/>
  <c r="T147" i="1"/>
  <c r="V147" i="1"/>
  <c r="W124" i="1"/>
  <c r="X124" i="1"/>
  <c r="Y124" i="1"/>
  <c r="AB124" i="1"/>
  <c r="S130" i="1"/>
  <c r="T130" i="1"/>
  <c r="V130" i="1"/>
  <c r="S142" i="1"/>
  <c r="T142" i="1"/>
  <c r="V142" i="1"/>
  <c r="S138" i="1"/>
  <c r="T138" i="1"/>
  <c r="V138" i="1"/>
  <c r="W113" i="1"/>
  <c r="X113" i="1"/>
  <c r="Y113" i="1"/>
  <c r="AB113" i="1"/>
  <c r="S120" i="1"/>
  <c r="T120" i="1"/>
  <c r="V120" i="1"/>
  <c r="S141" i="1"/>
  <c r="T141" i="1"/>
  <c r="V141" i="1"/>
  <c r="S112" i="1"/>
  <c r="T112" i="1"/>
  <c r="V112" i="1"/>
  <c r="S132" i="1"/>
  <c r="T132" i="1"/>
  <c r="V132" i="1"/>
  <c r="O9" i="1"/>
  <c r="O10" i="1"/>
  <c r="AA43" i="1"/>
  <c r="S73" i="1"/>
  <c r="T73" i="1"/>
  <c r="V73" i="1"/>
  <c r="O104" i="1"/>
  <c r="O174" i="1"/>
  <c r="AA47" i="1"/>
  <c r="AB25" i="1"/>
  <c r="W83" i="1"/>
  <c r="X83" i="1"/>
  <c r="Y83" i="1"/>
  <c r="AB83" i="1"/>
  <c r="AB52" i="1"/>
  <c r="W52" i="1"/>
  <c r="X52" i="1"/>
  <c r="Y52" i="1"/>
  <c r="AB80" i="1"/>
  <c r="W80" i="1"/>
  <c r="X80" i="1"/>
  <c r="Y80" i="1"/>
  <c r="W60" i="1"/>
  <c r="X60" i="1"/>
  <c r="Y60" i="1"/>
  <c r="AB60" i="1"/>
  <c r="W87" i="1"/>
  <c r="X87" i="1"/>
  <c r="Y87" i="1"/>
  <c r="AB87" i="1"/>
  <c r="W54" i="1"/>
  <c r="X54" i="1"/>
  <c r="Y54" i="1"/>
  <c r="AB54" i="1"/>
  <c r="AB50" i="1"/>
  <c r="W50" i="1"/>
  <c r="X50" i="1"/>
  <c r="Y50" i="1"/>
  <c r="W44" i="1"/>
  <c r="X44" i="1"/>
  <c r="Y44" i="1"/>
  <c r="AB44" i="1"/>
  <c r="AB70" i="1"/>
  <c r="W70" i="1"/>
  <c r="X70" i="1"/>
  <c r="Y70" i="1"/>
  <c r="W61" i="1"/>
  <c r="X61" i="1"/>
  <c r="Y61" i="1"/>
  <c r="AB61" i="1"/>
  <c r="W89" i="1"/>
  <c r="X89" i="1"/>
  <c r="Y89" i="1"/>
  <c r="AB89" i="1"/>
  <c r="AB69" i="1"/>
  <c r="W69" i="1"/>
  <c r="X69" i="1"/>
  <c r="Y69" i="1"/>
  <c r="W62" i="1"/>
  <c r="X62" i="1"/>
  <c r="Y62" i="1"/>
  <c r="AB62" i="1"/>
  <c r="W67" i="1"/>
  <c r="X67" i="1"/>
  <c r="Y67" i="1"/>
  <c r="AB67" i="1"/>
  <c r="AB56" i="1"/>
  <c r="W56" i="1"/>
  <c r="X56" i="1"/>
  <c r="Y56" i="1"/>
  <c r="W91" i="1"/>
  <c r="X91" i="1"/>
  <c r="Y91" i="1"/>
  <c r="AB91" i="1"/>
  <c r="W55" i="1"/>
  <c r="X55" i="1"/>
  <c r="Y55" i="1"/>
  <c r="AB55" i="1"/>
  <c r="W82" i="1"/>
  <c r="X82" i="1"/>
  <c r="Y82" i="1"/>
  <c r="AB82" i="1"/>
  <c r="AB86" i="1"/>
  <c r="W86" i="1"/>
  <c r="X86" i="1"/>
  <c r="Y86" i="1"/>
  <c r="AB57" i="1"/>
  <c r="W57" i="1"/>
  <c r="X57" i="1"/>
  <c r="Y57" i="1"/>
  <c r="AB66" i="1"/>
  <c r="W66" i="1"/>
  <c r="X66" i="1"/>
  <c r="Y66" i="1"/>
  <c r="AB59" i="1"/>
  <c r="W59" i="1"/>
  <c r="X59" i="1"/>
  <c r="Y59" i="1"/>
  <c r="AB72" i="1"/>
  <c r="W72" i="1"/>
  <c r="X72" i="1"/>
  <c r="Y72" i="1"/>
  <c r="W64" i="1"/>
  <c r="X64" i="1"/>
  <c r="Y64" i="1"/>
  <c r="AB64" i="1"/>
  <c r="W51" i="1"/>
  <c r="X51" i="1"/>
  <c r="Y51" i="1"/>
  <c r="AB51" i="1"/>
  <c r="AB48" i="1"/>
  <c r="W48" i="1"/>
  <c r="X48" i="1"/>
  <c r="Y48" i="1"/>
  <c r="AB74" i="1"/>
  <c r="W74" i="1"/>
  <c r="X74" i="1"/>
  <c r="Y74" i="1"/>
  <c r="AB78" i="1"/>
  <c r="W78" i="1"/>
  <c r="X78" i="1"/>
  <c r="Y78" i="1"/>
  <c r="W63" i="1"/>
  <c r="X63" i="1"/>
  <c r="Y63" i="1"/>
  <c r="AB63" i="1"/>
  <c r="W45" i="1"/>
  <c r="X45" i="1"/>
  <c r="Y45" i="1"/>
  <c r="AB45" i="1"/>
  <c r="W47" i="1"/>
  <c r="X47" i="1"/>
  <c r="Y47" i="1"/>
  <c r="AB47" i="1"/>
  <c r="AB76" i="1"/>
  <c r="W76" i="1"/>
  <c r="X76" i="1"/>
  <c r="Y76" i="1"/>
  <c r="AB90" i="1"/>
  <c r="W90" i="1"/>
  <c r="X90" i="1"/>
  <c r="Y90" i="1"/>
  <c r="AB84" i="1"/>
  <c r="W84" i="1"/>
  <c r="X84" i="1"/>
  <c r="Y84" i="1"/>
  <c r="AB65" i="1"/>
  <c r="W65" i="1"/>
  <c r="X65" i="1"/>
  <c r="Y65" i="1"/>
  <c r="W49" i="1"/>
  <c r="X49" i="1"/>
  <c r="Y49" i="1"/>
  <c r="AB49" i="1"/>
  <c r="AB68" i="1"/>
  <c r="W68" i="1"/>
  <c r="X68" i="1"/>
  <c r="Y68" i="1"/>
  <c r="AB75" i="1"/>
  <c r="W75" i="1"/>
  <c r="X75" i="1"/>
  <c r="Y75" i="1"/>
  <c r="W79" i="1"/>
  <c r="X79" i="1"/>
  <c r="Y79" i="1"/>
  <c r="AB79" i="1"/>
  <c r="W53" i="1"/>
  <c r="X53" i="1"/>
  <c r="Y53" i="1"/>
  <c r="AB53" i="1"/>
  <c r="AB58" i="1"/>
  <c r="W58" i="1"/>
  <c r="X58" i="1"/>
  <c r="Y58" i="1"/>
  <c r="W71" i="1"/>
  <c r="X71" i="1"/>
  <c r="Y71" i="1"/>
  <c r="AB71" i="1"/>
  <c r="X20" i="1"/>
  <c r="W88" i="1"/>
  <c r="X88" i="1"/>
  <c r="Y88" i="1"/>
  <c r="AB88" i="1"/>
  <c r="W46" i="1"/>
  <c r="X46" i="1"/>
  <c r="Y46" i="1"/>
  <c r="AB46" i="1"/>
  <c r="AB85" i="1"/>
  <c r="W85" i="1"/>
  <c r="X85" i="1"/>
  <c r="Y85" i="1"/>
  <c r="AB77" i="1"/>
  <c r="W77" i="1"/>
  <c r="X77" i="1"/>
  <c r="Y77" i="1"/>
  <c r="W43" i="1"/>
  <c r="AB43" i="1"/>
  <c r="W81" i="1"/>
  <c r="X81" i="1"/>
  <c r="Y81" i="1"/>
  <c r="AB81" i="1"/>
  <c r="AB147" i="1"/>
  <c r="W147" i="1"/>
  <c r="X147" i="1"/>
  <c r="Y147" i="1"/>
  <c r="W155" i="1"/>
  <c r="X155" i="1"/>
  <c r="Y155" i="1"/>
  <c r="AB155" i="1"/>
  <c r="AB138" i="1"/>
  <c r="W138" i="1"/>
  <c r="X138" i="1"/>
  <c r="Y138" i="1"/>
  <c r="AB157" i="1"/>
  <c r="W157" i="1"/>
  <c r="X157" i="1"/>
  <c r="Y157" i="1"/>
  <c r="W145" i="1"/>
  <c r="X145" i="1"/>
  <c r="Y145" i="1"/>
  <c r="AB145" i="1"/>
  <c r="W143" i="1"/>
  <c r="X143" i="1"/>
  <c r="Y143" i="1"/>
  <c r="AB143" i="1"/>
  <c r="W120" i="1"/>
  <c r="X120" i="1"/>
  <c r="Y120" i="1"/>
  <c r="AB120" i="1"/>
  <c r="W123" i="1"/>
  <c r="X123" i="1"/>
  <c r="Y123" i="1"/>
  <c r="AB123" i="1"/>
  <c r="W140" i="1"/>
  <c r="X140" i="1"/>
  <c r="Y140" i="1"/>
  <c r="AB140" i="1"/>
  <c r="AB130" i="1"/>
  <c r="W130" i="1"/>
  <c r="X130" i="1"/>
  <c r="Y130" i="1"/>
  <c r="AB156" i="1"/>
  <c r="W156" i="1"/>
  <c r="X156" i="1"/>
  <c r="Y156" i="1"/>
  <c r="AB126" i="1"/>
  <c r="W126" i="1"/>
  <c r="X126" i="1"/>
  <c r="Y126" i="1"/>
  <c r="W153" i="1"/>
  <c r="X153" i="1"/>
  <c r="Y153" i="1"/>
  <c r="AB153" i="1"/>
  <c r="W135" i="1"/>
  <c r="X135" i="1"/>
  <c r="Y135" i="1"/>
  <c r="AB135" i="1"/>
  <c r="W134" i="1"/>
  <c r="X134" i="1"/>
  <c r="Y134" i="1"/>
  <c r="AB134" i="1"/>
  <c r="W132" i="1"/>
  <c r="X132" i="1"/>
  <c r="Y132" i="1"/>
  <c r="AB132" i="1"/>
  <c r="AB142" i="1"/>
  <c r="W142" i="1"/>
  <c r="X142" i="1"/>
  <c r="Y142" i="1"/>
  <c r="AB149" i="1"/>
  <c r="W149" i="1"/>
  <c r="X149" i="1"/>
  <c r="Y149" i="1"/>
  <c r="W131" i="1"/>
  <c r="X131" i="1"/>
  <c r="Y131" i="1"/>
  <c r="AB131" i="1"/>
  <c r="AB137" i="1"/>
  <c r="W137" i="1"/>
  <c r="X137" i="1"/>
  <c r="Y137" i="1"/>
  <c r="AB148" i="1"/>
  <c r="W148" i="1"/>
  <c r="X148" i="1"/>
  <c r="Y148" i="1"/>
  <c r="W136" i="1"/>
  <c r="X136" i="1"/>
  <c r="Y136" i="1"/>
  <c r="AB136" i="1"/>
  <c r="AB118" i="1"/>
  <c r="W118" i="1"/>
  <c r="X118" i="1"/>
  <c r="Y118" i="1"/>
  <c r="AB121" i="1"/>
  <c r="W121" i="1"/>
  <c r="X121" i="1"/>
  <c r="Y121" i="1"/>
  <c r="AB150" i="1"/>
  <c r="W150" i="1"/>
  <c r="X150" i="1"/>
  <c r="Y150" i="1"/>
  <c r="AB110" i="1"/>
  <c r="W110" i="1"/>
  <c r="X110" i="1"/>
  <c r="Y110" i="1"/>
  <c r="W139" i="1"/>
  <c r="X139" i="1"/>
  <c r="Y139" i="1"/>
  <c r="AB139" i="1"/>
  <c r="AB112" i="1"/>
  <c r="W112" i="1"/>
  <c r="X112" i="1"/>
  <c r="Y112" i="1"/>
  <c r="W152" i="1"/>
  <c r="X152" i="1"/>
  <c r="Y152" i="1"/>
  <c r="AB152" i="1"/>
  <c r="AB108" i="1"/>
  <c r="W108" i="1"/>
  <c r="AB128" i="1"/>
  <c r="W128" i="1"/>
  <c r="X128" i="1"/>
  <c r="Y128" i="1"/>
  <c r="W117" i="1"/>
  <c r="X117" i="1"/>
  <c r="Y117" i="1"/>
  <c r="AB117" i="1"/>
  <c r="W129" i="1"/>
  <c r="X129" i="1"/>
  <c r="Y129" i="1"/>
  <c r="AB129" i="1"/>
  <c r="W141" i="1"/>
  <c r="X141" i="1"/>
  <c r="Y141" i="1"/>
  <c r="AB141" i="1"/>
  <c r="AA104" i="1"/>
  <c r="AA174" i="1"/>
  <c r="O7" i="1"/>
  <c r="AB73" i="1"/>
  <c r="W73" i="1"/>
  <c r="X73" i="1"/>
  <c r="Y73" i="1"/>
  <c r="X43" i="1"/>
  <c r="Y20" i="1"/>
  <c r="W169" i="1"/>
  <c r="X108" i="1"/>
  <c r="W104" i="1"/>
  <c r="Y43" i="1"/>
  <c r="Y104" i="1"/>
  <c r="AA105" i="1"/>
  <c r="X104" i="1"/>
  <c r="Y108" i="1"/>
  <c r="Y169" i="1"/>
  <c r="X169" i="1"/>
  <c r="K39" i="1" l="1"/>
  <c r="K8" i="1"/>
  <c r="K7" i="1" s="1"/>
  <c r="W39" i="1"/>
  <c r="W174" i="1" s="1"/>
  <c r="X31" i="1"/>
  <c r="X39" i="1" l="1"/>
  <c r="X174" i="1" s="1"/>
  <c r="Y31" i="1"/>
  <c r="Y39" i="1" s="1"/>
  <c r="Y174" i="1" s="1"/>
</calcChain>
</file>

<file path=xl/comments1.xml><?xml version="1.0" encoding="utf-8"?>
<comments xmlns="http://schemas.openxmlformats.org/spreadsheetml/2006/main">
  <authors>
    <author>Allied Waste</author>
  </authors>
  <commentList>
    <comment ref="L5" authorId="0">
      <text>
        <r>
          <rPr>
            <b/>
            <sz val="8"/>
            <color indexed="81"/>
            <rFont val="Tahoma"/>
            <family val="2"/>
          </rPr>
          <t>Allied Waste: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These are regulated garbage disposal tons
</t>
        </r>
      </text>
    </comment>
  </commentList>
</comments>
</file>

<file path=xl/comments2.xml><?xml version="1.0" encoding="utf-8"?>
<comments xmlns="http://schemas.openxmlformats.org/spreadsheetml/2006/main">
  <authors>
    <author>Alex Brenner</author>
    <author>joannewright</author>
  </authors>
  <commentList>
    <comment ref="B12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'Commercial Op Stat Trend Report' - Total Disposal Tons + SOM (Sale of Material) Tons</t>
        </r>
      </text>
    </comment>
    <comment ref="B13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'Residential Op Stat Trend Report' - Total Disposal Tons + SOM (Sale of Material) Tons</t>
        </r>
      </text>
    </comment>
    <comment ref="B14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'Industrial Op Stat Trend Report' - Total Disposal Tons + SOM (Sale of Material) Tons</t>
        </r>
      </text>
    </comment>
    <comment ref="D21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2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25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D26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King County report
</t>
        </r>
      </text>
    </comment>
    <comment ref="R28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</t>
        </r>
      </text>
    </comment>
    <comment ref="D32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3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34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</t>
        </r>
      </text>
    </comment>
    <comment ref="D36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37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38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report.</t>
        </r>
      </text>
    </comment>
    <comment ref="D40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D41" authorId="1">
      <text>
        <r>
          <rPr>
            <b/>
            <sz val="8"/>
            <color indexed="81"/>
            <rFont val="Tahoma"/>
            <family val="2"/>
          </rPr>
          <t xml:space="preserve">Source:
</t>
        </r>
        <r>
          <rPr>
            <sz val="8"/>
            <color indexed="81"/>
            <rFont val="Tahoma"/>
            <family val="2"/>
          </rPr>
          <t>"ESMMYYTONS" Report (MMYY represents the month and year of report, this report is produced monthly)</t>
        </r>
      </text>
    </comment>
    <comment ref="R42" authorId="1">
      <text>
        <r>
          <rPr>
            <b/>
            <sz val="8"/>
            <color indexed="81"/>
            <rFont val="Tahoma"/>
            <family val="2"/>
          </rPr>
          <t>joannewright:</t>
        </r>
        <r>
          <rPr>
            <sz val="8"/>
            <color indexed="81"/>
            <rFont val="Tahoma"/>
            <family val="2"/>
          </rPr>
          <t xml:space="preserve">
Agrees with final disposal report.</t>
        </r>
      </text>
    </comment>
    <comment ref="C46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  <comment ref="C47" authorId="1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From daily disposal reports.</t>
        </r>
      </text>
    </comment>
  </commentList>
</comments>
</file>

<file path=xl/comments3.xml><?xml version="1.0" encoding="utf-8"?>
<comments xmlns="http://schemas.openxmlformats.org/spreadsheetml/2006/main">
  <authors>
    <author>Alex Brenner</author>
  </authors>
  <commentList>
    <comment ref="A10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1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12" authorId="0">
      <text>
        <r>
          <rPr>
            <b/>
            <sz val="8"/>
            <color indexed="81"/>
            <rFont val="Tahoma"/>
            <family val="2"/>
          </rPr>
          <t>Source: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<sst xmlns="http://schemas.openxmlformats.org/spreadsheetml/2006/main" count="391" uniqueCount="197">
  <si>
    <t>C.O.S.</t>
  </si>
  <si>
    <t>Res'l</t>
  </si>
  <si>
    <t>INPUTS</t>
  </si>
  <si>
    <t>COMM'L</t>
  </si>
  <si>
    <t xml:space="preserve"> </t>
  </si>
  <si>
    <t>DROPBOX</t>
  </si>
  <si>
    <t>TOTAL ALL SERVICES</t>
  </si>
  <si>
    <t xml:space="preserve"> RESIDENTIAL</t>
  </si>
  <si>
    <t xml:space="preserve"> COMM. CANS</t>
  </si>
  <si>
    <t xml:space="preserve"> CONTAINERS</t>
  </si>
  <si>
    <t>No. of</t>
  </si>
  <si>
    <t>Pickup</t>
  </si>
  <si>
    <t xml:space="preserve">Current </t>
  </si>
  <si>
    <t>Unit</t>
  </si>
  <si>
    <t>adjust</t>
  </si>
  <si>
    <t>Calculated</t>
  </si>
  <si>
    <t>Actual</t>
  </si>
  <si>
    <t>Annual</t>
  </si>
  <si>
    <t>Total</t>
  </si>
  <si>
    <t>Proposed</t>
  </si>
  <si>
    <t>Cust.</t>
  </si>
  <si>
    <t>Freq</t>
  </si>
  <si>
    <t>Current</t>
  </si>
  <si>
    <t>Monthly</t>
  </si>
  <si>
    <t>Lbs.</t>
  </si>
  <si>
    <t xml:space="preserve">unit </t>
  </si>
  <si>
    <t>Disposal</t>
  </si>
  <si>
    <t>Revenue</t>
  </si>
  <si>
    <t>Per</t>
  </si>
  <si>
    <t>Tariff</t>
  </si>
  <si>
    <t>Tons</t>
  </si>
  <si>
    <t>Rate</t>
  </si>
  <si>
    <t>Year</t>
  </si>
  <si>
    <t xml:space="preserve">RESIDENTIAL </t>
  </si>
  <si>
    <t>total residential</t>
  </si>
  <si>
    <t>#</t>
  </si>
  <si>
    <t>pu</t>
  </si>
  <si>
    <t>yds</t>
  </si>
  <si>
    <t>Multi-Family-Tariff 4</t>
  </si>
  <si>
    <t>TOTAL</t>
  </si>
  <si>
    <t>Current Rates</t>
  </si>
  <si>
    <t>Residential</t>
  </si>
  <si>
    <t>1 Mini Can</t>
  </si>
  <si>
    <t>1 Can wk</t>
  </si>
  <si>
    <t>2  Can wk</t>
  </si>
  <si>
    <t>3 Can wk</t>
  </si>
  <si>
    <t>4 Can wk</t>
  </si>
  <si>
    <t>5 Can wk</t>
  </si>
  <si>
    <t>6 Can wk</t>
  </si>
  <si>
    <t>1 Can Monthly</t>
  </si>
  <si>
    <t>32 Gal Tote wk</t>
  </si>
  <si>
    <t xml:space="preserve">Yardwaste </t>
  </si>
  <si>
    <t>Extras</t>
  </si>
  <si>
    <t>Mini Can Rental</t>
  </si>
  <si>
    <t>1 Can Rental</t>
  </si>
  <si>
    <t>32 Gal Toter Rental</t>
  </si>
  <si>
    <t>60 Gal Toter Rental</t>
  </si>
  <si>
    <t>90 Gal Toter Rental</t>
  </si>
  <si>
    <t>Total Residential</t>
  </si>
  <si>
    <t>Variance</t>
  </si>
  <si>
    <t>Yardwaste</t>
  </si>
  <si>
    <t>Commercial</t>
  </si>
  <si>
    <t xml:space="preserve">32 Gal Toter 1xweek </t>
  </si>
  <si>
    <t xml:space="preserve">64 Gal Toter 1xweek  </t>
  </si>
  <si>
    <t>96 Gal Toter 1xweek</t>
  </si>
  <si>
    <t>1 yd  on call</t>
  </si>
  <si>
    <t>1 yd  1xweek</t>
  </si>
  <si>
    <t>1.5 yd On Call</t>
  </si>
  <si>
    <t>1.5 yd 1xweek</t>
  </si>
  <si>
    <t>1.5 yd 2xweek</t>
  </si>
  <si>
    <t>1.5 yd 3xweek</t>
  </si>
  <si>
    <t>2yd On Call</t>
  </si>
  <si>
    <t>2 yd 1xweek</t>
  </si>
  <si>
    <t>2 yd 2xweek</t>
  </si>
  <si>
    <t>2 yd 3xweek</t>
  </si>
  <si>
    <t>2 yd 4xweek</t>
  </si>
  <si>
    <t>3 yd Comp Week</t>
  </si>
  <si>
    <t>3 yd  On Call</t>
  </si>
  <si>
    <t>3 yd 1xweek</t>
  </si>
  <si>
    <t>3 yd 2xweek</t>
  </si>
  <si>
    <t>3 yd 3xweek</t>
  </si>
  <si>
    <t>4 yd Comp Week</t>
  </si>
  <si>
    <t>4 yd On Call</t>
  </si>
  <si>
    <t>4 yd 1xweek</t>
  </si>
  <si>
    <t>4 yd 2xweek</t>
  </si>
  <si>
    <t>4 yd 3xweek</t>
  </si>
  <si>
    <t>4 yd 4xweek</t>
  </si>
  <si>
    <t>6 yd Comp Week</t>
  </si>
  <si>
    <t>6 yd  On Call</t>
  </si>
  <si>
    <t>6 yd 1xweek</t>
  </si>
  <si>
    <t>6 yd 2xweek</t>
  </si>
  <si>
    <t>6 yd 3xweek</t>
  </si>
  <si>
    <t>6 yd 4xweek</t>
  </si>
  <si>
    <t>8 yd   On Call</t>
  </si>
  <si>
    <t>8 yd  1xweek</t>
  </si>
  <si>
    <t>8 yd  2xweek</t>
  </si>
  <si>
    <t>8 yd  3xweek</t>
  </si>
  <si>
    <t>8 yd  4xweek</t>
  </si>
  <si>
    <t>8 yd  5xweek</t>
  </si>
  <si>
    <t>32 Gal Toter Rent</t>
  </si>
  <si>
    <t>64 Gal Toter Rent</t>
  </si>
  <si>
    <t>96 Gal Toter Rent</t>
  </si>
  <si>
    <t>1 yd Rent</t>
  </si>
  <si>
    <t>1.5 yd Rent</t>
  </si>
  <si>
    <t>2 yd Rent</t>
  </si>
  <si>
    <t>3 yd Rent</t>
  </si>
  <si>
    <t>4 yd Rent</t>
  </si>
  <si>
    <t>6 yd Rent</t>
  </si>
  <si>
    <t>8 yd Rent</t>
  </si>
  <si>
    <t>Annual Revenue</t>
  </si>
  <si>
    <t>Total Commercial</t>
  </si>
  <si>
    <t>Recycling</t>
  </si>
  <si>
    <t>Commercial Recycling</t>
  </si>
  <si>
    <t>Disposal Breakout-Regulated vs.Contract</t>
  </si>
  <si>
    <t>TONS</t>
  </si>
  <si>
    <t>Per General Ledger</t>
  </si>
  <si>
    <t>Rolloff</t>
  </si>
  <si>
    <t>% Variance</t>
  </si>
  <si>
    <t>Garbage</t>
  </si>
  <si>
    <t>Reg Garbage</t>
  </si>
  <si>
    <t>Unreg Garbage</t>
  </si>
  <si>
    <t>Total Garbage</t>
  </si>
  <si>
    <t>MF Recy Reg-</t>
  </si>
  <si>
    <t>Tota Recycling</t>
  </si>
  <si>
    <t>Regulated</t>
  </si>
  <si>
    <t>Unregulated</t>
  </si>
  <si>
    <t>Total Recycling</t>
  </si>
  <si>
    <t>Total Yardwaste</t>
  </si>
  <si>
    <t>Total Rolloff</t>
  </si>
  <si>
    <t>Total Disposal</t>
  </si>
  <si>
    <t>Total Regulated</t>
  </si>
  <si>
    <t>Multifamily recycling</t>
  </si>
  <si>
    <t>PRICE</t>
  </si>
  <si>
    <t>MF Reg-Recycle</t>
  </si>
  <si>
    <t>Multi Family Unreg</t>
  </si>
  <si>
    <t>CommercialRecycling</t>
  </si>
  <si>
    <t>Regulated-Tariff 10</t>
  </si>
  <si>
    <t>COST</t>
  </si>
  <si>
    <t>MF Reg-Tariff 10-Recycle</t>
  </si>
  <si>
    <t>Average Cost</t>
  </si>
  <si>
    <t>Cedar Grove</t>
  </si>
  <si>
    <t>Price</t>
  </si>
  <si>
    <t>Cost</t>
  </si>
  <si>
    <t>3rd &amp; Lander</t>
  </si>
  <si>
    <t>Roll Off Average Cost Analysis</t>
  </si>
  <si>
    <t>Total Tons</t>
  </si>
  <si>
    <t>Regulated Tons</t>
  </si>
  <si>
    <t>Unregulated Tons</t>
  </si>
  <si>
    <t>Total COGS</t>
  </si>
  <si>
    <t>Regulated Disposal</t>
  </si>
  <si>
    <t>Unregulated Disposal</t>
  </si>
  <si>
    <t>Regulated Disposal Cost/Ton</t>
  </si>
  <si>
    <t>Unregulated Disposal Cost/Ton</t>
  </si>
  <si>
    <t>Baileys Yardwaste</t>
  </si>
  <si>
    <t>Adj Factor</t>
  </si>
  <si>
    <t>Total Yds</t>
  </si>
  <si>
    <t>Current Disposal Rate</t>
  </si>
  <si>
    <t>Jan 1, 2012 Disposal Rate</t>
  </si>
  <si>
    <t>Difference</t>
  </si>
  <si>
    <t>Per Lb Difference</t>
  </si>
  <si>
    <t>Current B&amp;O Tax Rate</t>
  </si>
  <si>
    <t>Current WUTC Fee Rate</t>
  </si>
  <si>
    <t>Total Revenue Tax</t>
  </si>
  <si>
    <t>RES/COMM</t>
  </si>
  <si>
    <t xml:space="preserve">PER </t>
  </si>
  <si>
    <t>PER</t>
  </si>
  <si>
    <t>PICKUP</t>
  </si>
  <si>
    <t>MONTH</t>
  </si>
  <si>
    <t>Impact</t>
  </si>
  <si>
    <t>Rev Tax</t>
  </si>
  <si>
    <t xml:space="preserve">MONTHLY </t>
  </si>
  <si>
    <t>CHANGE</t>
  </si>
  <si>
    <t>w/Disposal Increase</t>
  </si>
  <si>
    <t>Monthly Revenue</t>
  </si>
  <si>
    <t>Increase</t>
  </si>
  <si>
    <t>Annual Disposal</t>
  </si>
  <si>
    <t>Allied Waste of SeaTac</t>
  </si>
  <si>
    <t>Tariff 26</t>
  </si>
  <si>
    <t>COMMERCIAL-Tariff 26</t>
  </si>
  <si>
    <t xml:space="preserve">  Commercial Subtotal-Tariff 26</t>
  </si>
  <si>
    <t xml:space="preserve">  Multi-Family Subtotal-Tariff 26</t>
  </si>
  <si>
    <t>1 yd  2xweek</t>
  </si>
  <si>
    <t>2 yd 5xweek</t>
  </si>
  <si>
    <t>2 yd 6xweek</t>
  </si>
  <si>
    <t>3 yd 4xweek</t>
  </si>
  <si>
    <t>4 yd 6xweek</t>
  </si>
  <si>
    <t>5 yd Comp Week</t>
  </si>
  <si>
    <t xml:space="preserve">20 Gal Toter 1xweek </t>
  </si>
  <si>
    <t>3 yd Comp Week (5x Comp)</t>
  </si>
  <si>
    <t>4 yd Comp Week (5x Comp)</t>
  </si>
  <si>
    <t>5 yd Comp Week (5x Comp)</t>
  </si>
  <si>
    <t>6 yd Comp Week (5x Comp)</t>
  </si>
  <si>
    <t>1 yd Comp Week (5x Comp)</t>
  </si>
  <si>
    <t>2 yd Comp Week (5x Comp)</t>
  </si>
  <si>
    <t>AW of Kent</t>
  </si>
  <si>
    <t>64 Gal Tote wk</t>
  </si>
  <si>
    <t>96 Gal Tote wk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</si>
</sst>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#,##0.000_);\(#,##0.000\)"/>
    <numFmt numFmtId="167" formatCode="_(* #,##0_);_(* \(#,##0\);_(* &quot;-&quot;??_);_(@_)"/>
    <numFmt numFmtId="168" formatCode="0.0"/>
    <numFmt numFmtId="169" formatCode="#,##0.0_);\(#,##0.0\)"/>
    <numFmt numFmtId="170" formatCode="0.000"/>
    <numFmt numFmtId="177" formatCode="0.0000%"/>
    <numFmt numFmtId="179" formatCode="_(&quot;$&quot;* #,##0_);_(&quot;$&quot;* \(#,##0\);_(&quot;$&quot;* &quot;-&quot;??_);_(@_)"/>
    <numFmt numFmtId="186" formatCode="_-&quot;$&quot;* #,##0.00_-;\-&quot;$&quot;* #,##0.00_-;_-&quot;$&quot;* &quot;-&quot;??_-;_-@_-"/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?_-;_-@_-"/>
    <numFmt numFmtId="190" formatCode="_-&quot;$&quot;* #,##0_-;\-&quot;$&quot;* #,##0_-;_-&quot;$&quot;* &quot;-&quot;??_-;_-@_-"/>
    <numFmt numFmtId="206" formatCode="_(&quot;$&quot;* #,##0.000_);_(&quot;$&quot;* \(#,##0.000\);_(&quot;$&quot;* &quot;-&quot;??_);_(@_)"/>
  </numFmts>
  <fonts count="41">
    <font>
      <sz val="8"/>
      <name val="Arial"/>
    </font>
    <font>
      <sz val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SWISS"/>
    </font>
    <font>
      <b/>
      <sz val="11"/>
      <color indexed="63"/>
      <name val="Calibri"/>
      <family val="2"/>
    </font>
    <font>
      <sz val="12"/>
      <name val="Arial MT"/>
    </font>
    <font>
      <b/>
      <u/>
      <sz val="1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8"/>
      <color indexed="45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17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87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186" fontId="7" fillId="0" borderId="0" applyFont="0" applyFill="0" applyBorder="0" applyAlignment="0" applyProtection="0"/>
    <xf numFmtId="14" fontId="7" fillId="0" borderId="0"/>
    <xf numFmtId="0" fontId="8" fillId="0" borderId="0" applyNumberFormat="0" applyFill="0" applyBorder="0" applyAlignment="0" applyProtection="0"/>
    <xf numFmtId="1" fontId="7" fillId="0" borderId="0">
      <alignment horizontal="center"/>
    </xf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16" fillId="23" borderId="0" applyProtection="0"/>
    <xf numFmtId="0" fontId="7" fillId="0" borderId="0"/>
    <xf numFmtId="0" fontId="7" fillId="0" borderId="0"/>
    <xf numFmtId="0" fontId="1" fillId="24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37" fontId="19" fillId="0" borderId="0"/>
    <xf numFmtId="37" fontId="20" fillId="0" borderId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192">
    <xf numFmtId="0" fontId="0" fillId="0" borderId="0" xfId="0"/>
    <xf numFmtId="0" fontId="23" fillId="0" borderId="0" xfId="45" applyNumberFormat="1" applyFont="1" applyFill="1"/>
    <xf numFmtId="41" fontId="23" fillId="0" borderId="0" xfId="45" applyNumberFormat="1" applyFont="1" applyFill="1"/>
    <xf numFmtId="3" fontId="23" fillId="0" borderId="0" xfId="45" applyNumberFormat="1" applyFont="1" applyFill="1"/>
    <xf numFmtId="37" fontId="23" fillId="0" borderId="0" xfId="45" applyNumberFormat="1" applyFont="1" applyFill="1"/>
    <xf numFmtId="165" fontId="23" fillId="0" borderId="0" xfId="45" applyNumberFormat="1" applyFont="1" applyFill="1"/>
    <xf numFmtId="37" fontId="24" fillId="0" borderId="0" xfId="45" applyNumberFormat="1" applyFont="1" applyFill="1"/>
    <xf numFmtId="0" fontId="23" fillId="0" borderId="0" xfId="45" applyNumberFormat="1" applyFont="1" applyFill="1" applyAlignment="1">
      <alignment horizontal="center"/>
    </xf>
    <xf numFmtId="37" fontId="23" fillId="0" borderId="0" xfId="45" applyNumberFormat="1" applyFont="1" applyFill="1" applyAlignment="1">
      <alignment horizontal="center"/>
    </xf>
    <xf numFmtId="167" fontId="23" fillId="0" borderId="0" xfId="45" applyNumberFormat="1" applyFont="1" applyFill="1"/>
    <xf numFmtId="37" fontId="25" fillId="0" borderId="0" xfId="45" applyNumberFormat="1" applyFont="1" applyFill="1"/>
    <xf numFmtId="0" fontId="23" fillId="0" borderId="10" xfId="45" applyNumberFormat="1" applyFont="1" applyFill="1" applyBorder="1"/>
    <xf numFmtId="37" fontId="23" fillId="0" borderId="10" xfId="45" applyNumberFormat="1" applyFont="1" applyFill="1" applyBorder="1"/>
    <xf numFmtId="41" fontId="23" fillId="0" borderId="10" xfId="45" applyNumberFormat="1" applyFont="1" applyFill="1" applyBorder="1"/>
    <xf numFmtId="10" fontId="23" fillId="0" borderId="0" xfId="50" applyNumberFormat="1" applyFont="1" applyFill="1"/>
    <xf numFmtId="167" fontId="23" fillId="0" borderId="0" xfId="28" applyNumberFormat="1" applyFont="1" applyFill="1" applyAlignment="1">
      <alignment horizontal="center"/>
    </xf>
    <xf numFmtId="0" fontId="23" fillId="0" borderId="0" xfId="45" applyNumberFormat="1" applyFont="1" applyFill="1" applyBorder="1"/>
    <xf numFmtId="37" fontId="23" fillId="0" borderId="0" xfId="45" applyNumberFormat="1" applyFont="1" applyFill="1" applyBorder="1"/>
    <xf numFmtId="41" fontId="23" fillId="0" borderId="0" xfId="45" applyNumberFormat="1" applyFont="1" applyFill="1" applyBorder="1"/>
    <xf numFmtId="164" fontId="23" fillId="0" borderId="0" xfId="50" applyNumberFormat="1" applyFont="1" applyFill="1" applyBorder="1"/>
    <xf numFmtId="167" fontId="25" fillId="0" borderId="0" xfId="28" applyNumberFormat="1" applyFont="1" applyFill="1" applyAlignment="1">
      <alignment horizontal="center"/>
    </xf>
    <xf numFmtId="0" fontId="23" fillId="0" borderId="11" xfId="45" applyNumberFormat="1" applyFont="1" applyFill="1" applyBorder="1"/>
    <xf numFmtId="37" fontId="26" fillId="0" borderId="11" xfId="45" applyNumberFormat="1" applyFont="1" applyFill="1" applyBorder="1"/>
    <xf numFmtId="167" fontId="26" fillId="0" borderId="11" xfId="28" applyNumberFormat="1" applyFont="1" applyFill="1" applyBorder="1"/>
    <xf numFmtId="41" fontId="26" fillId="0" borderId="11" xfId="45" applyNumberFormat="1" applyFont="1" applyFill="1" applyBorder="1"/>
    <xf numFmtId="2" fontId="23" fillId="0" borderId="0" xfId="45" applyNumberFormat="1" applyFont="1" applyFill="1" applyAlignment="1">
      <alignment horizontal="center"/>
    </xf>
    <xf numFmtId="41" fontId="23" fillId="0" borderId="0" xfId="45" applyNumberFormat="1" applyFont="1" applyFill="1" applyAlignment="1">
      <alignment horizontal="center"/>
    </xf>
    <xf numFmtId="37" fontId="26" fillId="0" borderId="0" xfId="45" applyNumberFormat="1" applyFont="1" applyFill="1" applyBorder="1"/>
    <xf numFmtId="41" fontId="26" fillId="0" borderId="0" xfId="45" applyNumberFormat="1" applyFont="1" applyFill="1" applyBorder="1"/>
    <xf numFmtId="0" fontId="23" fillId="0" borderId="12" xfId="45" applyNumberFormat="1" applyFont="1" applyFill="1" applyBorder="1"/>
    <xf numFmtId="0" fontId="23" fillId="0" borderId="0" xfId="47" applyFont="1" applyFill="1" applyAlignment="1">
      <alignment horizontal="left"/>
    </xf>
    <xf numFmtId="3" fontId="24" fillId="0" borderId="0" xfId="47" applyNumberFormat="1" applyFont="1" applyFill="1" applyAlignment="1">
      <alignment horizontal="center"/>
    </xf>
    <xf numFmtId="1" fontId="23" fillId="0" borderId="0" xfId="45" applyNumberFormat="1" applyFont="1" applyFill="1"/>
    <xf numFmtId="44" fontId="24" fillId="0" borderId="0" xfId="31" applyFont="1" applyFill="1" applyAlignment="1">
      <alignment horizontal="center"/>
    </xf>
    <xf numFmtId="43" fontId="24" fillId="0" borderId="0" xfId="28" applyFont="1" applyFill="1" applyProtection="1"/>
    <xf numFmtId="2" fontId="23" fillId="0" borderId="0" xfId="45" applyNumberFormat="1" applyFont="1" applyFill="1"/>
    <xf numFmtId="43" fontId="23" fillId="0" borderId="0" xfId="28" applyFont="1" applyFill="1"/>
    <xf numFmtId="43" fontId="23" fillId="0" borderId="0" xfId="45" applyNumberFormat="1" applyFont="1" applyFill="1"/>
    <xf numFmtId="4" fontId="24" fillId="0" borderId="0" xfId="47" applyNumberFormat="1" applyFont="1" applyFill="1" applyAlignment="1">
      <alignment horizontal="center"/>
    </xf>
    <xf numFmtId="2" fontId="24" fillId="0" borderId="0" xfId="45" applyNumberFormat="1" applyFont="1" applyFill="1"/>
    <xf numFmtId="4" fontId="24" fillId="0" borderId="0" xfId="47" applyNumberFormat="1" applyFont="1" applyFill="1" applyAlignment="1" applyProtection="1">
      <alignment horizontal="center"/>
    </xf>
    <xf numFmtId="0" fontId="24" fillId="0" borderId="0" xfId="45" applyFont="1" applyFill="1" applyAlignment="1">
      <alignment horizontal="center"/>
    </xf>
    <xf numFmtId="39" fontId="24" fillId="0" borderId="0" xfId="45" applyNumberFormat="1" applyFont="1" applyFill="1" applyAlignment="1" applyProtection="1">
      <alignment horizontal="center"/>
    </xf>
    <xf numFmtId="41" fontId="23" fillId="0" borderId="0" xfId="28" applyNumberFormat="1" applyFont="1" applyFill="1"/>
    <xf numFmtId="0" fontId="27" fillId="0" borderId="11" xfId="45" applyNumberFormat="1" applyFont="1" applyFill="1" applyBorder="1"/>
    <xf numFmtId="41" fontId="27" fillId="0" borderId="11" xfId="45" applyNumberFormat="1" applyFont="1" applyFill="1" applyBorder="1"/>
    <xf numFmtId="37" fontId="27" fillId="0" borderId="11" xfId="45" applyNumberFormat="1" applyFont="1" applyFill="1" applyBorder="1"/>
    <xf numFmtId="0" fontId="28" fillId="0" borderId="0" xfId="45" applyNumberFormat="1" applyFont="1" applyFill="1" applyAlignment="1">
      <alignment horizontal="center"/>
    </xf>
    <xf numFmtId="0" fontId="27" fillId="0" borderId="0" xfId="45" applyNumberFormat="1" applyFont="1" applyFill="1"/>
    <xf numFmtId="44" fontId="23" fillId="0" borderId="0" xfId="31" applyFont="1" applyFill="1"/>
    <xf numFmtId="0" fontId="23" fillId="0" borderId="0" xfId="0" applyFont="1" applyFill="1"/>
    <xf numFmtId="37" fontId="23" fillId="0" borderId="0" xfId="45" applyNumberFormat="1" applyFont="1" applyFill="1" applyAlignment="1" applyProtection="1">
      <alignment horizontal="center"/>
    </xf>
    <xf numFmtId="1" fontId="24" fillId="0" borderId="0" xfId="45" applyNumberFormat="1" applyFont="1" applyFill="1" applyAlignment="1">
      <alignment horizontal="center"/>
    </xf>
    <xf numFmtId="44" fontId="24" fillId="0" borderId="0" xfId="31" applyFont="1" applyFill="1" applyAlignment="1" applyProtection="1">
      <alignment horizontal="center"/>
    </xf>
    <xf numFmtId="169" fontId="23" fillId="0" borderId="0" xfId="45" applyNumberFormat="1" applyFont="1" applyFill="1"/>
    <xf numFmtId="164" fontId="23" fillId="0" borderId="0" xfId="50" applyNumberFormat="1" applyFont="1" applyFill="1"/>
    <xf numFmtId="167" fontId="23" fillId="0" borderId="0" xfId="28" applyNumberFormat="1" applyFont="1" applyFill="1"/>
    <xf numFmtId="0" fontId="23" fillId="0" borderId="0" xfId="47" applyFont="1" applyFill="1" applyBorder="1" applyAlignment="1" applyProtection="1">
      <alignment horizontal="left"/>
    </xf>
    <xf numFmtId="170" fontId="24" fillId="0" borderId="0" xfId="45" applyNumberFormat="1" applyFont="1" applyFill="1" applyProtection="1"/>
    <xf numFmtId="0" fontId="23" fillId="0" borderId="0" xfId="47" applyFont="1" applyFill="1" applyBorder="1" applyAlignment="1" applyProtection="1">
      <alignment horizontal="center"/>
    </xf>
    <xf numFmtId="0" fontId="27" fillId="0" borderId="13" xfId="47" applyFont="1" applyFill="1" applyBorder="1" applyProtection="1"/>
    <xf numFmtId="0" fontId="28" fillId="0" borderId="0" xfId="47" applyFont="1" applyFill="1" applyBorder="1" applyAlignment="1" applyProtection="1">
      <alignment horizontal="center"/>
    </xf>
    <xf numFmtId="168" fontId="24" fillId="0" borderId="0" xfId="45" applyNumberFormat="1" applyFont="1" applyFill="1" applyAlignment="1">
      <alignment horizontal="center"/>
    </xf>
    <xf numFmtId="0" fontId="23" fillId="0" borderId="0" xfId="47" applyFont="1" applyFill="1"/>
    <xf numFmtId="37" fontId="29" fillId="0" borderId="0" xfId="47" applyNumberFormat="1" applyFont="1" applyAlignment="1" applyProtection="1"/>
    <xf numFmtId="0" fontId="31" fillId="0" borderId="0" xfId="46" applyFont="1"/>
    <xf numFmtId="0" fontId="7" fillId="0" borderId="0" xfId="46"/>
    <xf numFmtId="0" fontId="7" fillId="0" borderId="0" xfId="46" applyAlignment="1">
      <alignment horizontal="right"/>
    </xf>
    <xf numFmtId="17" fontId="31" fillId="25" borderId="0" xfId="46" applyNumberFormat="1" applyFont="1" applyFill="1" applyAlignment="1">
      <alignment horizontal="center"/>
    </xf>
    <xf numFmtId="17" fontId="31" fillId="0" borderId="0" xfId="46" applyNumberFormat="1" applyFont="1" applyAlignment="1">
      <alignment horizontal="center"/>
    </xf>
    <xf numFmtId="0" fontId="31" fillId="0" borderId="0" xfId="46" applyFont="1" applyAlignment="1">
      <alignment horizontal="center"/>
    </xf>
    <xf numFmtId="0" fontId="32" fillId="0" borderId="0" xfId="46" applyFont="1" applyAlignment="1">
      <alignment horizontal="center"/>
    </xf>
    <xf numFmtId="0" fontId="33" fillId="0" borderId="0" xfId="46" applyFont="1"/>
    <xf numFmtId="17" fontId="32" fillId="0" borderId="0" xfId="46" applyNumberFormat="1" applyFont="1" applyAlignment="1">
      <alignment horizontal="center"/>
    </xf>
    <xf numFmtId="167" fontId="7" fillId="0" borderId="0" xfId="29" applyNumberFormat="1"/>
    <xf numFmtId="167" fontId="7" fillId="0" borderId="0" xfId="29" applyNumberFormat="1" applyFont="1"/>
    <xf numFmtId="167" fontId="7" fillId="0" borderId="14" xfId="29" applyNumberFormat="1" applyBorder="1"/>
    <xf numFmtId="0" fontId="30" fillId="0" borderId="0" xfId="46" applyFont="1"/>
    <xf numFmtId="37" fontId="30" fillId="0" borderId="0" xfId="30" applyNumberFormat="1" applyFont="1"/>
    <xf numFmtId="37" fontId="30" fillId="0" borderId="0" xfId="30" applyNumberFormat="1" applyFont="1" applyBorder="1"/>
    <xf numFmtId="167" fontId="34" fillId="0" borderId="0" xfId="29" applyNumberFormat="1" applyFont="1"/>
    <xf numFmtId="0" fontId="34" fillId="0" borderId="0" xfId="46" applyFont="1"/>
    <xf numFmtId="0" fontId="35" fillId="0" borderId="0" xfId="46" applyFont="1"/>
    <xf numFmtId="164" fontId="30" fillId="0" borderId="0" xfId="50" applyNumberFormat="1" applyFont="1"/>
    <xf numFmtId="43" fontId="31" fillId="0" borderId="0" xfId="46" applyNumberFormat="1" applyFont="1"/>
    <xf numFmtId="43" fontId="7" fillId="0" borderId="0" xfId="46" applyNumberFormat="1"/>
    <xf numFmtId="0" fontId="7" fillId="0" borderId="0" xfId="46" applyFont="1"/>
    <xf numFmtId="0" fontId="7" fillId="0" borderId="0" xfId="0" applyFont="1"/>
    <xf numFmtId="167" fontId="7" fillId="25" borderId="0" xfId="29" applyNumberFormat="1" applyFill="1"/>
    <xf numFmtId="10" fontId="7" fillId="0" borderId="0" xfId="50" applyNumberFormat="1" applyFont="1"/>
    <xf numFmtId="43" fontId="7" fillId="0" borderId="0" xfId="29" applyNumberFormat="1"/>
    <xf numFmtId="167" fontId="7" fillId="0" borderId="0" xfId="29" applyNumberFormat="1" applyFont="1" applyFill="1"/>
    <xf numFmtId="0" fontId="7" fillId="0" borderId="15" xfId="46" applyBorder="1"/>
    <xf numFmtId="0" fontId="7" fillId="0" borderId="10" xfId="46" applyBorder="1"/>
    <xf numFmtId="167" fontId="7" fillId="25" borderId="10" xfId="29" applyNumberFormat="1" applyFill="1" applyBorder="1"/>
    <xf numFmtId="167" fontId="7" fillId="0" borderId="16" xfId="29" applyNumberFormat="1" applyBorder="1"/>
    <xf numFmtId="0" fontId="7" fillId="0" borderId="0" xfId="46" applyFill="1"/>
    <xf numFmtId="0" fontId="7" fillId="0" borderId="0" xfId="46" applyFont="1" applyFill="1" applyBorder="1"/>
    <xf numFmtId="0" fontId="7" fillId="0" borderId="0" xfId="46" applyFill="1" applyBorder="1"/>
    <xf numFmtId="167" fontId="7" fillId="0" borderId="0" xfId="29" applyNumberFormat="1" applyFill="1" applyBorder="1"/>
    <xf numFmtId="167" fontId="7" fillId="0" borderId="0" xfId="29" applyNumberFormat="1" applyFill="1"/>
    <xf numFmtId="43" fontId="7" fillId="0" borderId="0" xfId="29" applyNumberFormat="1" applyFill="1"/>
    <xf numFmtId="0" fontId="7" fillId="0" borderId="17" xfId="46" applyFont="1" applyBorder="1"/>
    <xf numFmtId="0" fontId="7" fillId="0" borderId="14" xfId="46" applyBorder="1"/>
    <xf numFmtId="167" fontId="7" fillId="25" borderId="14" xfId="29" applyNumberFormat="1" applyFill="1" applyBorder="1"/>
    <xf numFmtId="167" fontId="7" fillId="0" borderId="18" xfId="29" applyNumberFormat="1" applyBorder="1"/>
    <xf numFmtId="43" fontId="7" fillId="0" borderId="0" xfId="29"/>
    <xf numFmtId="0" fontId="31" fillId="0" borderId="19" xfId="46" applyFont="1" applyBorder="1"/>
    <xf numFmtId="0" fontId="31" fillId="0" borderId="20" xfId="46" applyFont="1" applyBorder="1"/>
    <xf numFmtId="167" fontId="31" fillId="0" borderId="20" xfId="29" applyNumberFormat="1" applyFont="1" applyBorder="1"/>
    <xf numFmtId="167" fontId="31" fillId="0" borderId="21" xfId="29" applyNumberFormat="1" applyFont="1" applyBorder="1"/>
    <xf numFmtId="167" fontId="7" fillId="0" borderId="0" xfId="46" applyNumberFormat="1"/>
    <xf numFmtId="167" fontId="7" fillId="25" borderId="0" xfId="29" applyNumberFormat="1" applyFont="1" applyFill="1"/>
    <xf numFmtId="0" fontId="7" fillId="0" borderId="17" xfId="46" applyBorder="1"/>
    <xf numFmtId="188" fontId="7" fillId="0" borderId="0" xfId="30" applyNumberFormat="1"/>
    <xf numFmtId="167" fontId="31" fillId="25" borderId="20" xfId="29" applyNumberFormat="1" applyFont="1" applyFill="1" applyBorder="1"/>
    <xf numFmtId="167" fontId="31" fillId="0" borderId="20" xfId="46" applyNumberFormat="1" applyFont="1" applyBorder="1"/>
    <xf numFmtId="167" fontId="31" fillId="0" borderId="21" xfId="46" applyNumberFormat="1" applyFont="1" applyBorder="1"/>
    <xf numFmtId="167" fontId="31" fillId="0" borderId="14" xfId="29" applyNumberFormat="1" applyFont="1" applyBorder="1"/>
    <xf numFmtId="167" fontId="31" fillId="0" borderId="0" xfId="29" applyNumberFormat="1" applyFont="1" applyBorder="1"/>
    <xf numFmtId="187" fontId="7" fillId="0" borderId="0" xfId="30" applyFill="1"/>
    <xf numFmtId="187" fontId="31" fillId="0" borderId="0" xfId="30" applyFont="1"/>
    <xf numFmtId="187" fontId="7" fillId="26" borderId="0" xfId="30" applyFill="1"/>
    <xf numFmtId="44" fontId="7" fillId="0" borderId="0" xfId="33" applyNumberFormat="1" applyFill="1"/>
    <xf numFmtId="44" fontId="31" fillId="0" borderId="0" xfId="33" applyNumberFormat="1" applyFont="1"/>
    <xf numFmtId="44" fontId="7" fillId="0" borderId="14" xfId="33" applyNumberFormat="1" applyBorder="1"/>
    <xf numFmtId="44" fontId="7" fillId="0" borderId="0" xfId="33" applyNumberFormat="1"/>
    <xf numFmtId="44" fontId="7" fillId="0" borderId="0" xfId="32"/>
    <xf numFmtId="44" fontId="7" fillId="0" borderId="0" xfId="33" applyNumberFormat="1" applyFont="1" applyFill="1"/>
    <xf numFmtId="44" fontId="31" fillId="0" borderId="0" xfId="33" applyNumberFormat="1" applyFont="1" applyFill="1"/>
    <xf numFmtId="167" fontId="7" fillId="0" borderId="0" xfId="29" applyNumberFormat="1" applyBorder="1"/>
    <xf numFmtId="167" fontId="31" fillId="25" borderId="0" xfId="29" applyNumberFormat="1" applyFont="1" applyFill="1"/>
    <xf numFmtId="167" fontId="31" fillId="0" borderId="0" xfId="29" applyNumberFormat="1" applyFont="1"/>
    <xf numFmtId="167" fontId="31" fillId="0" borderId="0" xfId="29" applyNumberFormat="1" applyFont="1" applyFill="1" applyBorder="1"/>
    <xf numFmtId="167" fontId="31" fillId="0" borderId="0" xfId="46" applyNumberFormat="1" applyFont="1"/>
    <xf numFmtId="167" fontId="30" fillId="0" borderId="0" xfId="29" applyNumberFormat="1" applyFont="1"/>
    <xf numFmtId="167" fontId="7" fillId="0" borderId="0" xfId="46" applyNumberFormat="1" applyFill="1"/>
    <xf numFmtId="167" fontId="31" fillId="0" borderId="13" xfId="29" applyNumberFormat="1" applyFont="1" applyBorder="1"/>
    <xf numFmtId="190" fontId="7" fillId="0" borderId="0" xfId="33" applyNumberFormat="1"/>
    <xf numFmtId="17" fontId="31" fillId="0" borderId="13" xfId="46" quotePrefix="1" applyNumberFormat="1" applyFont="1" applyBorder="1" applyAlignment="1">
      <alignment horizontal="center"/>
    </xf>
    <xf numFmtId="0" fontId="31" fillId="0" borderId="13" xfId="46" applyFont="1" applyBorder="1" applyAlignment="1">
      <alignment horizontal="center"/>
    </xf>
    <xf numFmtId="187" fontId="7" fillId="0" borderId="0" xfId="30" applyFont="1" applyFill="1" applyBorder="1" applyAlignment="1"/>
    <xf numFmtId="187" fontId="7" fillId="0" borderId="0" xfId="30"/>
    <xf numFmtId="187" fontId="34" fillId="27" borderId="0" xfId="30" applyFont="1" applyFill="1"/>
    <xf numFmtId="187" fontId="36" fillId="27" borderId="0" xfId="30" applyFont="1" applyFill="1"/>
    <xf numFmtId="164" fontId="36" fillId="27" borderId="0" xfId="50" applyNumberFormat="1" applyFont="1" applyFill="1"/>
    <xf numFmtId="17" fontId="7" fillId="0" borderId="0" xfId="46" applyNumberFormat="1"/>
    <xf numFmtId="189" fontId="7" fillId="0" borderId="0" xfId="30" applyNumberFormat="1"/>
    <xf numFmtId="0" fontId="7" fillId="0" borderId="0" xfId="46" applyFont="1" applyBorder="1" applyAlignment="1">
      <alignment horizontal="right"/>
    </xf>
    <xf numFmtId="190" fontId="7" fillId="0" borderId="0" xfId="33" applyNumberFormat="1" applyBorder="1"/>
    <xf numFmtId="0" fontId="7" fillId="0" borderId="13" xfId="46" applyFont="1" applyBorder="1" applyAlignment="1">
      <alignment horizontal="right"/>
    </xf>
    <xf numFmtId="190" fontId="7" fillId="0" borderId="13" xfId="33" applyNumberFormat="1" applyBorder="1"/>
    <xf numFmtId="186" fontId="7" fillId="0" borderId="0" xfId="33"/>
    <xf numFmtId="0" fontId="23" fillId="0" borderId="0" xfId="45" applyNumberFormat="1" applyFont="1" applyFill="1" applyAlignment="1">
      <alignment horizontal="right"/>
    </xf>
    <xf numFmtId="44" fontId="23" fillId="25" borderId="22" xfId="31" applyFont="1" applyFill="1" applyBorder="1"/>
    <xf numFmtId="206" fontId="23" fillId="0" borderId="0" xfId="31" applyNumberFormat="1" applyFont="1" applyFill="1"/>
    <xf numFmtId="0" fontId="23" fillId="0" borderId="0" xfId="45" applyNumberFormat="1" applyFont="1" applyFill="1" applyBorder="1" applyAlignment="1">
      <alignment horizontal="right"/>
    </xf>
    <xf numFmtId="177" fontId="23" fillId="0" borderId="0" xfId="45" applyNumberFormat="1" applyFont="1" applyFill="1"/>
    <xf numFmtId="177" fontId="23" fillId="25" borderId="22" xfId="45" applyNumberFormat="1" applyFont="1" applyFill="1" applyBorder="1"/>
    <xf numFmtId="37" fontId="23" fillId="0" borderId="10" xfId="45" applyNumberFormat="1" applyFont="1" applyFill="1" applyBorder="1" applyAlignment="1"/>
    <xf numFmtId="0" fontId="23" fillId="0" borderId="23" xfId="45" applyNumberFormat="1" applyFont="1" applyFill="1" applyBorder="1"/>
    <xf numFmtId="0" fontId="23" fillId="0" borderId="24" xfId="45" applyNumberFormat="1" applyFont="1" applyFill="1" applyBorder="1" applyAlignment="1">
      <alignment horizontal="center"/>
    </xf>
    <xf numFmtId="0" fontId="23" fillId="0" borderId="25" xfId="45" applyNumberFormat="1" applyFont="1" applyFill="1" applyBorder="1"/>
    <xf numFmtId="0" fontId="23" fillId="28" borderId="23" xfId="45" applyNumberFormat="1" applyFont="1" applyFill="1" applyBorder="1"/>
    <xf numFmtId="0" fontId="23" fillId="28" borderId="24" xfId="45" applyNumberFormat="1" applyFont="1" applyFill="1" applyBorder="1" applyAlignment="1">
      <alignment horizontal="center"/>
    </xf>
    <xf numFmtId="0" fontId="23" fillId="28" borderId="25" xfId="45" applyNumberFormat="1" applyFont="1" applyFill="1" applyBorder="1"/>
    <xf numFmtId="44" fontId="23" fillId="0" borderId="0" xfId="45" applyNumberFormat="1" applyFont="1" applyFill="1"/>
    <xf numFmtId="44" fontId="40" fillId="0" borderId="0" xfId="45" applyNumberFormat="1" applyFont="1" applyFill="1"/>
    <xf numFmtId="0" fontId="27" fillId="28" borderId="24" xfId="45" applyNumberFormat="1" applyFont="1" applyFill="1" applyBorder="1" applyAlignment="1">
      <alignment horizontal="center"/>
    </xf>
    <xf numFmtId="0" fontId="27" fillId="28" borderId="25" xfId="45" applyNumberFormat="1" applyFont="1" applyFill="1" applyBorder="1" applyAlignment="1">
      <alignment horizontal="center"/>
    </xf>
    <xf numFmtId="44" fontId="23" fillId="0" borderId="26" xfId="45" applyNumberFormat="1" applyFont="1" applyFill="1" applyBorder="1"/>
    <xf numFmtId="179" fontId="23" fillId="0" borderId="0" xfId="45" applyNumberFormat="1" applyFont="1" applyFill="1"/>
    <xf numFmtId="0" fontId="23" fillId="0" borderId="25" xfId="45" applyNumberFormat="1" applyFont="1" applyFill="1" applyBorder="1" applyAlignment="1">
      <alignment horizontal="center"/>
    </xf>
    <xf numFmtId="179" fontId="23" fillId="0" borderId="0" xfId="31" applyNumberFormat="1" applyFont="1" applyFill="1"/>
    <xf numFmtId="0" fontId="27" fillId="0" borderId="0" xfId="45" applyNumberFormat="1" applyFont="1" applyFill="1" applyBorder="1"/>
    <xf numFmtId="0" fontId="23" fillId="0" borderId="16" xfId="45" applyNumberFormat="1" applyFont="1" applyFill="1" applyBorder="1"/>
    <xf numFmtId="0" fontId="23" fillId="0" borderId="27" xfId="45" applyNumberFormat="1" applyFont="1" applyFill="1" applyBorder="1"/>
    <xf numFmtId="0" fontId="23" fillId="0" borderId="28" xfId="45" applyNumberFormat="1" applyFont="1" applyFill="1" applyBorder="1"/>
    <xf numFmtId="0" fontId="27" fillId="0" borderId="28" xfId="45" applyNumberFormat="1" applyFont="1" applyFill="1" applyBorder="1"/>
    <xf numFmtId="179" fontId="23" fillId="0" borderId="27" xfId="45" applyNumberFormat="1" applyFont="1" applyFill="1" applyBorder="1"/>
    <xf numFmtId="179" fontId="23" fillId="0" borderId="27" xfId="31" applyNumberFormat="1" applyFont="1" applyFill="1" applyBorder="1"/>
    <xf numFmtId="164" fontId="23" fillId="0" borderId="27" xfId="50" applyNumberFormat="1" applyFont="1" applyFill="1" applyBorder="1"/>
    <xf numFmtId="10" fontId="23" fillId="0" borderId="27" xfId="50" applyNumberFormat="1" applyFont="1" applyFill="1" applyBorder="1"/>
    <xf numFmtId="41" fontId="27" fillId="0" borderId="0" xfId="45" applyNumberFormat="1" applyFont="1" applyFill="1" applyBorder="1"/>
    <xf numFmtId="37" fontId="27" fillId="0" borderId="0" xfId="45" applyNumberFormat="1" applyFont="1" applyFill="1" applyBorder="1"/>
    <xf numFmtId="0" fontId="27" fillId="0" borderId="20" xfId="45" applyNumberFormat="1" applyFont="1" applyFill="1" applyBorder="1"/>
    <xf numFmtId="0" fontId="23" fillId="0" borderId="20" xfId="45" applyNumberFormat="1" applyFont="1" applyFill="1" applyBorder="1"/>
    <xf numFmtId="43" fontId="23" fillId="0" borderId="20" xfId="45" applyNumberFormat="1" applyFont="1" applyFill="1" applyBorder="1"/>
    <xf numFmtId="37" fontId="23" fillId="0" borderId="20" xfId="45" applyNumberFormat="1" applyFont="1" applyFill="1" applyBorder="1"/>
    <xf numFmtId="179" fontId="23" fillId="0" borderId="20" xfId="31" applyNumberFormat="1" applyFont="1" applyFill="1" applyBorder="1"/>
    <xf numFmtId="179" fontId="23" fillId="0" borderId="29" xfId="31" applyNumberFormat="1" applyFont="1" applyFill="1" applyBorder="1"/>
    <xf numFmtId="0" fontId="31" fillId="0" borderId="0" xfId="46" applyFont="1" applyAlignment="1"/>
  </cellXfs>
  <cellStyles count="6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183 rate case disposal inc comm values-7.16.04" xfId="29"/>
    <cellStyle name="Comma_Eastside 2009 RC Disposal Model-0908_0809 v2" xfId="30"/>
    <cellStyle name="Currency" xfId="31" builtinId="4"/>
    <cellStyle name="Currency_183 rate case disposal inc comm values-7.16.04" xfId="32"/>
    <cellStyle name="Currency_Eastside 2009 RC Disposal Model-0908_0809 v2" xfId="33"/>
    <cellStyle name="date" xfId="34"/>
    <cellStyle name="Explanatory Text" xfId="35" builtinId="53" customBuiltin="1"/>
    <cellStyle name="fish" xfId="36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Input" xfId="42" builtinId="20" customBuiltin="1"/>
    <cellStyle name="Linked Cell" xfId="43" builtinId="24" customBuiltin="1"/>
    <cellStyle name="Neutral" xfId="44" builtinId="28" customBuiltin="1"/>
    <cellStyle name="Normal" xfId="0" builtinId="0"/>
    <cellStyle name="Normal_CostStudyTCII" xfId="45"/>
    <cellStyle name="Normal_Eastside 2009 RC Disposal Model-0908_0809 v2" xfId="46"/>
    <cellStyle name="Normal_Price out" xfId="47"/>
    <cellStyle name="Note" xfId="48" builtinId="10" customBuiltin="1"/>
    <cellStyle name="Output" xfId="49" builtinId="21" customBuiltin="1"/>
    <cellStyle name="Percent" xfId="50" builtinId="5"/>
    <cellStyle name="STYL0 - Style1" xfId="51"/>
    <cellStyle name="STYL1 - Style2" xfId="52"/>
    <cellStyle name="STYL2 - Style3" xfId="53"/>
    <cellStyle name="STYL3 - Style4" xfId="54"/>
    <cellStyle name="STYL4 - Style5" xfId="55"/>
    <cellStyle name="STYL5 - Style6" xfId="56"/>
    <cellStyle name="STYL6 - Style7" xfId="57"/>
    <cellStyle name="STYL7 - Style8" xfId="58"/>
    <cellStyle name="sub heading" xfId="59"/>
    <cellStyle name="title" xfId="60"/>
    <cellStyle name="Total" xfId="61" builtinId="25" customBuiltin="1"/>
    <cellStyle name="Warning Text" xfId="6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Joe_Garza\mark%20gregg\WUTC%20Files\Eastside\Eastside%20Rate%20Case%202006\Eastside%20RC%202006%20Filing%20Docs\Proforma%20Eastside%202005%204.17.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2:AB284"/>
  <sheetViews>
    <sheetView showGridLines="0" tabSelected="1" zoomScaleNormal="100" workbookViewId="0">
      <pane xSplit="1" ySplit="16" topLeftCell="P80" activePane="bottomRight" state="frozenSplit"/>
      <selection activeCell="AY255" sqref="AY255"/>
      <selection pane="topRight" activeCell="AY255" sqref="AY255"/>
      <selection pane="bottomLeft" activeCell="AY255" sqref="AY255"/>
      <selection pane="bottomRight" activeCell="Y175" sqref="Y175"/>
    </sheetView>
  </sheetViews>
  <sheetFormatPr defaultColWidth="9.1640625" defaultRowHeight="11.25"/>
  <cols>
    <col min="1" max="1" width="37.33203125" style="1" bestFit="1" customWidth="1"/>
    <col min="2" max="2" width="6.6640625" style="1" bestFit="1" customWidth="1"/>
    <col min="3" max="3" width="10" style="1" customWidth="1"/>
    <col min="4" max="4" width="8.83203125" style="1" customWidth="1"/>
    <col min="5" max="12" width="12" style="1" customWidth="1"/>
    <col min="13" max="13" width="12" style="2" customWidth="1"/>
    <col min="14" max="15" width="12" style="1" customWidth="1"/>
    <col min="16" max="16" width="6.6640625" style="1" customWidth="1"/>
    <col min="17" max="21" width="16.83203125" style="1" customWidth="1"/>
    <col min="22" max="25" width="18.6640625" style="1" customWidth="1"/>
    <col min="26" max="26" width="2.5" style="1" customWidth="1"/>
    <col min="27" max="27" width="18.6640625" style="1" customWidth="1"/>
    <col min="28" max="16384" width="9.1640625" style="16"/>
  </cols>
  <sheetData>
    <row r="2" spans="1:27">
      <c r="A2" s="1" t="s">
        <v>176</v>
      </c>
      <c r="Q2" s="7"/>
      <c r="R2" s="7"/>
    </row>
    <row r="3" spans="1:27">
      <c r="O3" s="1" t="s">
        <v>154</v>
      </c>
      <c r="Q3" s="7"/>
      <c r="R3" s="7"/>
      <c r="S3" s="7"/>
    </row>
    <row r="4" spans="1:27">
      <c r="A4" s="1" t="s">
        <v>0</v>
      </c>
      <c r="J4" s="4"/>
      <c r="K4" s="4"/>
      <c r="N4" s="4" t="s">
        <v>1</v>
      </c>
      <c r="O4" s="5">
        <f>L5/(N8+N9+N10)</f>
        <v>0.43947058781226994</v>
      </c>
      <c r="Q4" s="56"/>
      <c r="R4" s="36"/>
      <c r="S4" s="37"/>
    </row>
    <row r="5" spans="1:27">
      <c r="A5" s="1" t="s">
        <v>2</v>
      </c>
      <c r="F5" s="3">
        <f>SUM(F20:F29)</f>
        <v>6153.5</v>
      </c>
      <c r="J5" s="4"/>
      <c r="K5" s="4" t="s">
        <v>163</v>
      </c>
      <c r="L5" s="6">
        <f>Disposal!R58+Disposal!R63</f>
        <v>6220.2930681301377</v>
      </c>
      <c r="M5" s="4"/>
      <c r="N5" s="4" t="s">
        <v>3</v>
      </c>
      <c r="O5" s="5">
        <f>+O4</f>
        <v>0.43947058781226994</v>
      </c>
      <c r="Q5" s="56"/>
      <c r="R5" s="36"/>
      <c r="S5" s="37"/>
    </row>
    <row r="6" spans="1:27">
      <c r="F6" s="3">
        <f>SUM(F5:F5)</f>
        <v>6153.5</v>
      </c>
      <c r="J6" s="10"/>
      <c r="K6" s="4" t="s">
        <v>5</v>
      </c>
      <c r="L6" s="6">
        <f>Disposal!R69</f>
        <v>892.1099999999999</v>
      </c>
      <c r="M6" s="4"/>
      <c r="N6" s="4"/>
      <c r="O6" s="5"/>
    </row>
    <row r="7" spans="1:27">
      <c r="A7" s="11" t="s">
        <v>6</v>
      </c>
      <c r="B7" s="11"/>
      <c r="C7" s="11"/>
      <c r="D7" s="11"/>
      <c r="E7" s="11"/>
      <c r="F7" s="12">
        <f>SUM(F8:F12)</f>
        <v>7753.4988000000003</v>
      </c>
      <c r="G7" s="12"/>
      <c r="H7" s="12"/>
      <c r="I7" s="12"/>
      <c r="J7" s="159">
        <f>SUM(J8:J12)</f>
        <v>291472.92629073258</v>
      </c>
      <c r="K7" s="12">
        <f>SUM(K8:K12)</f>
        <v>3497675.1154887909</v>
      </c>
      <c r="L7" s="12">
        <f>SUM(L5:L6)</f>
        <v>7112.4030681301374</v>
      </c>
      <c r="M7" s="13"/>
      <c r="N7" s="12">
        <f>SUM(N8:N12)</f>
        <v>14154.060000000001</v>
      </c>
      <c r="O7" s="12">
        <f>SUM(O8:O12)</f>
        <v>2877.4600419361063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75"/>
    </row>
    <row r="8" spans="1:27">
      <c r="A8" s="1" t="s">
        <v>7</v>
      </c>
      <c r="F8" s="4">
        <f>SUM(F20:F30)</f>
        <v>6492.5</v>
      </c>
      <c r="G8" s="14"/>
      <c r="H8" s="4"/>
      <c r="I8" s="14"/>
      <c r="J8" s="15">
        <f>SUM(J20:J38)</f>
        <v>110756.38500000001</v>
      </c>
      <c r="K8" s="15">
        <f>SUM(K20:K38)</f>
        <v>1329076.6199999999</v>
      </c>
      <c r="L8" s="4"/>
      <c r="N8" s="15">
        <f>SUM(N20:N31)</f>
        <v>4632.88</v>
      </c>
      <c r="O8" s="15">
        <f>SUM(O20:O30)</f>
        <v>61.908221705114471</v>
      </c>
      <c r="AA8" s="176"/>
    </row>
    <row r="9" spans="1:27">
      <c r="A9" s="1" t="s">
        <v>8</v>
      </c>
      <c r="F9" s="4">
        <f>SUM(F43:F45)+SUM(F108:F111)</f>
        <v>793</v>
      </c>
      <c r="G9" s="4"/>
      <c r="H9" s="4"/>
      <c r="I9" s="14"/>
      <c r="J9" s="4">
        <f>SUM(J43:J45)+SUM(J108:J111)</f>
        <v>25356.174951000001</v>
      </c>
      <c r="K9" s="4">
        <f>SUM(K43:K45)+SUM(K108:K111)</f>
        <v>304274.09941200004</v>
      </c>
      <c r="N9" s="4">
        <f>SUM(N43:N45)+SUM(N108:N111)</f>
        <v>970.90999999999985</v>
      </c>
      <c r="O9" s="4">
        <f>SUM(O43:O45)+SUM(O108:O111)</f>
        <v>32.98226761531086</v>
      </c>
      <c r="Q9" s="153" t="s">
        <v>156</v>
      </c>
      <c r="R9" s="154">
        <v>120.17</v>
      </c>
      <c r="T9" s="153" t="s">
        <v>160</v>
      </c>
      <c r="U9" s="158">
        <v>1.4999999999999999E-2</v>
      </c>
      <c r="AA9" s="176"/>
    </row>
    <row r="10" spans="1:27">
      <c r="A10" s="16" t="s">
        <v>9</v>
      </c>
      <c r="B10" s="16"/>
      <c r="C10" s="16"/>
      <c r="D10" s="16"/>
      <c r="E10" s="16"/>
      <c r="F10" s="17">
        <f>SUM(F48:F84)+SUM(F113:F147)</f>
        <v>467.99880000000002</v>
      </c>
      <c r="G10" s="17"/>
      <c r="H10" s="17"/>
      <c r="I10" s="14"/>
      <c r="J10" s="17">
        <f>SUM(J48:J102)+SUM(J113:J159)</f>
        <v>155360.3663397326</v>
      </c>
      <c r="K10" s="17">
        <f>SUM(K48:K102)+SUM(K113:K159)</f>
        <v>1864324.3960767912</v>
      </c>
      <c r="L10" s="17"/>
      <c r="M10" s="18"/>
      <c r="N10" s="17">
        <f>SUM(N48:N92)+SUM(N113:N158)</f>
        <v>8550.27</v>
      </c>
      <c r="O10" s="17">
        <f>SUM(O47:O91)+SUM(O113:O157)</f>
        <v>2782.569552615681</v>
      </c>
      <c r="P10" s="16"/>
      <c r="Q10" s="153" t="s">
        <v>157</v>
      </c>
      <c r="R10" s="154">
        <v>134.59</v>
      </c>
      <c r="S10" s="16"/>
      <c r="T10" s="156" t="s">
        <v>161</v>
      </c>
      <c r="U10" s="158">
        <v>4.2750000000000002E-3</v>
      </c>
      <c r="V10" s="16"/>
      <c r="W10" s="16"/>
      <c r="X10" s="16"/>
      <c r="Y10" s="16"/>
      <c r="Z10" s="16"/>
      <c r="AA10" s="176"/>
    </row>
    <row r="11" spans="1:27">
      <c r="F11" s="4"/>
      <c r="G11" s="4"/>
      <c r="H11" s="4"/>
      <c r="I11" s="14"/>
      <c r="J11" s="15"/>
      <c r="K11" s="20"/>
      <c r="L11" s="4"/>
      <c r="N11" s="15"/>
      <c r="O11" s="15"/>
      <c r="Q11" s="153" t="s">
        <v>158</v>
      </c>
      <c r="R11" s="49">
        <f>R10-R9</f>
        <v>14.420000000000002</v>
      </c>
      <c r="T11" s="153" t="s">
        <v>162</v>
      </c>
      <c r="U11" s="157">
        <f>SUM(U9:U10)</f>
        <v>1.9275E-2</v>
      </c>
      <c r="AA11" s="176"/>
    </row>
    <row r="12" spans="1:27" ht="12" thickBot="1">
      <c r="A12" s="21"/>
      <c r="B12" s="21"/>
      <c r="C12" s="21"/>
      <c r="D12" s="21"/>
      <c r="E12" s="21"/>
      <c r="F12" s="22"/>
      <c r="G12" s="22"/>
      <c r="H12" s="22"/>
      <c r="I12" s="22"/>
      <c r="J12" s="23"/>
      <c r="K12" s="23"/>
      <c r="L12" s="22"/>
      <c r="M12" s="24"/>
      <c r="N12" s="22"/>
      <c r="O12" s="22"/>
      <c r="P12" s="21"/>
      <c r="Q12" s="153" t="s">
        <v>159</v>
      </c>
      <c r="R12" s="155">
        <f>+R11/2000</f>
        <v>7.2100000000000011E-3</v>
      </c>
      <c r="S12" s="21"/>
      <c r="T12" s="21"/>
      <c r="U12" s="21"/>
      <c r="V12" s="21"/>
      <c r="W12" s="21"/>
      <c r="X12" s="21"/>
      <c r="Y12" s="21"/>
      <c r="Z12" s="21"/>
      <c r="AA12" s="177"/>
    </row>
    <row r="13" spans="1:27">
      <c r="A13" s="16"/>
      <c r="B13" s="16"/>
      <c r="C13" s="16"/>
      <c r="D13" s="16"/>
      <c r="E13" s="16"/>
      <c r="F13" s="7" t="s">
        <v>10</v>
      </c>
      <c r="G13" s="7" t="s">
        <v>11</v>
      </c>
      <c r="H13" s="25"/>
      <c r="I13" s="7"/>
      <c r="J13" s="7" t="s">
        <v>12</v>
      </c>
      <c r="K13" s="7" t="s">
        <v>12</v>
      </c>
      <c r="L13" s="7" t="s">
        <v>13</v>
      </c>
      <c r="M13" s="26" t="s">
        <v>14</v>
      </c>
      <c r="N13" s="7" t="s">
        <v>15</v>
      </c>
      <c r="O13" s="7" t="s">
        <v>16</v>
      </c>
      <c r="P13" s="16"/>
      <c r="Q13" s="163"/>
      <c r="R13" s="163"/>
      <c r="S13" s="163"/>
      <c r="T13" s="163"/>
      <c r="U13" s="16"/>
      <c r="V13" s="160"/>
      <c r="W13" s="160"/>
      <c r="X13" s="160"/>
      <c r="Y13" s="160"/>
      <c r="Z13" s="16"/>
      <c r="AA13" s="160"/>
    </row>
    <row r="14" spans="1:27">
      <c r="A14" s="16"/>
      <c r="B14" s="16"/>
      <c r="C14" s="16" t="s">
        <v>4</v>
      </c>
      <c r="D14" s="16"/>
      <c r="E14" s="16"/>
      <c r="F14" s="7" t="s">
        <v>20</v>
      </c>
      <c r="G14" s="7" t="s">
        <v>21</v>
      </c>
      <c r="H14" s="25"/>
      <c r="I14" s="7" t="s">
        <v>22</v>
      </c>
      <c r="J14" s="7" t="s">
        <v>23</v>
      </c>
      <c r="K14" s="7" t="s">
        <v>17</v>
      </c>
      <c r="L14" s="7" t="s">
        <v>24</v>
      </c>
      <c r="M14" s="26" t="s">
        <v>25</v>
      </c>
      <c r="N14" s="7" t="s">
        <v>26</v>
      </c>
      <c r="O14" s="7" t="s">
        <v>26</v>
      </c>
      <c r="P14" s="16"/>
      <c r="Q14" s="164" t="s">
        <v>164</v>
      </c>
      <c r="R14" s="164" t="s">
        <v>165</v>
      </c>
      <c r="S14" s="164" t="s">
        <v>169</v>
      </c>
      <c r="T14" s="168" t="s">
        <v>39</v>
      </c>
      <c r="U14" s="16"/>
      <c r="V14" s="161" t="s">
        <v>40</v>
      </c>
      <c r="W14" s="161" t="s">
        <v>19</v>
      </c>
      <c r="X14" s="161" t="s">
        <v>19</v>
      </c>
      <c r="Y14" s="161" t="s">
        <v>19</v>
      </c>
      <c r="Z14" s="16"/>
      <c r="AA14" s="161" t="s">
        <v>19</v>
      </c>
    </row>
    <row r="15" spans="1:27">
      <c r="A15" s="16"/>
      <c r="B15" s="16"/>
      <c r="C15" s="16"/>
      <c r="D15" s="16"/>
      <c r="E15" s="16"/>
      <c r="F15" s="8"/>
      <c r="G15" s="7" t="s">
        <v>28</v>
      </c>
      <c r="H15" s="25"/>
      <c r="I15" s="7" t="s">
        <v>29</v>
      </c>
      <c r="J15" s="7" t="s">
        <v>27</v>
      </c>
      <c r="K15" s="7" t="s">
        <v>27</v>
      </c>
      <c r="L15" s="7">
        <v>21</v>
      </c>
      <c r="M15" s="7" t="s">
        <v>24</v>
      </c>
      <c r="N15" s="7" t="s">
        <v>30</v>
      </c>
      <c r="O15" s="7" t="s">
        <v>30</v>
      </c>
      <c r="P15" s="16"/>
      <c r="Q15" s="164" t="s">
        <v>166</v>
      </c>
      <c r="R15" s="164" t="s">
        <v>167</v>
      </c>
      <c r="S15" s="164" t="s">
        <v>168</v>
      </c>
      <c r="T15" s="168" t="s">
        <v>170</v>
      </c>
      <c r="U15" s="16"/>
      <c r="V15" s="161" t="s">
        <v>172</v>
      </c>
      <c r="W15" s="161" t="s">
        <v>173</v>
      </c>
      <c r="X15" s="161" t="s">
        <v>173</v>
      </c>
      <c r="Y15" s="161" t="s">
        <v>109</v>
      </c>
      <c r="Z15" s="16"/>
      <c r="AA15" s="161" t="s">
        <v>175</v>
      </c>
    </row>
    <row r="16" spans="1:27">
      <c r="A16" s="16"/>
      <c r="B16" s="16"/>
      <c r="C16" s="16"/>
      <c r="D16" s="16"/>
      <c r="E16" s="16"/>
      <c r="F16" s="8"/>
      <c r="G16" s="7" t="s">
        <v>32</v>
      </c>
      <c r="H16" s="25"/>
      <c r="I16" s="7" t="s">
        <v>31</v>
      </c>
      <c r="J16" s="7"/>
      <c r="K16" s="7"/>
      <c r="L16" s="7">
        <v>145</v>
      </c>
      <c r="M16" s="26"/>
      <c r="N16" s="7"/>
      <c r="O16" s="7"/>
      <c r="P16" s="16"/>
      <c r="Q16" s="165"/>
      <c r="R16" s="165"/>
      <c r="S16" s="165"/>
      <c r="T16" s="169" t="s">
        <v>171</v>
      </c>
      <c r="U16" s="16"/>
      <c r="V16" s="162"/>
      <c r="W16" s="162"/>
      <c r="X16" s="172" t="s">
        <v>174</v>
      </c>
      <c r="Y16" s="172" t="s">
        <v>174</v>
      </c>
      <c r="Z16" s="16"/>
      <c r="AA16" s="172" t="s">
        <v>174</v>
      </c>
    </row>
    <row r="17" spans="1:28">
      <c r="A17" s="16"/>
      <c r="B17" s="16"/>
      <c r="C17" s="16"/>
      <c r="D17" s="16"/>
      <c r="E17" s="16"/>
      <c r="F17" s="27"/>
      <c r="G17" s="27"/>
      <c r="H17" s="27"/>
      <c r="I17" s="27"/>
      <c r="J17" s="27"/>
      <c r="K17" s="27"/>
      <c r="L17" s="7">
        <v>269</v>
      </c>
      <c r="M17" s="28"/>
      <c r="N17" s="27"/>
      <c r="O17" s="27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6"/>
    </row>
    <row r="18" spans="1:28">
      <c r="A18" s="16" t="s">
        <v>177</v>
      </c>
      <c r="B18" s="16"/>
      <c r="C18" s="16"/>
      <c r="D18" s="16"/>
      <c r="E18" s="16"/>
      <c r="F18" s="27"/>
      <c r="G18" s="27"/>
      <c r="H18" s="27"/>
      <c r="I18" s="27"/>
      <c r="J18" s="27"/>
      <c r="K18" s="27"/>
      <c r="L18" s="27"/>
      <c r="M18" s="28"/>
      <c r="N18" s="27"/>
      <c r="O18" s="27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6"/>
    </row>
    <row r="19" spans="1:28" ht="12" thickBot="1">
      <c r="A19" s="29" t="s">
        <v>33</v>
      </c>
      <c r="B19" s="16"/>
      <c r="C19" s="16"/>
      <c r="D19" s="16"/>
      <c r="E19" s="16"/>
      <c r="AA19" s="176"/>
    </row>
    <row r="20" spans="1:28" ht="12" thickTop="1">
      <c r="A20" s="30" t="s">
        <v>42</v>
      </c>
      <c r="F20" s="31">
        <v>434.5</v>
      </c>
      <c r="G20" s="1">
        <v>52</v>
      </c>
      <c r="I20" s="33">
        <v>10.34</v>
      </c>
      <c r="J20" s="4">
        <f t="shared" ref="J20:J36" si="0">F20*I20</f>
        <v>4492.7299999999996</v>
      </c>
      <c r="K20" s="4">
        <f t="shared" ref="K20:K36" si="1">J20*12</f>
        <v>53912.759999999995</v>
      </c>
      <c r="L20" s="34">
        <f>ROUND((L$15/32*19),2)</f>
        <v>12.47</v>
      </c>
      <c r="M20" s="2">
        <f>L20*$O$4</f>
        <v>5.4801982300190062</v>
      </c>
      <c r="N20" s="4">
        <f t="shared" ref="N20:N31" si="2">ROUND(((F20*G20*L20)/2000),2)</f>
        <v>140.87</v>
      </c>
      <c r="O20" s="35">
        <f>$O$4*N20</f>
        <v>61.908221705114471</v>
      </c>
      <c r="Q20" s="49">
        <f t="shared" ref="Q20:Q31" si="3">M20*$R$12</f>
        <v>3.9512229238437044E-2</v>
      </c>
      <c r="R20" s="166">
        <f t="shared" ref="R20:R26" si="4">Q20*4.33</f>
        <v>0.1710879526024324</v>
      </c>
      <c r="S20" s="166">
        <f t="shared" ref="S20:S31" si="5">R20*$U$11</f>
        <v>3.2977202864118847E-3</v>
      </c>
      <c r="T20" s="170">
        <f t="shared" ref="T20:T31" si="6">+R20+S20</f>
        <v>0.1743856728888443</v>
      </c>
      <c r="V20" s="166">
        <f>I20+T20</f>
        <v>10.514385672888844</v>
      </c>
      <c r="W20" s="171">
        <f>F20*V20</f>
        <v>4568.5005748702024</v>
      </c>
      <c r="X20" s="171">
        <f t="shared" ref="X20:X31" si="7">W20-J20</f>
        <v>75.770574870202836</v>
      </c>
      <c r="Y20" s="173">
        <f>X20*12</f>
        <v>909.24689844243403</v>
      </c>
      <c r="AA20" s="179">
        <f>O20*$R$11</f>
        <v>892.71655698775078</v>
      </c>
      <c r="AB20" s="19">
        <f>IF(I20=0,"",V20/I20-1)</f>
        <v>1.6865152116909421E-2</v>
      </c>
    </row>
    <row r="21" spans="1:28">
      <c r="A21" s="30" t="s">
        <v>43</v>
      </c>
      <c r="F21" s="31">
        <v>2520.5</v>
      </c>
      <c r="G21" s="1">
        <v>52</v>
      </c>
      <c r="I21" s="33">
        <v>14.79</v>
      </c>
      <c r="J21" s="4">
        <f t="shared" si="0"/>
        <v>37278.195</v>
      </c>
      <c r="K21" s="4">
        <f t="shared" si="1"/>
        <v>447338.33999999997</v>
      </c>
      <c r="L21" s="34">
        <f>+L15</f>
        <v>21</v>
      </c>
      <c r="M21" s="2">
        <f t="shared" ref="M21:M31" si="8">L21*$O$4</f>
        <v>9.2288823440576682</v>
      </c>
      <c r="N21" s="4">
        <f t="shared" si="2"/>
        <v>1376.19</v>
      </c>
      <c r="O21" s="35">
        <f>$S$4*N21</f>
        <v>0</v>
      </c>
      <c r="Q21" s="49">
        <f t="shared" si="3"/>
        <v>6.6540241700655797E-2</v>
      </c>
      <c r="R21" s="166">
        <f t="shared" si="4"/>
        <v>0.28811924656383958</v>
      </c>
      <c r="S21" s="166">
        <f t="shared" si="5"/>
        <v>5.5534984775180082E-3</v>
      </c>
      <c r="T21" s="170">
        <f t="shared" si="6"/>
        <v>0.2936727450413576</v>
      </c>
      <c r="V21" s="166">
        <f t="shared" ref="V21:V30" si="9">I21+T21</f>
        <v>15.083672745041357</v>
      </c>
      <c r="W21" s="171">
        <f t="shared" ref="W21:W30" si="10">F21*V21</f>
        <v>38018.397153876736</v>
      </c>
      <c r="X21" s="171">
        <f t="shared" si="7"/>
        <v>740.2021538767367</v>
      </c>
      <c r="Y21" s="173">
        <f t="shared" ref="Y21:Y31" si="11">X21*12</f>
        <v>8882.4258465208404</v>
      </c>
      <c r="AA21" s="179">
        <f t="shared" ref="AA21:AA30" si="12">O21*$R$11</f>
        <v>0</v>
      </c>
      <c r="AB21" s="19">
        <f t="shared" ref="AB21:AB30" si="13">IF(I21=0,"",V21/I21-1)</f>
        <v>1.9856169373993149E-2</v>
      </c>
    </row>
    <row r="22" spans="1:28">
      <c r="A22" s="30" t="s">
        <v>44</v>
      </c>
      <c r="F22" s="31">
        <v>125.5</v>
      </c>
      <c r="G22" s="1">
        <v>52</v>
      </c>
      <c r="I22" s="33">
        <v>25.04</v>
      </c>
      <c r="J22" s="4">
        <f t="shared" si="0"/>
        <v>3142.52</v>
      </c>
      <c r="K22" s="4">
        <f t="shared" si="1"/>
        <v>37710.239999999998</v>
      </c>
      <c r="L22" s="34">
        <f>+L15*2</f>
        <v>42</v>
      </c>
      <c r="M22" s="2">
        <f t="shared" si="8"/>
        <v>18.457764688115336</v>
      </c>
      <c r="N22" s="4">
        <f t="shared" si="2"/>
        <v>137.05000000000001</v>
      </c>
      <c r="O22" s="35">
        <f t="shared" ref="O22:O30" si="14">$S$4*N22</f>
        <v>0</v>
      </c>
      <c r="Q22" s="49">
        <f t="shared" si="3"/>
        <v>0.13308048340131159</v>
      </c>
      <c r="R22" s="166">
        <f t="shared" si="4"/>
        <v>0.57623849312767916</v>
      </c>
      <c r="S22" s="166">
        <f t="shared" si="5"/>
        <v>1.1106996955036016E-2</v>
      </c>
      <c r="T22" s="170">
        <f t="shared" si="6"/>
        <v>0.58734549008271519</v>
      </c>
      <c r="V22" s="166">
        <f t="shared" si="9"/>
        <v>25.627345490082714</v>
      </c>
      <c r="W22" s="171">
        <f t="shared" si="10"/>
        <v>3216.2318590053806</v>
      </c>
      <c r="X22" s="171">
        <f t="shared" si="7"/>
        <v>73.711859005380575</v>
      </c>
      <c r="Y22" s="173">
        <f t="shared" si="11"/>
        <v>884.5423080645669</v>
      </c>
      <c r="AA22" s="179">
        <f t="shared" si="12"/>
        <v>0</v>
      </c>
      <c r="AB22" s="19">
        <f t="shared" si="13"/>
        <v>2.3456289540044528E-2</v>
      </c>
    </row>
    <row r="23" spans="1:28">
      <c r="A23" s="30" t="s">
        <v>45</v>
      </c>
      <c r="F23" s="31">
        <v>7</v>
      </c>
      <c r="G23" s="1">
        <v>52</v>
      </c>
      <c r="I23" s="33">
        <v>36.07</v>
      </c>
      <c r="J23" s="4">
        <f t="shared" si="0"/>
        <v>252.49</v>
      </c>
      <c r="K23" s="4">
        <f t="shared" si="1"/>
        <v>3029.88</v>
      </c>
      <c r="L23" s="34">
        <f>+L15*3</f>
        <v>63</v>
      </c>
      <c r="M23" s="2">
        <f t="shared" si="8"/>
        <v>27.686647032173006</v>
      </c>
      <c r="N23" s="4">
        <f t="shared" si="2"/>
        <v>11.47</v>
      </c>
      <c r="O23" s="35">
        <f t="shared" si="14"/>
        <v>0</v>
      </c>
      <c r="Q23" s="49">
        <f t="shared" si="3"/>
        <v>0.19962072510196741</v>
      </c>
      <c r="R23" s="166">
        <f t="shared" si="4"/>
        <v>0.86435773969151886</v>
      </c>
      <c r="S23" s="166">
        <f t="shared" si="5"/>
        <v>1.6660495432554025E-2</v>
      </c>
      <c r="T23" s="170">
        <f t="shared" si="6"/>
        <v>0.88101823512407285</v>
      </c>
      <c r="V23" s="166">
        <f>I23+T23</f>
        <v>36.951018235124074</v>
      </c>
      <c r="W23" s="171">
        <f t="shared" si="10"/>
        <v>258.65712764586851</v>
      </c>
      <c r="X23" s="171">
        <f t="shared" si="7"/>
        <v>6.1671276458685043</v>
      </c>
      <c r="Y23" s="173">
        <f t="shared" si="11"/>
        <v>74.005531750422051</v>
      </c>
      <c r="AA23" s="179">
        <f t="shared" si="12"/>
        <v>0</v>
      </c>
      <c r="AB23" s="19">
        <f t="shared" si="13"/>
        <v>2.4425235240478793E-2</v>
      </c>
    </row>
    <row r="24" spans="1:28">
      <c r="A24" s="30" t="s">
        <v>46</v>
      </c>
      <c r="F24" s="31">
        <v>1</v>
      </c>
      <c r="G24" s="1">
        <v>52</v>
      </c>
      <c r="I24" s="33">
        <v>48.37</v>
      </c>
      <c r="J24" s="4">
        <f t="shared" si="0"/>
        <v>48.37</v>
      </c>
      <c r="K24" s="4">
        <f t="shared" si="1"/>
        <v>580.43999999999994</v>
      </c>
      <c r="L24" s="34">
        <f>+L15*4</f>
        <v>84</v>
      </c>
      <c r="M24" s="2">
        <f t="shared" si="8"/>
        <v>36.915529376230673</v>
      </c>
      <c r="N24" s="4">
        <f t="shared" si="2"/>
        <v>2.1800000000000002</v>
      </c>
      <c r="O24" s="35">
        <f t="shared" si="14"/>
        <v>0</v>
      </c>
      <c r="Q24" s="49">
        <f t="shared" si="3"/>
        <v>0.26616096680262319</v>
      </c>
      <c r="R24" s="166">
        <f t="shared" si="4"/>
        <v>1.1524769862553583</v>
      </c>
      <c r="S24" s="166">
        <f t="shared" si="5"/>
        <v>2.2213993910072033E-2</v>
      </c>
      <c r="T24" s="170">
        <f t="shared" si="6"/>
        <v>1.1746909801654304</v>
      </c>
      <c r="V24" s="166">
        <f t="shared" si="9"/>
        <v>49.544690980165427</v>
      </c>
      <c r="W24" s="171">
        <f t="shared" si="10"/>
        <v>49.544690980165427</v>
      </c>
      <c r="X24" s="171">
        <f t="shared" si="7"/>
        <v>1.1746909801654297</v>
      </c>
      <c r="Y24" s="173">
        <f t="shared" si="11"/>
        <v>14.096291761985157</v>
      </c>
      <c r="AA24" s="179">
        <f t="shared" si="12"/>
        <v>0</v>
      </c>
      <c r="AB24" s="19">
        <f t="shared" si="13"/>
        <v>2.4285527809911667E-2</v>
      </c>
    </row>
    <row r="25" spans="1:28">
      <c r="A25" s="30" t="s">
        <v>47</v>
      </c>
      <c r="F25" s="31">
        <v>0</v>
      </c>
      <c r="G25" s="1">
        <v>52</v>
      </c>
      <c r="I25" s="33">
        <v>58.94</v>
      </c>
      <c r="J25" s="4">
        <f t="shared" si="0"/>
        <v>0</v>
      </c>
      <c r="K25" s="4">
        <f t="shared" si="1"/>
        <v>0</v>
      </c>
      <c r="L25" s="34">
        <f>+L15*5</f>
        <v>105</v>
      </c>
      <c r="M25" s="2">
        <f t="shared" si="8"/>
        <v>46.144411720288346</v>
      </c>
      <c r="N25" s="4">
        <f t="shared" si="2"/>
        <v>0</v>
      </c>
      <c r="O25" s="35">
        <f t="shared" si="14"/>
        <v>0</v>
      </c>
      <c r="Q25" s="49">
        <f t="shared" si="3"/>
        <v>0.33270120850327906</v>
      </c>
      <c r="R25" s="166">
        <f t="shared" si="4"/>
        <v>1.4405962328191984</v>
      </c>
      <c r="S25" s="166">
        <f t="shared" si="5"/>
        <v>2.7767492387590048E-2</v>
      </c>
      <c r="T25" s="170">
        <f t="shared" si="6"/>
        <v>1.4683637252067885</v>
      </c>
      <c r="V25" s="166">
        <f t="shared" si="9"/>
        <v>60.408363725206783</v>
      </c>
      <c r="W25" s="171">
        <f t="shared" si="10"/>
        <v>0</v>
      </c>
      <c r="X25" s="171">
        <f t="shared" si="7"/>
        <v>0</v>
      </c>
      <c r="Y25" s="173">
        <f t="shared" si="11"/>
        <v>0</v>
      </c>
      <c r="AA25" s="179">
        <f t="shared" si="12"/>
        <v>0</v>
      </c>
      <c r="AB25" s="19">
        <f t="shared" si="13"/>
        <v>2.4912855873885142E-2</v>
      </c>
    </row>
    <row r="26" spans="1:28">
      <c r="A26" s="30" t="s">
        <v>48</v>
      </c>
      <c r="F26" s="31">
        <v>0</v>
      </c>
      <c r="G26" s="1">
        <v>52</v>
      </c>
      <c r="I26" s="33">
        <v>70.31</v>
      </c>
      <c r="J26" s="4">
        <f t="shared" si="0"/>
        <v>0</v>
      </c>
      <c r="K26" s="4">
        <f t="shared" si="1"/>
        <v>0</v>
      </c>
      <c r="L26" s="34">
        <f>+L15*6</f>
        <v>126</v>
      </c>
      <c r="M26" s="2">
        <f t="shared" si="8"/>
        <v>55.373294064346013</v>
      </c>
      <c r="N26" s="4">
        <f t="shared" si="2"/>
        <v>0</v>
      </c>
      <c r="O26" s="35">
        <f t="shared" si="14"/>
        <v>0</v>
      </c>
      <c r="Q26" s="49">
        <f t="shared" si="3"/>
        <v>0.39924145020393481</v>
      </c>
      <c r="R26" s="166">
        <f t="shared" si="4"/>
        <v>1.7287154793830377</v>
      </c>
      <c r="S26" s="166">
        <f t="shared" si="5"/>
        <v>3.3320990865108049E-2</v>
      </c>
      <c r="T26" s="170">
        <f t="shared" si="6"/>
        <v>1.7620364702481457</v>
      </c>
      <c r="V26" s="166">
        <f t="shared" si="9"/>
        <v>72.07203647024815</v>
      </c>
      <c r="W26" s="171">
        <f t="shared" si="10"/>
        <v>0</v>
      </c>
      <c r="X26" s="171">
        <f t="shared" si="7"/>
        <v>0</v>
      </c>
      <c r="Y26" s="173">
        <f t="shared" si="11"/>
        <v>0</v>
      </c>
      <c r="AA26" s="179">
        <f t="shared" si="12"/>
        <v>0</v>
      </c>
      <c r="AB26" s="19">
        <f t="shared" si="13"/>
        <v>2.506096530007329E-2</v>
      </c>
    </row>
    <row r="27" spans="1:28">
      <c r="A27" s="30" t="s">
        <v>49</v>
      </c>
      <c r="F27" s="31">
        <v>111</v>
      </c>
      <c r="G27" s="1">
        <v>12</v>
      </c>
      <c r="I27" s="33">
        <v>5.86</v>
      </c>
      <c r="J27" s="4">
        <f t="shared" si="0"/>
        <v>650.46</v>
      </c>
      <c r="K27" s="4">
        <f t="shared" si="1"/>
        <v>7805.52</v>
      </c>
      <c r="L27" s="34">
        <f>+L15</f>
        <v>21</v>
      </c>
      <c r="M27" s="2">
        <f t="shared" si="8"/>
        <v>9.2288823440576682</v>
      </c>
      <c r="N27" s="4">
        <f t="shared" si="2"/>
        <v>13.99</v>
      </c>
      <c r="O27" s="35">
        <f t="shared" si="14"/>
        <v>0</v>
      </c>
      <c r="Q27" s="49">
        <f t="shared" si="3"/>
        <v>6.6540241700655797E-2</v>
      </c>
      <c r="R27" s="167">
        <f>Q27</f>
        <v>6.6540241700655797E-2</v>
      </c>
      <c r="S27" s="166">
        <f t="shared" si="5"/>
        <v>1.2825631587801405E-3</v>
      </c>
      <c r="T27" s="170">
        <f t="shared" si="6"/>
        <v>6.782280485943594E-2</v>
      </c>
      <c r="V27" s="166">
        <f t="shared" si="9"/>
        <v>5.9278228048594359</v>
      </c>
      <c r="W27" s="171">
        <f t="shared" si="10"/>
        <v>657.9883313393974</v>
      </c>
      <c r="X27" s="171">
        <f t="shared" si="7"/>
        <v>7.5283313393973685</v>
      </c>
      <c r="Y27" s="173">
        <f t="shared" si="11"/>
        <v>90.339976072768422</v>
      </c>
      <c r="AA27" s="179">
        <f t="shared" si="12"/>
        <v>0</v>
      </c>
      <c r="AB27" s="19">
        <f t="shared" si="13"/>
        <v>1.1573857484545425E-2</v>
      </c>
    </row>
    <row r="28" spans="1:28">
      <c r="A28" s="30" t="s">
        <v>50</v>
      </c>
      <c r="F28" s="31">
        <v>1520</v>
      </c>
      <c r="G28" s="1">
        <v>52</v>
      </c>
      <c r="I28" s="33">
        <v>14.79</v>
      </c>
      <c r="J28" s="4">
        <f t="shared" si="0"/>
        <v>22480.799999999999</v>
      </c>
      <c r="K28" s="4">
        <f t="shared" si="1"/>
        <v>269769.59999999998</v>
      </c>
      <c r="L28" s="34">
        <f>+L15</f>
        <v>21</v>
      </c>
      <c r="M28" s="2">
        <f t="shared" si="8"/>
        <v>9.2288823440576682</v>
      </c>
      <c r="N28" s="4">
        <f t="shared" si="2"/>
        <v>829.92</v>
      </c>
      <c r="O28" s="35">
        <f t="shared" si="14"/>
        <v>0</v>
      </c>
      <c r="Q28" s="49">
        <f t="shared" si="3"/>
        <v>6.6540241700655797E-2</v>
      </c>
      <c r="R28" s="166">
        <f>Q28*4.33</f>
        <v>0.28811924656383958</v>
      </c>
      <c r="S28" s="166">
        <f t="shared" si="5"/>
        <v>5.5534984775180082E-3</v>
      </c>
      <c r="T28" s="170">
        <f t="shared" si="6"/>
        <v>0.2936727450413576</v>
      </c>
      <c r="V28" s="166">
        <f t="shared" si="9"/>
        <v>15.083672745041357</v>
      </c>
      <c r="W28" s="171">
        <f t="shared" si="10"/>
        <v>22927.182572462862</v>
      </c>
      <c r="X28" s="171">
        <f t="shared" si="7"/>
        <v>446.3825724628623</v>
      </c>
      <c r="Y28" s="173">
        <f t="shared" si="11"/>
        <v>5356.5908695543476</v>
      </c>
      <c r="AA28" s="179">
        <f t="shared" si="12"/>
        <v>0</v>
      </c>
      <c r="AB28" s="19">
        <f t="shared" si="13"/>
        <v>1.9856169373993149E-2</v>
      </c>
    </row>
    <row r="29" spans="1:28">
      <c r="A29" s="30" t="s">
        <v>195</v>
      </c>
      <c r="F29" s="31">
        <v>1434</v>
      </c>
      <c r="G29" s="1">
        <v>52</v>
      </c>
      <c r="I29" s="33">
        <v>22.19</v>
      </c>
      <c r="J29" s="4">
        <f t="shared" si="0"/>
        <v>31820.460000000003</v>
      </c>
      <c r="K29" s="4">
        <f t="shared" si="1"/>
        <v>381845.52</v>
      </c>
      <c r="L29" s="34">
        <f>+L15*2</f>
        <v>42</v>
      </c>
      <c r="M29" s="2">
        <f t="shared" si="8"/>
        <v>18.457764688115336</v>
      </c>
      <c r="N29" s="4">
        <f t="shared" si="2"/>
        <v>1565.93</v>
      </c>
      <c r="O29" s="35">
        <f t="shared" si="14"/>
        <v>0</v>
      </c>
      <c r="Q29" s="49">
        <f t="shared" si="3"/>
        <v>0.13308048340131159</v>
      </c>
      <c r="R29" s="166">
        <f>Q29*4.33</f>
        <v>0.57623849312767916</v>
      </c>
      <c r="S29" s="166">
        <f t="shared" si="5"/>
        <v>1.1106996955036016E-2</v>
      </c>
      <c r="T29" s="170">
        <f t="shared" si="6"/>
        <v>0.58734549008271519</v>
      </c>
      <c r="V29" s="166">
        <f t="shared" si="9"/>
        <v>22.777345490082716</v>
      </c>
      <c r="W29" s="171">
        <f t="shared" si="10"/>
        <v>32662.713432778615</v>
      </c>
      <c r="X29" s="171">
        <f t="shared" si="7"/>
        <v>842.25343277861248</v>
      </c>
      <c r="Y29" s="173">
        <f t="shared" si="11"/>
        <v>10107.04119334335</v>
      </c>
      <c r="AA29" s="179">
        <f t="shared" si="12"/>
        <v>0</v>
      </c>
      <c r="AB29" s="19">
        <f t="shared" si="13"/>
        <v>2.6468926997869069E-2</v>
      </c>
    </row>
    <row r="30" spans="1:28">
      <c r="A30" s="30" t="s">
        <v>196</v>
      </c>
      <c r="F30" s="31">
        <v>339</v>
      </c>
      <c r="G30" s="1">
        <v>52</v>
      </c>
      <c r="I30" s="33">
        <v>31.24</v>
      </c>
      <c r="J30" s="4">
        <f t="shared" si="0"/>
        <v>10590.359999999999</v>
      </c>
      <c r="K30" s="4">
        <f t="shared" si="1"/>
        <v>127084.31999999998</v>
      </c>
      <c r="L30" s="34">
        <f>+L15*3</f>
        <v>63</v>
      </c>
      <c r="M30" s="2">
        <f t="shared" si="8"/>
        <v>27.686647032173006</v>
      </c>
      <c r="N30" s="4">
        <f t="shared" si="2"/>
        <v>555.28</v>
      </c>
      <c r="O30" s="35">
        <f t="shared" si="14"/>
        <v>0</v>
      </c>
      <c r="Q30" s="49">
        <f t="shared" si="3"/>
        <v>0.19962072510196741</v>
      </c>
      <c r="R30" s="166">
        <f>Q30*4.33</f>
        <v>0.86435773969151886</v>
      </c>
      <c r="S30" s="166">
        <f t="shared" si="5"/>
        <v>1.6660495432554025E-2</v>
      </c>
      <c r="T30" s="170">
        <f t="shared" si="6"/>
        <v>0.88101823512407285</v>
      </c>
      <c r="V30" s="166">
        <f t="shared" si="9"/>
        <v>32.121018235124069</v>
      </c>
      <c r="W30" s="171">
        <f t="shared" si="10"/>
        <v>10889.02518170706</v>
      </c>
      <c r="X30" s="171">
        <f t="shared" si="7"/>
        <v>298.66518170706149</v>
      </c>
      <c r="Y30" s="173">
        <f t="shared" si="11"/>
        <v>3583.9821804847379</v>
      </c>
      <c r="AA30" s="179">
        <f t="shared" si="12"/>
        <v>0</v>
      </c>
      <c r="AB30" s="19">
        <f t="shared" si="13"/>
        <v>2.8201608038542547E-2</v>
      </c>
    </row>
    <row r="31" spans="1:28">
      <c r="A31" s="30" t="s">
        <v>52</v>
      </c>
      <c r="F31" s="31"/>
      <c r="G31" s="1">
        <v>12</v>
      </c>
      <c r="I31" s="33">
        <v>3.66</v>
      </c>
      <c r="J31" s="4">
        <f t="shared" si="0"/>
        <v>0</v>
      </c>
      <c r="K31" s="4">
        <f t="shared" si="1"/>
        <v>0</v>
      </c>
      <c r="L31" s="34">
        <f>+L15</f>
        <v>21</v>
      </c>
      <c r="M31" s="2">
        <f t="shared" si="8"/>
        <v>9.2288823440576682</v>
      </c>
      <c r="N31" s="4">
        <f t="shared" si="2"/>
        <v>0</v>
      </c>
      <c r="O31" s="35">
        <f>$S$4*N31</f>
        <v>0</v>
      </c>
      <c r="Q31" s="49">
        <f t="shared" si="3"/>
        <v>6.6540241700655797E-2</v>
      </c>
      <c r="R31" s="167">
        <f>Q31</f>
        <v>6.6540241700655797E-2</v>
      </c>
      <c r="S31" s="166">
        <f t="shared" si="5"/>
        <v>1.2825631587801405E-3</v>
      </c>
      <c r="T31" s="170">
        <f t="shared" si="6"/>
        <v>6.782280485943594E-2</v>
      </c>
      <c r="V31" s="166">
        <f>I31+T31</f>
        <v>3.7278228048594362</v>
      </c>
      <c r="W31" s="171">
        <f>F31*V31</f>
        <v>0</v>
      </c>
      <c r="X31" s="171">
        <f t="shared" si="7"/>
        <v>0</v>
      </c>
      <c r="Y31" s="173">
        <f t="shared" si="11"/>
        <v>0</v>
      </c>
      <c r="AA31" s="179">
        <f>O31*$R$11</f>
        <v>0</v>
      </c>
    </row>
    <row r="32" spans="1:28">
      <c r="A32" s="30" t="s">
        <v>53</v>
      </c>
      <c r="F32" s="31"/>
      <c r="G32" s="1">
        <v>12</v>
      </c>
      <c r="I32" s="33"/>
      <c r="J32" s="4">
        <f t="shared" si="0"/>
        <v>0</v>
      </c>
      <c r="K32" s="4">
        <f t="shared" si="1"/>
        <v>0</v>
      </c>
      <c r="L32" s="34"/>
      <c r="N32" s="4"/>
      <c r="O32" s="35"/>
      <c r="AA32" s="176"/>
    </row>
    <row r="33" spans="1:28">
      <c r="A33" s="30" t="s">
        <v>54</v>
      </c>
      <c r="F33" s="31"/>
      <c r="G33" s="1">
        <v>12</v>
      </c>
      <c r="I33" s="33"/>
      <c r="J33" s="4">
        <f t="shared" si="0"/>
        <v>0</v>
      </c>
      <c r="K33" s="4">
        <f t="shared" si="1"/>
        <v>0</v>
      </c>
      <c r="L33" s="34"/>
      <c r="N33" s="4"/>
      <c r="O33" s="35"/>
      <c r="AA33" s="176"/>
    </row>
    <row r="34" spans="1:28">
      <c r="A34" s="30" t="s">
        <v>55</v>
      </c>
      <c r="F34" s="31"/>
      <c r="G34" s="1">
        <v>12</v>
      </c>
      <c r="I34" s="33"/>
      <c r="J34" s="4">
        <f t="shared" si="0"/>
        <v>0</v>
      </c>
      <c r="K34" s="4">
        <f t="shared" si="1"/>
        <v>0</v>
      </c>
      <c r="L34" s="34"/>
      <c r="N34" s="4"/>
      <c r="O34" s="35"/>
      <c r="AA34" s="176"/>
    </row>
    <row r="35" spans="1:28">
      <c r="A35" s="30" t="s">
        <v>56</v>
      </c>
      <c r="F35" s="31"/>
      <c r="G35" s="1">
        <v>12</v>
      </c>
      <c r="I35" s="33"/>
      <c r="J35" s="4">
        <f t="shared" si="0"/>
        <v>0</v>
      </c>
      <c r="K35" s="4">
        <f t="shared" si="1"/>
        <v>0</v>
      </c>
      <c r="L35" s="34"/>
      <c r="N35" s="4"/>
      <c r="O35" s="35"/>
      <c r="AA35" s="176"/>
    </row>
    <row r="36" spans="1:28">
      <c r="A36" s="30" t="s">
        <v>57</v>
      </c>
      <c r="F36" s="31"/>
      <c r="G36" s="1">
        <v>12</v>
      </c>
      <c r="I36" s="33"/>
      <c r="J36" s="4">
        <f t="shared" si="0"/>
        <v>0</v>
      </c>
      <c r="K36" s="4">
        <f t="shared" si="1"/>
        <v>0</v>
      </c>
      <c r="L36" s="34"/>
      <c r="N36" s="4"/>
      <c r="O36" s="35"/>
      <c r="AA36" s="176"/>
    </row>
    <row r="37" spans="1:28">
      <c r="A37" s="30"/>
      <c r="F37" s="31"/>
      <c r="I37" s="38"/>
      <c r="J37" s="4"/>
      <c r="K37" s="4"/>
      <c r="L37" s="34"/>
      <c r="N37" s="4"/>
      <c r="O37" s="35"/>
      <c r="AA37" s="176"/>
    </row>
    <row r="38" spans="1:28">
      <c r="F38" s="41"/>
      <c r="I38" s="42"/>
      <c r="J38" s="4"/>
      <c r="K38" s="4"/>
      <c r="L38" s="34"/>
      <c r="N38" s="4"/>
      <c r="O38" s="35"/>
      <c r="AA38" s="176"/>
    </row>
    <row r="39" spans="1:28">
      <c r="A39" s="1" t="s">
        <v>34</v>
      </c>
      <c r="C39" s="36"/>
      <c r="D39" s="36"/>
      <c r="E39" s="36"/>
      <c r="F39" s="43">
        <f>SUM(F20:F38)-F31</f>
        <v>6492.5</v>
      </c>
      <c r="G39" s="43"/>
      <c r="H39" s="43"/>
      <c r="I39" s="43"/>
      <c r="J39" s="43">
        <f>SUM(J20:J38)</f>
        <v>110756.38500000001</v>
      </c>
      <c r="K39" s="43">
        <f>SUM(K20:K38)</f>
        <v>1329076.6199999999</v>
      </c>
      <c r="L39" s="37">
        <f>SUM(L20:L38)</f>
        <v>621.47</v>
      </c>
      <c r="N39" s="43">
        <f>SUM(N20:N38)</f>
        <v>4632.88</v>
      </c>
      <c r="O39" s="43">
        <f>SUM(O20:O38)</f>
        <v>61.908221705114471</v>
      </c>
      <c r="W39" s="171">
        <f>SUM(W20:W38)</f>
        <v>113248.24092466629</v>
      </c>
      <c r="X39" s="171">
        <f>SUM(X20:X38)</f>
        <v>2491.8559246662876</v>
      </c>
      <c r="Y39" s="171">
        <f>SUM(Y20:Y38)</f>
        <v>29902.271095995453</v>
      </c>
      <c r="AA39" s="180">
        <f>SUM(AA20:AA38)</f>
        <v>892.71655698775078</v>
      </c>
    </row>
    <row r="40" spans="1:28" ht="15" customHeight="1">
      <c r="F40" s="41"/>
      <c r="I40" s="42"/>
      <c r="J40" s="4"/>
      <c r="K40" s="4"/>
      <c r="N40" s="4"/>
      <c r="O40" s="35"/>
      <c r="AA40" s="182"/>
    </row>
    <row r="41" spans="1:28" s="174" customFormat="1" ht="12" thickBot="1">
      <c r="A41" s="44" t="s">
        <v>178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5"/>
      <c r="N41" s="46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178"/>
    </row>
    <row r="42" spans="1:28">
      <c r="A42" s="47"/>
      <c r="B42" s="48" t="s">
        <v>35</v>
      </c>
      <c r="C42" s="48" t="s">
        <v>36</v>
      </c>
      <c r="D42" s="7" t="s">
        <v>37</v>
      </c>
      <c r="E42" s="7" t="s">
        <v>155</v>
      </c>
      <c r="I42" s="49"/>
      <c r="J42" s="4"/>
      <c r="K42" s="4"/>
      <c r="N42" s="4"/>
      <c r="O42" s="35"/>
      <c r="AA42" s="176"/>
    </row>
    <row r="43" spans="1:28" ht="12">
      <c r="A43" s="50" t="s">
        <v>62</v>
      </c>
      <c r="B43" s="41">
        <v>0</v>
      </c>
      <c r="C43" s="64">
        <f>B43*4.3333</f>
        <v>0</v>
      </c>
      <c r="D43" s="1">
        <v>0.158</v>
      </c>
      <c r="E43" s="36">
        <f>C43*D43</f>
        <v>0</v>
      </c>
      <c r="F43" s="52">
        <f>B43</f>
        <v>0</v>
      </c>
      <c r="G43" s="1">
        <v>52</v>
      </c>
      <c r="I43" s="53">
        <v>4.38</v>
      </c>
      <c r="J43" s="4">
        <f t="shared" ref="J43:J74" si="15">+C43*I43</f>
        <v>0</v>
      </c>
      <c r="K43" s="4">
        <f>J43*12</f>
        <v>0</v>
      </c>
      <c r="L43" s="34">
        <f t="shared" ref="L43:L74" si="16">+D43*L$16</f>
        <v>22.91</v>
      </c>
      <c r="M43" s="2">
        <f>L43*$O$5</f>
        <v>10.068271166779104</v>
      </c>
      <c r="N43" s="54">
        <f t="shared" ref="N43:N74" si="17">ROUND((C43*L43*12)/2000,2)</f>
        <v>0</v>
      </c>
      <c r="O43" s="35">
        <f>$O$5*N43</f>
        <v>0</v>
      </c>
      <c r="P43" s="55"/>
      <c r="Q43" s="49">
        <f t="shared" ref="Q43:Q91" si="18">M43*$R$12</f>
        <v>7.2592235112477352E-2</v>
      </c>
      <c r="R43" s="166"/>
      <c r="S43" s="166">
        <f>Q43*$U$11</f>
        <v>1.3992153317930009E-3</v>
      </c>
      <c r="T43" s="170">
        <f>+Q43+S43</f>
        <v>7.3991450444270357E-2</v>
      </c>
      <c r="V43" s="166">
        <f>I43+T43</f>
        <v>4.4539914504442706</v>
      </c>
      <c r="W43" s="171">
        <f>C43*V43</f>
        <v>0</v>
      </c>
      <c r="X43" s="171">
        <f>W43-J43</f>
        <v>0</v>
      </c>
      <c r="Y43" s="173">
        <f>X43*12</f>
        <v>0</v>
      </c>
      <c r="AA43" s="179">
        <f>O43*$R$11</f>
        <v>0</v>
      </c>
      <c r="AB43" s="19">
        <f t="shared" ref="AB43:AB91" si="19">IF(I43=0,"",V43/I43-1)</f>
        <v>1.6893025215586999E-2</v>
      </c>
    </row>
    <row r="44" spans="1:28" ht="12">
      <c r="A44" s="50" t="s">
        <v>63</v>
      </c>
      <c r="B44" s="41">
        <v>30</v>
      </c>
      <c r="C44" s="64">
        <f>B44*4.3333</f>
        <v>129.99900000000002</v>
      </c>
      <c r="D44" s="1">
        <v>0.316</v>
      </c>
      <c r="E44" s="36">
        <f t="shared" ref="E44:E102" si="20">C44*D44</f>
        <v>41.079684000000007</v>
      </c>
      <c r="F44" s="52">
        <f t="shared" ref="F44:F102" si="21">B44</f>
        <v>30</v>
      </c>
      <c r="G44" s="1">
        <v>52</v>
      </c>
      <c r="I44" s="53">
        <v>6.45</v>
      </c>
      <c r="J44" s="4">
        <f t="shared" si="15"/>
        <v>838.49355000000014</v>
      </c>
      <c r="K44" s="4">
        <f t="shared" ref="K44:K81" si="22">J44*12</f>
        <v>10061.922600000002</v>
      </c>
      <c r="L44" s="34">
        <f t="shared" si="16"/>
        <v>45.82</v>
      </c>
      <c r="M44" s="2">
        <f t="shared" ref="M44:M102" si="23">L44*$O$5</f>
        <v>20.136542333558207</v>
      </c>
      <c r="N44" s="54">
        <f t="shared" si="17"/>
        <v>35.74</v>
      </c>
      <c r="O44" s="35">
        <f t="shared" ref="O44:O102" si="24">$O$5*N44</f>
        <v>15.706678808410528</v>
      </c>
      <c r="Q44" s="49">
        <f t="shared" si="18"/>
        <v>0.1451844702249547</v>
      </c>
      <c r="R44" s="166"/>
      <c r="S44" s="166">
        <f t="shared" ref="S44:S91" si="25">Q44*$U$11</f>
        <v>2.7984306635860019E-3</v>
      </c>
      <c r="T44" s="170">
        <f t="shared" ref="T44:T91" si="26">+Q44+S44</f>
        <v>0.14798290088854071</v>
      </c>
      <c r="V44" s="166">
        <f t="shared" ref="V44:V91" si="27">I44+T44</f>
        <v>6.5979829008885407</v>
      </c>
      <c r="W44" s="171">
        <f t="shared" ref="W44:W91" si="28">C44*V44</f>
        <v>857.73117913260955</v>
      </c>
      <c r="X44" s="171">
        <f t="shared" ref="X44:X90" si="29">W44-J44</f>
        <v>19.237629132609413</v>
      </c>
      <c r="Y44" s="173">
        <f t="shared" ref="Y44:Y91" si="30">X44*12</f>
        <v>230.85154959131296</v>
      </c>
      <c r="AA44" s="179">
        <f t="shared" ref="AA44:AA91" si="31">O44*$R$11</f>
        <v>226.49030841727983</v>
      </c>
      <c r="AB44" s="19">
        <f t="shared" si="19"/>
        <v>2.2943085409075969E-2</v>
      </c>
    </row>
    <row r="45" spans="1:28" ht="12">
      <c r="A45" s="50" t="s">
        <v>64</v>
      </c>
      <c r="B45" s="41">
        <v>22</v>
      </c>
      <c r="C45" s="64">
        <f>B45*4.3333</f>
        <v>95.332600000000014</v>
      </c>
      <c r="D45" s="1">
        <v>0.47399999999999998</v>
      </c>
      <c r="E45" s="36">
        <f t="shared" si="20"/>
        <v>45.187652400000005</v>
      </c>
      <c r="F45" s="52">
        <f t="shared" si="21"/>
        <v>22</v>
      </c>
      <c r="G45" s="1">
        <v>52</v>
      </c>
      <c r="I45" s="53">
        <v>8.83</v>
      </c>
      <c r="J45" s="4">
        <f t="shared" si="15"/>
        <v>841.78685800000017</v>
      </c>
      <c r="K45" s="4">
        <f t="shared" si="22"/>
        <v>10101.442296000001</v>
      </c>
      <c r="L45" s="34">
        <f t="shared" si="16"/>
        <v>68.72999999999999</v>
      </c>
      <c r="M45" s="2">
        <f t="shared" si="23"/>
        <v>30.204813500337309</v>
      </c>
      <c r="N45" s="54">
        <f t="shared" si="17"/>
        <v>39.31</v>
      </c>
      <c r="O45" s="35">
        <f t="shared" si="24"/>
        <v>17.275588806900334</v>
      </c>
      <c r="Q45" s="49">
        <f t="shared" si="18"/>
        <v>0.21777670533743204</v>
      </c>
      <c r="R45" s="166"/>
      <c r="S45" s="166">
        <f t="shared" si="25"/>
        <v>4.197645995379003E-3</v>
      </c>
      <c r="T45" s="170">
        <f t="shared" si="26"/>
        <v>0.22197435133281104</v>
      </c>
      <c r="V45" s="166">
        <f t="shared" si="27"/>
        <v>9.0519743513328113</v>
      </c>
      <c r="W45" s="171">
        <f t="shared" si="28"/>
        <v>862.94825004587051</v>
      </c>
      <c r="X45" s="171">
        <f t="shared" si="29"/>
        <v>21.161392045870343</v>
      </c>
      <c r="Y45" s="173">
        <f t="shared" si="30"/>
        <v>253.93670455044412</v>
      </c>
      <c r="AA45" s="179">
        <f t="shared" si="31"/>
        <v>249.11399059550286</v>
      </c>
      <c r="AB45" s="19">
        <f t="shared" si="19"/>
        <v>2.5138658135086311E-2</v>
      </c>
    </row>
    <row r="46" spans="1:28" ht="12">
      <c r="A46" s="50" t="s">
        <v>192</v>
      </c>
      <c r="B46" s="41"/>
      <c r="C46" s="64">
        <f>+B46</f>
        <v>0</v>
      </c>
      <c r="D46" s="1">
        <f>1*5</f>
        <v>5</v>
      </c>
      <c r="E46" s="36">
        <f t="shared" si="20"/>
        <v>0</v>
      </c>
      <c r="F46" s="41">
        <f t="shared" si="21"/>
        <v>0</v>
      </c>
      <c r="G46" s="1">
        <v>52</v>
      </c>
      <c r="I46" s="53">
        <v>127.27</v>
      </c>
      <c r="J46" s="4">
        <f t="shared" si="15"/>
        <v>0</v>
      </c>
      <c r="K46" s="4">
        <f t="shared" si="22"/>
        <v>0</v>
      </c>
      <c r="L46" s="34">
        <f t="shared" si="16"/>
        <v>725</v>
      </c>
      <c r="M46" s="2">
        <f t="shared" si="23"/>
        <v>318.61617616389572</v>
      </c>
      <c r="N46" s="54">
        <f t="shared" si="17"/>
        <v>0</v>
      </c>
      <c r="O46" s="35">
        <f t="shared" si="24"/>
        <v>0</v>
      </c>
      <c r="Q46" s="49">
        <f t="shared" si="18"/>
        <v>2.2972226301416883</v>
      </c>
      <c r="R46" s="167"/>
      <c r="S46" s="166">
        <f t="shared" si="25"/>
        <v>4.427896619598104E-2</v>
      </c>
      <c r="T46" s="170">
        <f t="shared" si="26"/>
        <v>2.3415015963376691</v>
      </c>
      <c r="V46" s="166">
        <f t="shared" si="27"/>
        <v>129.61150159633766</v>
      </c>
      <c r="W46" s="171">
        <f t="shared" si="28"/>
        <v>0</v>
      </c>
      <c r="X46" s="171">
        <f t="shared" si="29"/>
        <v>0</v>
      </c>
      <c r="Y46" s="173">
        <f t="shared" si="30"/>
        <v>0</v>
      </c>
      <c r="AA46" s="179">
        <f t="shared" si="31"/>
        <v>0</v>
      </c>
      <c r="AB46" s="19">
        <f t="shared" si="19"/>
        <v>1.8397906783512719E-2</v>
      </c>
    </row>
    <row r="47" spans="1:28" ht="12">
      <c r="A47" s="50" t="s">
        <v>65</v>
      </c>
      <c r="B47" s="41"/>
      <c r="C47" s="64">
        <f>+B47</f>
        <v>0</v>
      </c>
      <c r="D47" s="1">
        <v>1</v>
      </c>
      <c r="E47" s="36">
        <f t="shared" si="20"/>
        <v>0</v>
      </c>
      <c r="F47" s="52">
        <f t="shared" si="21"/>
        <v>0</v>
      </c>
      <c r="G47" s="1">
        <v>52</v>
      </c>
      <c r="I47" s="53">
        <v>21.01</v>
      </c>
      <c r="J47" s="4">
        <f t="shared" si="15"/>
        <v>0</v>
      </c>
      <c r="K47" s="4">
        <f t="shared" si="22"/>
        <v>0</v>
      </c>
      <c r="L47" s="34">
        <f t="shared" si="16"/>
        <v>145</v>
      </c>
      <c r="M47" s="2">
        <f t="shared" si="23"/>
        <v>63.723235232779139</v>
      </c>
      <c r="N47" s="54">
        <f t="shared" si="17"/>
        <v>0</v>
      </c>
      <c r="O47" s="35">
        <f t="shared" si="24"/>
        <v>0</v>
      </c>
      <c r="Q47" s="49">
        <f t="shared" si="18"/>
        <v>0.45944452602833769</v>
      </c>
      <c r="R47" s="167"/>
      <c r="S47" s="166">
        <f t="shared" si="25"/>
        <v>8.8557932391962087E-3</v>
      </c>
      <c r="T47" s="170">
        <f t="shared" si="26"/>
        <v>0.4683003192675339</v>
      </c>
      <c r="V47" s="166">
        <f t="shared" si="27"/>
        <v>21.478300319267536</v>
      </c>
      <c r="W47" s="171">
        <f t="shared" si="28"/>
        <v>0</v>
      </c>
      <c r="X47" s="171">
        <f t="shared" si="29"/>
        <v>0</v>
      </c>
      <c r="Y47" s="173">
        <f t="shared" si="30"/>
        <v>0</v>
      </c>
      <c r="AA47" s="179">
        <f t="shared" si="31"/>
        <v>0</v>
      </c>
      <c r="AB47" s="19">
        <f t="shared" si="19"/>
        <v>2.2289401202643333E-2</v>
      </c>
    </row>
    <row r="48" spans="1:28" ht="12">
      <c r="A48" s="50" t="s">
        <v>66</v>
      </c>
      <c r="B48" s="41">
        <v>28</v>
      </c>
      <c r="C48" s="64">
        <f>+B48*4.3333</f>
        <v>121.33240000000001</v>
      </c>
      <c r="D48" s="1">
        <v>1</v>
      </c>
      <c r="E48" s="36">
        <f t="shared" si="20"/>
        <v>121.33240000000001</v>
      </c>
      <c r="F48" s="52">
        <f t="shared" si="21"/>
        <v>28</v>
      </c>
      <c r="G48" s="1">
        <v>52</v>
      </c>
      <c r="I48" s="53">
        <v>18.43</v>
      </c>
      <c r="J48" s="4">
        <f t="shared" si="15"/>
        <v>2236.1561320000001</v>
      </c>
      <c r="K48" s="4">
        <f t="shared" si="22"/>
        <v>26833.873584000001</v>
      </c>
      <c r="L48" s="34">
        <f t="shared" si="16"/>
        <v>145</v>
      </c>
      <c r="M48" s="2">
        <f t="shared" si="23"/>
        <v>63.723235232779139</v>
      </c>
      <c r="N48" s="54">
        <f t="shared" si="17"/>
        <v>105.56</v>
      </c>
      <c r="O48" s="35">
        <f t="shared" si="24"/>
        <v>46.390515249463213</v>
      </c>
      <c r="Q48" s="49">
        <f t="shared" si="18"/>
        <v>0.45944452602833769</v>
      </c>
      <c r="R48" s="166"/>
      <c r="S48" s="166">
        <f t="shared" si="25"/>
        <v>8.8557932391962087E-3</v>
      </c>
      <c r="T48" s="170">
        <f t="shared" si="26"/>
        <v>0.4683003192675339</v>
      </c>
      <c r="V48" s="166">
        <f t="shared" si="27"/>
        <v>18.898300319267534</v>
      </c>
      <c r="W48" s="171">
        <f t="shared" si="28"/>
        <v>2292.9761336574961</v>
      </c>
      <c r="X48" s="171">
        <f t="shared" si="29"/>
        <v>56.82000165749605</v>
      </c>
      <c r="Y48" s="173">
        <f t="shared" si="30"/>
        <v>681.8400198899526</v>
      </c>
      <c r="AA48" s="179">
        <f t="shared" si="31"/>
        <v>668.95122989725962</v>
      </c>
      <c r="AB48" s="19">
        <f t="shared" si="19"/>
        <v>2.5409675489285632E-2</v>
      </c>
    </row>
    <row r="49" spans="1:28" ht="12">
      <c r="A49" s="50" t="s">
        <v>181</v>
      </c>
      <c r="B49" s="41"/>
      <c r="C49" s="64">
        <f>+B49*4.3333*2</f>
        <v>0</v>
      </c>
      <c r="D49" s="1">
        <v>1</v>
      </c>
      <c r="E49" s="36">
        <f t="shared" ref="E49:E54" si="32">C49*D49</f>
        <v>0</v>
      </c>
      <c r="F49" s="52">
        <f t="shared" ref="F49:F54" si="33">B49</f>
        <v>0</v>
      </c>
      <c r="G49" s="1">
        <v>52</v>
      </c>
      <c r="I49" s="53">
        <v>18.43</v>
      </c>
      <c r="J49" s="4">
        <f t="shared" si="15"/>
        <v>0</v>
      </c>
      <c r="K49" s="4">
        <f t="shared" si="22"/>
        <v>0</v>
      </c>
      <c r="L49" s="34">
        <f t="shared" si="16"/>
        <v>145</v>
      </c>
      <c r="M49" s="2">
        <f t="shared" si="23"/>
        <v>63.723235232779139</v>
      </c>
      <c r="N49" s="54">
        <f t="shared" si="17"/>
        <v>0</v>
      </c>
      <c r="O49" s="35">
        <f t="shared" si="24"/>
        <v>0</v>
      </c>
      <c r="Q49" s="49">
        <f t="shared" ref="Q49:Q54" si="34">M49*$R$12</f>
        <v>0.45944452602833769</v>
      </c>
      <c r="R49" s="166"/>
      <c r="S49" s="166">
        <f t="shared" ref="S49:S54" si="35">Q49*$U$11</f>
        <v>8.8557932391962087E-3</v>
      </c>
      <c r="T49" s="170">
        <f t="shared" ref="T49:T54" si="36">+Q49+S49</f>
        <v>0.4683003192675339</v>
      </c>
      <c r="V49" s="166">
        <f t="shared" ref="V49:V54" si="37">I49+T49</f>
        <v>18.898300319267534</v>
      </c>
      <c r="W49" s="171">
        <f t="shared" ref="W49:W54" si="38">C49*V49</f>
        <v>0</v>
      </c>
      <c r="X49" s="171">
        <f t="shared" ref="X49:X54" si="39">W49-J49</f>
        <v>0</v>
      </c>
      <c r="Y49" s="173">
        <f t="shared" si="30"/>
        <v>0</v>
      </c>
      <c r="AA49" s="179">
        <f t="shared" ref="AA49:AA54" si="40">O49*$R$11</f>
        <v>0</v>
      </c>
      <c r="AB49" s="19">
        <f t="shared" ref="AB49:AB54" si="41">IF(I49=0,"",V49/I49-1)</f>
        <v>2.5409675489285632E-2</v>
      </c>
    </row>
    <row r="50" spans="1:28" ht="12">
      <c r="A50" s="50" t="s">
        <v>67</v>
      </c>
      <c r="B50" s="41"/>
      <c r="C50" s="64">
        <f>B50*1</f>
        <v>0</v>
      </c>
      <c r="D50" s="1">
        <v>1.5</v>
      </c>
      <c r="E50" s="36">
        <f t="shared" si="32"/>
        <v>0</v>
      </c>
      <c r="F50" s="52">
        <f t="shared" si="33"/>
        <v>0</v>
      </c>
      <c r="G50" s="1">
        <v>52</v>
      </c>
      <c r="I50" s="53">
        <v>27.42</v>
      </c>
      <c r="J50" s="4">
        <f t="shared" si="15"/>
        <v>0</v>
      </c>
      <c r="K50" s="4">
        <f t="shared" si="22"/>
        <v>0</v>
      </c>
      <c r="L50" s="34">
        <f t="shared" si="16"/>
        <v>217.5</v>
      </c>
      <c r="M50" s="2">
        <f t="shared" si="23"/>
        <v>95.584852849168712</v>
      </c>
      <c r="N50" s="54">
        <f t="shared" si="17"/>
        <v>0</v>
      </c>
      <c r="O50" s="35">
        <f t="shared" si="24"/>
        <v>0</v>
      </c>
      <c r="Q50" s="49">
        <f t="shared" si="34"/>
        <v>0.6891667890425065</v>
      </c>
      <c r="R50" s="167"/>
      <c r="S50" s="166">
        <f t="shared" si="35"/>
        <v>1.3283689858794313E-2</v>
      </c>
      <c r="T50" s="170">
        <f t="shared" si="36"/>
        <v>0.70245047890130086</v>
      </c>
      <c r="V50" s="166">
        <f t="shared" si="37"/>
        <v>28.122450478901303</v>
      </c>
      <c r="W50" s="171">
        <f t="shared" si="38"/>
        <v>0</v>
      </c>
      <c r="X50" s="171">
        <f t="shared" si="39"/>
        <v>0</v>
      </c>
      <c r="Y50" s="173">
        <f t="shared" si="30"/>
        <v>0</v>
      </c>
      <c r="AA50" s="179">
        <f t="shared" si="40"/>
        <v>0</v>
      </c>
      <c r="AB50" s="19">
        <f t="shared" si="41"/>
        <v>2.5618179391003082E-2</v>
      </c>
    </row>
    <row r="51" spans="1:28" ht="12">
      <c r="A51" s="50" t="s">
        <v>68</v>
      </c>
      <c r="B51" s="41">
        <v>15</v>
      </c>
      <c r="C51" s="64">
        <f>B51*4.3333</f>
        <v>64.999500000000012</v>
      </c>
      <c r="D51" s="1">
        <v>1.5</v>
      </c>
      <c r="E51" s="36">
        <f t="shared" si="32"/>
        <v>97.499250000000018</v>
      </c>
      <c r="F51" s="52">
        <f t="shared" si="33"/>
        <v>15</v>
      </c>
      <c r="G51" s="1">
        <v>52</v>
      </c>
      <c r="I51" s="53">
        <v>24.77</v>
      </c>
      <c r="J51" s="4">
        <f t="shared" si="15"/>
        <v>1610.0376150000002</v>
      </c>
      <c r="K51" s="4">
        <f t="shared" si="22"/>
        <v>19320.451380000002</v>
      </c>
      <c r="L51" s="34">
        <f t="shared" si="16"/>
        <v>217.5</v>
      </c>
      <c r="M51" s="2">
        <f t="shared" si="23"/>
        <v>95.584852849168712</v>
      </c>
      <c r="N51" s="54">
        <f t="shared" si="17"/>
        <v>84.82</v>
      </c>
      <c r="O51" s="35">
        <f t="shared" si="24"/>
        <v>37.27589525823673</v>
      </c>
      <c r="Q51" s="49">
        <f t="shared" si="34"/>
        <v>0.6891667890425065</v>
      </c>
      <c r="R51" s="166"/>
      <c r="S51" s="166">
        <f t="shared" si="35"/>
        <v>1.3283689858794313E-2</v>
      </c>
      <c r="T51" s="170">
        <f t="shared" si="36"/>
        <v>0.70245047890130086</v>
      </c>
      <c r="V51" s="166">
        <f t="shared" si="37"/>
        <v>25.472450478901301</v>
      </c>
      <c r="W51" s="171">
        <f t="shared" si="38"/>
        <v>1655.6965449033455</v>
      </c>
      <c r="X51" s="171">
        <f t="shared" si="39"/>
        <v>45.658929903345324</v>
      </c>
      <c r="Y51" s="173">
        <f t="shared" si="30"/>
        <v>547.90715884014389</v>
      </c>
      <c r="AA51" s="179">
        <f t="shared" si="40"/>
        <v>537.51840962377366</v>
      </c>
      <c r="AB51" s="19">
        <f t="shared" si="41"/>
        <v>2.835892123138084E-2</v>
      </c>
    </row>
    <row r="52" spans="1:28" ht="12">
      <c r="A52" s="50" t="s">
        <v>69</v>
      </c>
      <c r="B52" s="41"/>
      <c r="C52" s="64">
        <f>B52*4.3333*2</f>
        <v>0</v>
      </c>
      <c r="D52" s="1">
        <v>1.5</v>
      </c>
      <c r="E52" s="36">
        <f t="shared" si="32"/>
        <v>0</v>
      </c>
      <c r="F52" s="52">
        <f t="shared" si="33"/>
        <v>0</v>
      </c>
      <c r="G52" s="1">
        <v>52</v>
      </c>
      <c r="I52" s="53">
        <v>24.77</v>
      </c>
      <c r="J52" s="4">
        <f t="shared" si="15"/>
        <v>0</v>
      </c>
      <c r="K52" s="4">
        <f t="shared" si="22"/>
        <v>0</v>
      </c>
      <c r="L52" s="34">
        <f t="shared" si="16"/>
        <v>217.5</v>
      </c>
      <c r="M52" s="2">
        <f t="shared" si="23"/>
        <v>95.584852849168712</v>
      </c>
      <c r="N52" s="54">
        <f t="shared" si="17"/>
        <v>0</v>
      </c>
      <c r="O52" s="35">
        <f t="shared" si="24"/>
        <v>0</v>
      </c>
      <c r="Q52" s="49">
        <f t="shared" si="34"/>
        <v>0.6891667890425065</v>
      </c>
      <c r="R52" s="166"/>
      <c r="S52" s="166">
        <f t="shared" si="35"/>
        <v>1.3283689858794313E-2</v>
      </c>
      <c r="T52" s="170">
        <f t="shared" si="36"/>
        <v>0.70245047890130086</v>
      </c>
      <c r="V52" s="166">
        <f t="shared" si="37"/>
        <v>25.472450478901301</v>
      </c>
      <c r="W52" s="171">
        <f t="shared" si="38"/>
        <v>0</v>
      </c>
      <c r="X52" s="171">
        <f t="shared" si="39"/>
        <v>0</v>
      </c>
      <c r="Y52" s="173">
        <f t="shared" si="30"/>
        <v>0</v>
      </c>
      <c r="AA52" s="179">
        <f t="shared" si="40"/>
        <v>0</v>
      </c>
      <c r="AB52" s="19">
        <f t="shared" si="41"/>
        <v>2.835892123138084E-2</v>
      </c>
    </row>
    <row r="53" spans="1:28" ht="12">
      <c r="A53" s="50" t="s">
        <v>70</v>
      </c>
      <c r="B53" s="41"/>
      <c r="C53" s="64">
        <f>B53*4.3333*3</f>
        <v>0</v>
      </c>
      <c r="D53" s="1">
        <v>1.5</v>
      </c>
      <c r="E53" s="36">
        <f t="shared" si="32"/>
        <v>0</v>
      </c>
      <c r="F53" s="52">
        <f t="shared" si="33"/>
        <v>0</v>
      </c>
      <c r="G53" s="1">
        <v>52</v>
      </c>
      <c r="I53" s="53">
        <v>24.77</v>
      </c>
      <c r="J53" s="4">
        <f t="shared" si="15"/>
        <v>0</v>
      </c>
      <c r="K53" s="4">
        <f t="shared" si="22"/>
        <v>0</v>
      </c>
      <c r="L53" s="34">
        <f t="shared" si="16"/>
        <v>217.5</v>
      </c>
      <c r="M53" s="2">
        <f t="shared" si="23"/>
        <v>95.584852849168712</v>
      </c>
      <c r="N53" s="54">
        <f t="shared" si="17"/>
        <v>0</v>
      </c>
      <c r="O53" s="35">
        <f t="shared" si="24"/>
        <v>0</v>
      </c>
      <c r="Q53" s="49">
        <f t="shared" si="34"/>
        <v>0.6891667890425065</v>
      </c>
      <c r="R53" s="166"/>
      <c r="S53" s="166">
        <f t="shared" si="35"/>
        <v>1.3283689858794313E-2</v>
      </c>
      <c r="T53" s="170">
        <f t="shared" si="36"/>
        <v>0.70245047890130086</v>
      </c>
      <c r="V53" s="166">
        <f t="shared" si="37"/>
        <v>25.472450478901301</v>
      </c>
      <c r="W53" s="171">
        <f t="shared" si="38"/>
        <v>0</v>
      </c>
      <c r="X53" s="171">
        <f t="shared" si="39"/>
        <v>0</v>
      </c>
      <c r="Y53" s="173">
        <f t="shared" si="30"/>
        <v>0</v>
      </c>
      <c r="AA53" s="179">
        <f t="shared" si="40"/>
        <v>0</v>
      </c>
      <c r="AB53" s="19">
        <f t="shared" si="41"/>
        <v>2.835892123138084E-2</v>
      </c>
    </row>
    <row r="54" spans="1:28" ht="12">
      <c r="A54" s="50" t="s">
        <v>193</v>
      </c>
      <c r="B54" s="41"/>
      <c r="C54" s="64">
        <f>+B54</f>
        <v>0</v>
      </c>
      <c r="D54" s="1">
        <f>2*5</f>
        <v>10</v>
      </c>
      <c r="E54" s="36">
        <f t="shared" si="32"/>
        <v>0</v>
      </c>
      <c r="F54" s="41">
        <f t="shared" si="33"/>
        <v>0</v>
      </c>
      <c r="G54" s="1">
        <v>52</v>
      </c>
      <c r="I54" s="53">
        <v>198.23</v>
      </c>
      <c r="J54" s="4">
        <f t="shared" si="15"/>
        <v>0</v>
      </c>
      <c r="K54" s="4">
        <f t="shared" si="22"/>
        <v>0</v>
      </c>
      <c r="L54" s="34">
        <f t="shared" si="16"/>
        <v>1450</v>
      </c>
      <c r="M54" s="2">
        <f t="shared" si="23"/>
        <v>637.23235232779143</v>
      </c>
      <c r="N54" s="54">
        <f t="shared" si="17"/>
        <v>0</v>
      </c>
      <c r="O54" s="35">
        <f t="shared" si="24"/>
        <v>0</v>
      </c>
      <c r="Q54" s="49">
        <f t="shared" si="34"/>
        <v>4.5944452602833765</v>
      </c>
      <c r="R54" s="167"/>
      <c r="S54" s="166">
        <f t="shared" si="35"/>
        <v>8.855793239196208E-2</v>
      </c>
      <c r="T54" s="170">
        <f t="shared" si="36"/>
        <v>4.6830031926753382</v>
      </c>
      <c r="V54" s="166">
        <f t="shared" si="37"/>
        <v>202.91300319267532</v>
      </c>
      <c r="W54" s="171">
        <f t="shared" si="38"/>
        <v>0</v>
      </c>
      <c r="X54" s="171">
        <f t="shared" si="39"/>
        <v>0</v>
      </c>
      <c r="Y54" s="173">
        <f t="shared" si="30"/>
        <v>0</v>
      </c>
      <c r="AA54" s="179">
        <f t="shared" si="40"/>
        <v>0</v>
      </c>
      <c r="AB54" s="19">
        <f t="shared" si="41"/>
        <v>2.3624089152375127E-2</v>
      </c>
    </row>
    <row r="55" spans="1:28" ht="12">
      <c r="A55" s="50" t="s">
        <v>71</v>
      </c>
      <c r="B55" s="41"/>
      <c r="C55" s="64">
        <f>B55*1</f>
        <v>0</v>
      </c>
      <c r="D55" s="1">
        <v>2</v>
      </c>
      <c r="E55" s="36">
        <f t="shared" si="20"/>
        <v>0</v>
      </c>
      <c r="F55" s="52">
        <f t="shared" si="21"/>
        <v>0</v>
      </c>
      <c r="G55" s="1">
        <v>52</v>
      </c>
      <c r="I55" s="53">
        <v>36.340000000000003</v>
      </c>
      <c r="J55" s="4">
        <f t="shared" si="15"/>
        <v>0</v>
      </c>
      <c r="K55" s="4">
        <f t="shared" si="22"/>
        <v>0</v>
      </c>
      <c r="L55" s="34">
        <f t="shared" si="16"/>
        <v>290</v>
      </c>
      <c r="M55" s="2">
        <f t="shared" si="23"/>
        <v>127.44647046555828</v>
      </c>
      <c r="N55" s="54">
        <f t="shared" si="17"/>
        <v>0</v>
      </c>
      <c r="O55" s="35">
        <f t="shared" si="24"/>
        <v>0</v>
      </c>
      <c r="Q55" s="49">
        <f t="shared" si="18"/>
        <v>0.91888905205667537</v>
      </c>
      <c r="R55" s="167"/>
      <c r="S55" s="166">
        <f t="shared" si="25"/>
        <v>1.7711586478392417E-2</v>
      </c>
      <c r="T55" s="170">
        <f t="shared" si="26"/>
        <v>0.93660063853506781</v>
      </c>
      <c r="V55" s="166">
        <f t="shared" si="27"/>
        <v>37.276600638535072</v>
      </c>
      <c r="W55" s="171">
        <f t="shared" si="28"/>
        <v>0</v>
      </c>
      <c r="X55" s="171">
        <f t="shared" si="29"/>
        <v>0</v>
      </c>
      <c r="Y55" s="173">
        <f t="shared" si="30"/>
        <v>0</v>
      </c>
      <c r="AA55" s="179">
        <f t="shared" si="31"/>
        <v>0</v>
      </c>
      <c r="AB55" s="19">
        <f t="shared" si="19"/>
        <v>2.5773270185334818E-2</v>
      </c>
    </row>
    <row r="56" spans="1:28" ht="12">
      <c r="A56" s="50" t="s">
        <v>72</v>
      </c>
      <c r="B56" s="41">
        <v>68</v>
      </c>
      <c r="C56" s="64">
        <f>B56*4.3333</f>
        <v>294.6644</v>
      </c>
      <c r="D56" s="1">
        <v>2</v>
      </c>
      <c r="E56" s="36">
        <f t="shared" si="20"/>
        <v>589.3288</v>
      </c>
      <c r="F56" s="52">
        <f t="shared" si="21"/>
        <v>68</v>
      </c>
      <c r="G56" s="1">
        <v>52</v>
      </c>
      <c r="I56" s="53">
        <v>32.36</v>
      </c>
      <c r="J56" s="4">
        <f t="shared" si="15"/>
        <v>9535.3399840000002</v>
      </c>
      <c r="K56" s="4">
        <f t="shared" si="22"/>
        <v>114424.07980800001</v>
      </c>
      <c r="L56" s="34">
        <f t="shared" si="16"/>
        <v>290</v>
      </c>
      <c r="M56" s="2">
        <f t="shared" si="23"/>
        <v>127.44647046555828</v>
      </c>
      <c r="N56" s="54">
        <f t="shared" si="17"/>
        <v>512.72</v>
      </c>
      <c r="O56" s="35">
        <f t="shared" si="24"/>
        <v>225.32535978310705</v>
      </c>
      <c r="Q56" s="49">
        <f t="shared" si="18"/>
        <v>0.91888905205667537</v>
      </c>
      <c r="R56" s="166"/>
      <c r="S56" s="166">
        <f t="shared" si="25"/>
        <v>1.7711586478392417E-2</v>
      </c>
      <c r="T56" s="170">
        <f t="shared" si="26"/>
        <v>0.93660063853506781</v>
      </c>
      <c r="V56" s="166">
        <f t="shared" si="27"/>
        <v>33.296600638535068</v>
      </c>
      <c r="W56" s="171">
        <f t="shared" si="28"/>
        <v>9811.3228491935533</v>
      </c>
      <c r="X56" s="171">
        <f t="shared" si="29"/>
        <v>275.98286519355315</v>
      </c>
      <c r="Y56" s="173">
        <f t="shared" si="30"/>
        <v>3311.7943823226378</v>
      </c>
      <c r="AA56" s="179">
        <f t="shared" si="31"/>
        <v>3249.1916880724038</v>
      </c>
      <c r="AB56" s="19">
        <f t="shared" si="19"/>
        <v>2.8943159410848907E-2</v>
      </c>
    </row>
    <row r="57" spans="1:28" ht="12">
      <c r="A57" s="50" t="s">
        <v>73</v>
      </c>
      <c r="B57" s="41"/>
      <c r="C57" s="64">
        <f>B57*4.3333*2</f>
        <v>0</v>
      </c>
      <c r="D57" s="1">
        <v>2</v>
      </c>
      <c r="E57" s="36">
        <f t="shared" si="20"/>
        <v>0</v>
      </c>
      <c r="F57" s="52">
        <f t="shared" si="21"/>
        <v>0</v>
      </c>
      <c r="G57" s="1">
        <v>52</v>
      </c>
      <c r="I57" s="53">
        <v>32.36</v>
      </c>
      <c r="J57" s="4">
        <f t="shared" si="15"/>
        <v>0</v>
      </c>
      <c r="K57" s="4">
        <f t="shared" si="22"/>
        <v>0</v>
      </c>
      <c r="L57" s="34">
        <f t="shared" si="16"/>
        <v>290</v>
      </c>
      <c r="M57" s="2">
        <f t="shared" si="23"/>
        <v>127.44647046555828</v>
      </c>
      <c r="N57" s="54">
        <f t="shared" si="17"/>
        <v>0</v>
      </c>
      <c r="O57" s="35">
        <f t="shared" si="24"/>
        <v>0</v>
      </c>
      <c r="Q57" s="49">
        <f t="shared" si="18"/>
        <v>0.91888905205667537</v>
      </c>
      <c r="R57" s="166"/>
      <c r="S57" s="166">
        <f t="shared" si="25"/>
        <v>1.7711586478392417E-2</v>
      </c>
      <c r="T57" s="170">
        <f t="shared" si="26"/>
        <v>0.93660063853506781</v>
      </c>
      <c r="V57" s="166">
        <f t="shared" si="27"/>
        <v>33.296600638535068</v>
      </c>
      <c r="W57" s="171">
        <f t="shared" si="28"/>
        <v>0</v>
      </c>
      <c r="X57" s="171">
        <f t="shared" si="29"/>
        <v>0</v>
      </c>
      <c r="Y57" s="173">
        <f t="shared" si="30"/>
        <v>0</v>
      </c>
      <c r="AA57" s="179">
        <f t="shared" si="31"/>
        <v>0</v>
      </c>
      <c r="AB57" s="19">
        <f t="shared" si="19"/>
        <v>2.8943159410848907E-2</v>
      </c>
    </row>
    <row r="58" spans="1:28" ht="12">
      <c r="A58" s="50" t="s">
        <v>74</v>
      </c>
      <c r="B58" s="41"/>
      <c r="C58" s="64">
        <f>B58*4.3333*3</f>
        <v>0</v>
      </c>
      <c r="D58" s="1">
        <v>2</v>
      </c>
      <c r="E58" s="36">
        <f t="shared" si="20"/>
        <v>0</v>
      </c>
      <c r="F58" s="52">
        <f t="shared" si="21"/>
        <v>0</v>
      </c>
      <c r="G58" s="1">
        <v>52</v>
      </c>
      <c r="I58" s="53">
        <v>32.36</v>
      </c>
      <c r="J58" s="4">
        <f t="shared" si="15"/>
        <v>0</v>
      </c>
      <c r="K58" s="4">
        <f t="shared" si="22"/>
        <v>0</v>
      </c>
      <c r="L58" s="34">
        <f t="shared" si="16"/>
        <v>290</v>
      </c>
      <c r="M58" s="2">
        <f t="shared" si="23"/>
        <v>127.44647046555828</v>
      </c>
      <c r="N58" s="54">
        <f t="shared" si="17"/>
        <v>0</v>
      </c>
      <c r="O58" s="35">
        <f t="shared" si="24"/>
        <v>0</v>
      </c>
      <c r="Q58" s="49">
        <f t="shared" si="18"/>
        <v>0.91888905205667537</v>
      </c>
      <c r="R58" s="166"/>
      <c r="S58" s="166">
        <f t="shared" si="25"/>
        <v>1.7711586478392417E-2</v>
      </c>
      <c r="T58" s="170">
        <f t="shared" si="26"/>
        <v>0.93660063853506781</v>
      </c>
      <c r="V58" s="166">
        <f t="shared" si="27"/>
        <v>33.296600638535068</v>
      </c>
      <c r="W58" s="171">
        <f t="shared" si="28"/>
        <v>0</v>
      </c>
      <c r="X58" s="171">
        <f t="shared" si="29"/>
        <v>0</v>
      </c>
      <c r="Y58" s="173">
        <f t="shared" si="30"/>
        <v>0</v>
      </c>
      <c r="AA58" s="179">
        <f t="shared" si="31"/>
        <v>0</v>
      </c>
      <c r="AB58" s="19">
        <f t="shared" si="19"/>
        <v>2.8943159410848907E-2</v>
      </c>
    </row>
    <row r="59" spans="1:28" ht="12">
      <c r="A59" s="50" t="s">
        <v>75</v>
      </c>
      <c r="B59" s="41"/>
      <c r="C59" s="64">
        <f>B59*4.3333*4</f>
        <v>0</v>
      </c>
      <c r="D59" s="1">
        <v>2</v>
      </c>
      <c r="E59" s="36">
        <f t="shared" si="20"/>
        <v>0</v>
      </c>
      <c r="F59" s="52">
        <f t="shared" si="21"/>
        <v>0</v>
      </c>
      <c r="G59" s="1">
        <v>52</v>
      </c>
      <c r="I59" s="53">
        <v>32.36</v>
      </c>
      <c r="J59" s="4">
        <f t="shared" si="15"/>
        <v>0</v>
      </c>
      <c r="K59" s="4">
        <f t="shared" si="22"/>
        <v>0</v>
      </c>
      <c r="L59" s="34">
        <f t="shared" si="16"/>
        <v>290</v>
      </c>
      <c r="M59" s="2">
        <f t="shared" si="23"/>
        <v>127.44647046555828</v>
      </c>
      <c r="N59" s="54">
        <f t="shared" si="17"/>
        <v>0</v>
      </c>
      <c r="O59" s="35">
        <f t="shared" si="24"/>
        <v>0</v>
      </c>
      <c r="Q59" s="49">
        <f t="shared" si="18"/>
        <v>0.91888905205667537</v>
      </c>
      <c r="R59" s="166"/>
      <c r="S59" s="166">
        <f t="shared" si="25"/>
        <v>1.7711586478392417E-2</v>
      </c>
      <c r="T59" s="170">
        <f t="shared" si="26"/>
        <v>0.93660063853506781</v>
      </c>
      <c r="V59" s="166">
        <f t="shared" si="27"/>
        <v>33.296600638535068</v>
      </c>
      <c r="W59" s="171">
        <f t="shared" si="28"/>
        <v>0</v>
      </c>
      <c r="X59" s="171">
        <f t="shared" si="29"/>
        <v>0</v>
      </c>
      <c r="Y59" s="173">
        <f t="shared" si="30"/>
        <v>0</v>
      </c>
      <c r="AA59" s="179">
        <f t="shared" si="31"/>
        <v>0</v>
      </c>
      <c r="AB59" s="19">
        <f t="shared" si="19"/>
        <v>2.8943159410848907E-2</v>
      </c>
    </row>
    <row r="60" spans="1:28" ht="12">
      <c r="A60" s="50" t="s">
        <v>182</v>
      </c>
      <c r="B60" s="41"/>
      <c r="C60" s="64">
        <f>B60*4.3333*5</f>
        <v>0</v>
      </c>
      <c r="D60" s="1">
        <v>2</v>
      </c>
      <c r="E60" s="36">
        <f>C60*D60</f>
        <v>0</v>
      </c>
      <c r="F60" s="52">
        <f>B60</f>
        <v>0</v>
      </c>
      <c r="G60" s="1">
        <v>52</v>
      </c>
      <c r="I60" s="53">
        <v>32.36</v>
      </c>
      <c r="J60" s="4">
        <f t="shared" si="15"/>
        <v>0</v>
      </c>
      <c r="K60" s="4">
        <f t="shared" si="22"/>
        <v>0</v>
      </c>
      <c r="L60" s="34">
        <f t="shared" si="16"/>
        <v>290</v>
      </c>
      <c r="M60" s="2">
        <f t="shared" si="23"/>
        <v>127.44647046555828</v>
      </c>
      <c r="N60" s="54">
        <f t="shared" si="17"/>
        <v>0</v>
      </c>
      <c r="O60" s="35">
        <f t="shared" si="24"/>
        <v>0</v>
      </c>
      <c r="Q60" s="49">
        <f>M60*$R$12</f>
        <v>0.91888905205667537</v>
      </c>
      <c r="R60" s="166"/>
      <c r="S60" s="166">
        <f>Q60*$U$11</f>
        <v>1.7711586478392417E-2</v>
      </c>
      <c r="T60" s="170">
        <f>+Q60+S60</f>
        <v>0.93660063853506781</v>
      </c>
      <c r="V60" s="166">
        <f>I60+T60</f>
        <v>33.296600638535068</v>
      </c>
      <c r="W60" s="171">
        <f>C60*V60</f>
        <v>0</v>
      </c>
      <c r="X60" s="171">
        <f>W60-J60</f>
        <v>0</v>
      </c>
      <c r="Y60" s="173">
        <f t="shared" si="30"/>
        <v>0</v>
      </c>
      <c r="AA60" s="179">
        <f>O60*$R$11</f>
        <v>0</v>
      </c>
      <c r="AB60" s="19">
        <f>IF(I60=0,"",V60/I60-1)</f>
        <v>2.8943159410848907E-2</v>
      </c>
    </row>
    <row r="61" spans="1:28" ht="12">
      <c r="A61" s="50" t="s">
        <v>183</v>
      </c>
      <c r="B61" s="41"/>
      <c r="C61" s="64">
        <f>B61*4.3333*6</f>
        <v>0</v>
      </c>
      <c r="D61" s="1">
        <v>2</v>
      </c>
      <c r="E61" s="36">
        <f>C61*D61</f>
        <v>0</v>
      </c>
      <c r="F61" s="52">
        <f>B61</f>
        <v>0</v>
      </c>
      <c r="G61" s="1">
        <v>52</v>
      </c>
      <c r="I61" s="53">
        <v>32.36</v>
      </c>
      <c r="J61" s="4">
        <f t="shared" si="15"/>
        <v>0</v>
      </c>
      <c r="K61" s="4">
        <f t="shared" si="22"/>
        <v>0</v>
      </c>
      <c r="L61" s="34">
        <f t="shared" si="16"/>
        <v>290</v>
      </c>
      <c r="M61" s="2">
        <f t="shared" si="23"/>
        <v>127.44647046555828</v>
      </c>
      <c r="N61" s="54">
        <f t="shared" si="17"/>
        <v>0</v>
      </c>
      <c r="O61" s="35">
        <f t="shared" si="24"/>
        <v>0</v>
      </c>
      <c r="Q61" s="49">
        <f>M61*$R$12</f>
        <v>0.91888905205667537</v>
      </c>
      <c r="R61" s="166"/>
      <c r="S61" s="166">
        <f>Q61*$U$11</f>
        <v>1.7711586478392417E-2</v>
      </c>
      <c r="T61" s="170">
        <f>+Q61+S61</f>
        <v>0.93660063853506781</v>
      </c>
      <c r="V61" s="166">
        <f>I61+T61</f>
        <v>33.296600638535068</v>
      </c>
      <c r="W61" s="171">
        <f>C61*V61</f>
        <v>0</v>
      </c>
      <c r="X61" s="171">
        <f>W61-J61</f>
        <v>0</v>
      </c>
      <c r="Y61" s="173">
        <f t="shared" si="30"/>
        <v>0</v>
      </c>
      <c r="AA61" s="179">
        <f>O61*$R$11</f>
        <v>0</v>
      </c>
      <c r="AB61" s="19">
        <f>IF(I61=0,"",V61/I61-1)</f>
        <v>2.8943159410848907E-2</v>
      </c>
    </row>
    <row r="62" spans="1:28" ht="12">
      <c r="A62" s="50" t="s">
        <v>76</v>
      </c>
      <c r="B62" s="41"/>
      <c r="C62" s="64">
        <f>B62*4.33</f>
        <v>0</v>
      </c>
      <c r="D62" s="1">
        <f>3*3.5</f>
        <v>10.5</v>
      </c>
      <c r="E62" s="36">
        <f t="shared" si="20"/>
        <v>0</v>
      </c>
      <c r="F62" s="52">
        <f t="shared" si="21"/>
        <v>0</v>
      </c>
      <c r="G62" s="1">
        <v>52</v>
      </c>
      <c r="I62" s="53">
        <v>213.43</v>
      </c>
      <c r="J62" s="4">
        <f t="shared" si="15"/>
        <v>0</v>
      </c>
      <c r="K62" s="4">
        <f t="shared" si="22"/>
        <v>0</v>
      </c>
      <c r="L62" s="34">
        <f t="shared" si="16"/>
        <v>1522.5</v>
      </c>
      <c r="M62" s="2">
        <f t="shared" si="23"/>
        <v>669.09396994418103</v>
      </c>
      <c r="N62" s="54">
        <f t="shared" si="17"/>
        <v>0</v>
      </c>
      <c r="O62" s="35">
        <f t="shared" si="24"/>
        <v>0</v>
      </c>
      <c r="Q62" s="49">
        <f t="shared" si="18"/>
        <v>4.8241675232975458</v>
      </c>
      <c r="R62" s="166"/>
      <c r="S62" s="166">
        <f t="shared" si="25"/>
        <v>9.2985829011560203E-2</v>
      </c>
      <c r="T62" s="170">
        <f t="shared" si="26"/>
        <v>4.9171533523091062</v>
      </c>
      <c r="V62" s="166">
        <f t="shared" si="27"/>
        <v>218.34715335230911</v>
      </c>
      <c r="W62" s="171">
        <f t="shared" si="28"/>
        <v>0</v>
      </c>
      <c r="X62" s="171">
        <f t="shared" si="29"/>
        <v>0</v>
      </c>
      <c r="Y62" s="173">
        <f t="shared" si="30"/>
        <v>0</v>
      </c>
      <c r="AA62" s="179">
        <f t="shared" si="31"/>
        <v>0</v>
      </c>
      <c r="AB62" s="19">
        <f t="shared" si="19"/>
        <v>2.3038716920344315E-2</v>
      </c>
    </row>
    <row r="63" spans="1:28" ht="12">
      <c r="A63" s="50" t="s">
        <v>188</v>
      </c>
      <c r="B63" s="41"/>
      <c r="C63" s="64">
        <f>B63*4.33</f>
        <v>0</v>
      </c>
      <c r="D63" s="1">
        <f>3*5</f>
        <v>15</v>
      </c>
      <c r="E63" s="36">
        <f>C63*D63</f>
        <v>0</v>
      </c>
      <c r="F63" s="41">
        <f>B63</f>
        <v>0</v>
      </c>
      <c r="G63" s="1">
        <v>52</v>
      </c>
      <c r="I63" s="53">
        <v>251.68</v>
      </c>
      <c r="J63" s="4">
        <f t="shared" si="15"/>
        <v>0</v>
      </c>
      <c r="K63" s="4">
        <f>J63*12</f>
        <v>0</v>
      </c>
      <c r="L63" s="34">
        <f t="shared" si="16"/>
        <v>2175</v>
      </c>
      <c r="M63" s="2">
        <f t="shared" si="23"/>
        <v>955.84852849168715</v>
      </c>
      <c r="N63" s="54">
        <f t="shared" si="17"/>
        <v>0</v>
      </c>
      <c r="O63" s="35">
        <f t="shared" si="24"/>
        <v>0</v>
      </c>
      <c r="Q63" s="49">
        <f>M63*$R$12</f>
        <v>6.8916678904250652</v>
      </c>
      <c r="R63" s="166"/>
      <c r="S63" s="166">
        <f>Q63*$U$11</f>
        <v>0.13283689858794315</v>
      </c>
      <c r="T63" s="170">
        <f>+Q63+S63</f>
        <v>7.0245047890130081</v>
      </c>
      <c r="V63" s="166">
        <f>I63+T63</f>
        <v>258.70450478901301</v>
      </c>
      <c r="W63" s="171">
        <f>C63*V63</f>
        <v>0</v>
      </c>
      <c r="X63" s="171">
        <f>W63-J63</f>
        <v>0</v>
      </c>
      <c r="Y63" s="173">
        <f>X63*12</f>
        <v>0</v>
      </c>
      <c r="AA63" s="179">
        <f>O63*$R$11</f>
        <v>0</v>
      </c>
      <c r="AB63" s="19">
        <f>IF(I63=0,"",V63/I63-1)</f>
        <v>2.7910460859079E-2</v>
      </c>
    </row>
    <row r="64" spans="1:28" ht="12">
      <c r="A64" s="50" t="s">
        <v>77</v>
      </c>
      <c r="B64" s="41"/>
      <c r="C64" s="64">
        <f>+B64*1</f>
        <v>0</v>
      </c>
      <c r="D64" s="1">
        <v>3</v>
      </c>
      <c r="E64" s="36">
        <f t="shared" si="20"/>
        <v>0</v>
      </c>
      <c r="F64" s="52">
        <f t="shared" si="21"/>
        <v>0</v>
      </c>
      <c r="G64" s="1">
        <v>52</v>
      </c>
      <c r="I64" s="53">
        <v>45.3</v>
      </c>
      <c r="J64" s="4">
        <f t="shared" si="15"/>
        <v>0</v>
      </c>
      <c r="K64" s="4">
        <f t="shared" si="22"/>
        <v>0</v>
      </c>
      <c r="L64" s="34">
        <f t="shared" si="16"/>
        <v>435</v>
      </c>
      <c r="M64" s="2">
        <f t="shared" si="23"/>
        <v>191.16970569833742</v>
      </c>
      <c r="N64" s="54">
        <f t="shared" si="17"/>
        <v>0</v>
      </c>
      <c r="O64" s="35">
        <f t="shared" si="24"/>
        <v>0</v>
      </c>
      <c r="Q64" s="49">
        <f t="shared" si="18"/>
        <v>1.378333578085013</v>
      </c>
      <c r="R64" s="167"/>
      <c r="S64" s="166">
        <f t="shared" si="25"/>
        <v>2.6567379717588626E-2</v>
      </c>
      <c r="T64" s="170">
        <f t="shared" si="26"/>
        <v>1.4049009578026017</v>
      </c>
      <c r="V64" s="166">
        <f t="shared" si="27"/>
        <v>46.7049009578026</v>
      </c>
      <c r="W64" s="171">
        <f t="shared" si="28"/>
        <v>0</v>
      </c>
      <c r="X64" s="171">
        <f t="shared" si="29"/>
        <v>0</v>
      </c>
      <c r="Y64" s="173">
        <f t="shared" si="30"/>
        <v>0</v>
      </c>
      <c r="AA64" s="179">
        <f t="shared" si="31"/>
        <v>0</v>
      </c>
      <c r="AB64" s="19">
        <f t="shared" si="19"/>
        <v>3.1013266176658005E-2</v>
      </c>
    </row>
    <row r="65" spans="1:28" ht="12">
      <c r="A65" s="50" t="s">
        <v>78</v>
      </c>
      <c r="B65" s="41">
        <v>45</v>
      </c>
      <c r="C65" s="64">
        <f>B65*4.3333</f>
        <v>194.99850000000001</v>
      </c>
      <c r="D65" s="1">
        <v>3</v>
      </c>
      <c r="E65" s="36">
        <f t="shared" si="20"/>
        <v>584.99549999999999</v>
      </c>
      <c r="F65" s="52">
        <f t="shared" si="21"/>
        <v>45</v>
      </c>
      <c r="G65" s="1">
        <v>52</v>
      </c>
      <c r="I65" s="53">
        <v>45.3</v>
      </c>
      <c r="J65" s="4">
        <f t="shared" si="15"/>
        <v>8833.4320499999994</v>
      </c>
      <c r="K65" s="4">
        <f t="shared" si="22"/>
        <v>106001.18459999999</v>
      </c>
      <c r="L65" s="34">
        <f t="shared" si="16"/>
        <v>435</v>
      </c>
      <c r="M65" s="2">
        <f t="shared" si="23"/>
        <v>191.16970569833742</v>
      </c>
      <c r="N65" s="54">
        <f t="shared" si="17"/>
        <v>508.95</v>
      </c>
      <c r="O65" s="35">
        <f t="shared" si="24"/>
        <v>223.66855566705479</v>
      </c>
      <c r="Q65" s="49">
        <f t="shared" si="18"/>
        <v>1.378333578085013</v>
      </c>
      <c r="R65" s="166"/>
      <c r="S65" s="166">
        <f t="shared" si="25"/>
        <v>2.6567379717588626E-2</v>
      </c>
      <c r="T65" s="170">
        <f t="shared" si="26"/>
        <v>1.4049009578026017</v>
      </c>
      <c r="V65" s="166">
        <f t="shared" si="27"/>
        <v>46.7049009578026</v>
      </c>
      <c r="W65" s="171">
        <f t="shared" si="28"/>
        <v>9107.3856294200705</v>
      </c>
      <c r="X65" s="171">
        <f t="shared" si="29"/>
        <v>273.95357942007104</v>
      </c>
      <c r="Y65" s="173">
        <f t="shared" si="30"/>
        <v>3287.4429530408524</v>
      </c>
      <c r="AA65" s="179">
        <f t="shared" si="31"/>
        <v>3225.3005727189307</v>
      </c>
      <c r="AB65" s="19">
        <f t="shared" si="19"/>
        <v>3.1013266176658005E-2</v>
      </c>
    </row>
    <row r="66" spans="1:28" ht="12">
      <c r="A66" s="50" t="s">
        <v>79</v>
      </c>
      <c r="B66" s="41"/>
      <c r="C66" s="64">
        <f>B66*4.3333*2</f>
        <v>0</v>
      </c>
      <c r="D66" s="1">
        <v>3</v>
      </c>
      <c r="E66" s="36">
        <f t="shared" si="20"/>
        <v>0</v>
      </c>
      <c r="F66" s="52">
        <f t="shared" si="21"/>
        <v>0</v>
      </c>
      <c r="G66" s="1">
        <v>52</v>
      </c>
      <c r="I66" s="53">
        <v>45.3</v>
      </c>
      <c r="J66" s="4">
        <f t="shared" si="15"/>
        <v>0</v>
      </c>
      <c r="K66" s="4">
        <f t="shared" si="22"/>
        <v>0</v>
      </c>
      <c r="L66" s="34">
        <f t="shared" si="16"/>
        <v>435</v>
      </c>
      <c r="M66" s="2">
        <f t="shared" si="23"/>
        <v>191.16970569833742</v>
      </c>
      <c r="N66" s="54">
        <f t="shared" si="17"/>
        <v>0</v>
      </c>
      <c r="O66" s="35">
        <f t="shared" si="24"/>
        <v>0</v>
      </c>
      <c r="Q66" s="49">
        <f t="shared" si="18"/>
        <v>1.378333578085013</v>
      </c>
      <c r="R66" s="166"/>
      <c r="S66" s="166">
        <f t="shared" si="25"/>
        <v>2.6567379717588626E-2</v>
      </c>
      <c r="T66" s="170">
        <f t="shared" si="26"/>
        <v>1.4049009578026017</v>
      </c>
      <c r="V66" s="166">
        <f t="shared" si="27"/>
        <v>46.7049009578026</v>
      </c>
      <c r="W66" s="171">
        <f t="shared" si="28"/>
        <v>0</v>
      </c>
      <c r="X66" s="171">
        <f t="shared" si="29"/>
        <v>0</v>
      </c>
      <c r="Y66" s="173">
        <f t="shared" si="30"/>
        <v>0</v>
      </c>
      <c r="AA66" s="179">
        <f t="shared" si="31"/>
        <v>0</v>
      </c>
      <c r="AB66" s="19">
        <f t="shared" si="19"/>
        <v>3.1013266176658005E-2</v>
      </c>
    </row>
    <row r="67" spans="1:28" ht="12">
      <c r="A67" s="50" t="s">
        <v>80</v>
      </c>
      <c r="B67" s="41"/>
      <c r="C67" s="64">
        <f>B67*4.3333*3</f>
        <v>0</v>
      </c>
      <c r="D67" s="1">
        <v>3</v>
      </c>
      <c r="E67" s="36">
        <f>C67*D67</f>
        <v>0</v>
      </c>
      <c r="F67" s="52">
        <f>B67</f>
        <v>0</v>
      </c>
      <c r="G67" s="1">
        <v>52</v>
      </c>
      <c r="I67" s="53">
        <v>45.3</v>
      </c>
      <c r="J67" s="4">
        <f t="shared" si="15"/>
        <v>0</v>
      </c>
      <c r="K67" s="4">
        <f t="shared" si="22"/>
        <v>0</v>
      </c>
      <c r="L67" s="34">
        <f t="shared" si="16"/>
        <v>435</v>
      </c>
      <c r="M67" s="2">
        <f t="shared" si="23"/>
        <v>191.16970569833742</v>
      </c>
      <c r="N67" s="54">
        <f t="shared" si="17"/>
        <v>0</v>
      </c>
      <c r="O67" s="35">
        <f t="shared" si="24"/>
        <v>0</v>
      </c>
      <c r="Q67" s="49">
        <f>M67*$R$12</f>
        <v>1.378333578085013</v>
      </c>
      <c r="R67" s="166"/>
      <c r="S67" s="166">
        <f>Q67*$U$11</f>
        <v>2.6567379717588626E-2</v>
      </c>
      <c r="T67" s="170">
        <f>+Q67+S67</f>
        <v>1.4049009578026017</v>
      </c>
      <c r="V67" s="166">
        <f>I67+T67</f>
        <v>46.7049009578026</v>
      </c>
      <c r="W67" s="171">
        <f>C67*V67</f>
        <v>0</v>
      </c>
      <c r="X67" s="171">
        <f>W67-J67</f>
        <v>0</v>
      </c>
      <c r="Y67" s="173">
        <f t="shared" si="30"/>
        <v>0</v>
      </c>
      <c r="AA67" s="179">
        <f>O67*$R$11</f>
        <v>0</v>
      </c>
      <c r="AB67" s="19">
        <f>IF(I67=0,"",V67/I67-1)</f>
        <v>3.1013266176658005E-2</v>
      </c>
    </row>
    <row r="68" spans="1:28" ht="12">
      <c r="A68" s="50" t="s">
        <v>184</v>
      </c>
      <c r="B68" s="41"/>
      <c r="C68" s="64">
        <f>B68*4.3333*4</f>
        <v>0</v>
      </c>
      <c r="D68" s="1">
        <v>3</v>
      </c>
      <c r="E68" s="36">
        <f t="shared" si="20"/>
        <v>0</v>
      </c>
      <c r="F68" s="52">
        <f t="shared" si="21"/>
        <v>0</v>
      </c>
      <c r="G68" s="1">
        <v>52</v>
      </c>
      <c r="I68" s="53">
        <v>45.3</v>
      </c>
      <c r="J68" s="4">
        <f t="shared" si="15"/>
        <v>0</v>
      </c>
      <c r="K68" s="4">
        <f t="shared" si="22"/>
        <v>0</v>
      </c>
      <c r="L68" s="34">
        <f t="shared" si="16"/>
        <v>435</v>
      </c>
      <c r="M68" s="2">
        <f t="shared" si="23"/>
        <v>191.16970569833742</v>
      </c>
      <c r="N68" s="54">
        <f t="shared" si="17"/>
        <v>0</v>
      </c>
      <c r="O68" s="35">
        <f t="shared" si="24"/>
        <v>0</v>
      </c>
      <c r="Q68" s="49">
        <f t="shared" si="18"/>
        <v>1.378333578085013</v>
      </c>
      <c r="R68" s="166"/>
      <c r="S68" s="166">
        <f t="shared" si="25"/>
        <v>2.6567379717588626E-2</v>
      </c>
      <c r="T68" s="170">
        <f t="shared" si="26"/>
        <v>1.4049009578026017</v>
      </c>
      <c r="V68" s="166">
        <f t="shared" si="27"/>
        <v>46.7049009578026</v>
      </c>
      <c r="W68" s="171">
        <f t="shared" si="28"/>
        <v>0</v>
      </c>
      <c r="X68" s="171">
        <f t="shared" si="29"/>
        <v>0</v>
      </c>
      <c r="Y68" s="173">
        <f t="shared" si="30"/>
        <v>0</v>
      </c>
      <c r="AA68" s="179">
        <f t="shared" si="31"/>
        <v>0</v>
      </c>
      <c r="AB68" s="19">
        <f t="shared" si="19"/>
        <v>3.1013266176658005E-2</v>
      </c>
    </row>
    <row r="69" spans="1:28" ht="12">
      <c r="A69" s="50" t="s">
        <v>81</v>
      </c>
      <c r="B69" s="41"/>
      <c r="C69" s="64">
        <f>B69*4.33</f>
        <v>0</v>
      </c>
      <c r="D69" s="1">
        <f>4*3.5</f>
        <v>14</v>
      </c>
      <c r="E69" s="36">
        <f t="shared" si="20"/>
        <v>0</v>
      </c>
      <c r="F69" s="52">
        <f t="shared" si="21"/>
        <v>0</v>
      </c>
      <c r="G69" s="1">
        <v>52</v>
      </c>
      <c r="I69" s="53">
        <v>261.92</v>
      </c>
      <c r="J69" s="4">
        <f t="shared" si="15"/>
        <v>0</v>
      </c>
      <c r="K69" s="4">
        <f t="shared" si="22"/>
        <v>0</v>
      </c>
      <c r="L69" s="34">
        <f t="shared" si="16"/>
        <v>2030</v>
      </c>
      <c r="M69" s="2">
        <f t="shared" si="23"/>
        <v>892.12529325890796</v>
      </c>
      <c r="N69" s="54">
        <f t="shared" si="17"/>
        <v>0</v>
      </c>
      <c r="O69" s="35">
        <f t="shared" si="24"/>
        <v>0</v>
      </c>
      <c r="Q69" s="49">
        <f t="shared" si="18"/>
        <v>6.4322233643967275</v>
      </c>
      <c r="R69" s="166"/>
      <c r="S69" s="166">
        <f t="shared" si="25"/>
        <v>0.12398110534874693</v>
      </c>
      <c r="T69" s="170">
        <f t="shared" si="26"/>
        <v>6.5562044697454747</v>
      </c>
      <c r="V69" s="166">
        <f t="shared" si="27"/>
        <v>268.47620446974548</v>
      </c>
      <c r="W69" s="171">
        <f t="shared" si="28"/>
        <v>0</v>
      </c>
      <c r="X69" s="171">
        <f t="shared" si="29"/>
        <v>0</v>
      </c>
      <c r="Y69" s="173">
        <f t="shared" si="30"/>
        <v>0</v>
      </c>
      <c r="AA69" s="179">
        <f t="shared" si="31"/>
        <v>0</v>
      </c>
      <c r="AB69" s="19">
        <f t="shared" si="19"/>
        <v>2.503132433470312E-2</v>
      </c>
    </row>
    <row r="70" spans="1:28" ht="12">
      <c r="A70" s="50" t="s">
        <v>189</v>
      </c>
      <c r="B70" s="41"/>
      <c r="C70" s="64">
        <f>B70*4.33</f>
        <v>0</v>
      </c>
      <c r="D70" s="1">
        <f>4*5</f>
        <v>20</v>
      </c>
      <c r="E70" s="36">
        <f t="shared" si="20"/>
        <v>0</v>
      </c>
      <c r="F70" s="41">
        <f t="shared" si="21"/>
        <v>0</v>
      </c>
      <c r="G70" s="1">
        <v>52</v>
      </c>
      <c r="I70" s="53">
        <v>314.61</v>
      </c>
      <c r="J70" s="4">
        <f t="shared" si="15"/>
        <v>0</v>
      </c>
      <c r="K70" s="4">
        <f t="shared" si="22"/>
        <v>0</v>
      </c>
      <c r="L70" s="34">
        <f t="shared" si="16"/>
        <v>2900</v>
      </c>
      <c r="M70" s="2">
        <f t="shared" si="23"/>
        <v>1274.4647046555829</v>
      </c>
      <c r="N70" s="54">
        <f t="shared" si="17"/>
        <v>0</v>
      </c>
      <c r="O70" s="35">
        <f t="shared" si="24"/>
        <v>0</v>
      </c>
      <c r="Q70" s="49">
        <f t="shared" si="18"/>
        <v>9.188890520566753</v>
      </c>
      <c r="R70" s="166"/>
      <c r="S70" s="166">
        <f t="shared" si="25"/>
        <v>0.17711586478392416</v>
      </c>
      <c r="T70" s="170">
        <f t="shared" si="26"/>
        <v>9.3660063853506763</v>
      </c>
      <c r="V70" s="166">
        <f t="shared" si="27"/>
        <v>323.97600638535067</v>
      </c>
      <c r="W70" s="171">
        <f t="shared" si="28"/>
        <v>0</v>
      </c>
      <c r="X70" s="171">
        <f t="shared" si="29"/>
        <v>0</v>
      </c>
      <c r="Y70" s="173">
        <f t="shared" si="30"/>
        <v>0</v>
      </c>
      <c r="AA70" s="179">
        <f t="shared" si="31"/>
        <v>0</v>
      </c>
      <c r="AB70" s="19">
        <f t="shared" si="19"/>
        <v>2.9770211961954951E-2</v>
      </c>
    </row>
    <row r="71" spans="1:28" ht="12">
      <c r="A71" s="50" t="s">
        <v>82</v>
      </c>
      <c r="B71" s="41"/>
      <c r="C71" s="64">
        <f>+B71*1</f>
        <v>0</v>
      </c>
      <c r="D71" s="1">
        <v>4</v>
      </c>
      <c r="E71" s="36">
        <f t="shared" si="20"/>
        <v>0</v>
      </c>
      <c r="F71" s="52">
        <f t="shared" si="21"/>
        <v>0</v>
      </c>
      <c r="G71" s="1">
        <v>52</v>
      </c>
      <c r="I71" s="53">
        <v>65.92</v>
      </c>
      <c r="J71" s="4">
        <f t="shared" si="15"/>
        <v>0</v>
      </c>
      <c r="K71" s="4">
        <f t="shared" si="22"/>
        <v>0</v>
      </c>
      <c r="L71" s="34">
        <f t="shared" si="16"/>
        <v>580</v>
      </c>
      <c r="M71" s="2">
        <f t="shared" si="23"/>
        <v>254.89294093111656</v>
      </c>
      <c r="N71" s="54">
        <f t="shared" si="17"/>
        <v>0</v>
      </c>
      <c r="O71" s="35">
        <f t="shared" si="24"/>
        <v>0</v>
      </c>
      <c r="Q71" s="49">
        <f t="shared" si="18"/>
        <v>1.8377781041133507</v>
      </c>
      <c r="R71" s="167"/>
      <c r="S71" s="166">
        <f t="shared" si="25"/>
        <v>3.5423172956784835E-2</v>
      </c>
      <c r="T71" s="170">
        <f t="shared" si="26"/>
        <v>1.8732012770701356</v>
      </c>
      <c r="V71" s="166">
        <f t="shared" si="27"/>
        <v>67.793201277070139</v>
      </c>
      <c r="W71" s="171">
        <f t="shared" si="28"/>
        <v>0</v>
      </c>
      <c r="X71" s="171">
        <f t="shared" si="29"/>
        <v>0</v>
      </c>
      <c r="Y71" s="173">
        <f t="shared" si="30"/>
        <v>0</v>
      </c>
      <c r="AA71" s="179">
        <f t="shared" si="31"/>
        <v>0</v>
      </c>
      <c r="AB71" s="19">
        <f t="shared" si="19"/>
        <v>2.8416281508952368E-2</v>
      </c>
    </row>
    <row r="72" spans="1:28" ht="12">
      <c r="A72" s="50" t="s">
        <v>83</v>
      </c>
      <c r="B72" s="41">
        <v>64.999499999999998</v>
      </c>
      <c r="C72" s="64">
        <f>B72*4.3333</f>
        <v>281.66233335000004</v>
      </c>
      <c r="D72" s="1">
        <v>4</v>
      </c>
      <c r="E72" s="36">
        <f t="shared" si="20"/>
        <v>1126.6493334000002</v>
      </c>
      <c r="F72" s="52">
        <f t="shared" si="21"/>
        <v>64.999499999999998</v>
      </c>
      <c r="G72" s="1">
        <v>52</v>
      </c>
      <c r="I72" s="53">
        <v>60.63</v>
      </c>
      <c r="J72" s="4">
        <f t="shared" si="15"/>
        <v>17077.187271010502</v>
      </c>
      <c r="K72" s="4">
        <f t="shared" si="22"/>
        <v>204926.24725212602</v>
      </c>
      <c r="L72" s="34">
        <f t="shared" si="16"/>
        <v>580</v>
      </c>
      <c r="M72" s="2">
        <f t="shared" si="23"/>
        <v>254.89294093111656</v>
      </c>
      <c r="N72" s="54">
        <f t="shared" si="17"/>
        <v>980.18</v>
      </c>
      <c r="O72" s="35">
        <f t="shared" si="24"/>
        <v>430.76028076183076</v>
      </c>
      <c r="Q72" s="49">
        <f t="shared" si="18"/>
        <v>1.8377781041133507</v>
      </c>
      <c r="R72" s="166"/>
      <c r="S72" s="166">
        <f t="shared" si="25"/>
        <v>3.5423172956784835E-2</v>
      </c>
      <c r="T72" s="170">
        <f t="shared" si="26"/>
        <v>1.8732012770701356</v>
      </c>
      <c r="V72" s="166">
        <f t="shared" si="27"/>
        <v>62.50320127707014</v>
      </c>
      <c r="W72" s="171">
        <f t="shared" si="28"/>
        <v>17604.797513544279</v>
      </c>
      <c r="X72" s="171">
        <f t="shared" si="29"/>
        <v>527.61024253377764</v>
      </c>
      <c r="Y72" s="173">
        <f t="shared" si="30"/>
        <v>6331.3229104053316</v>
      </c>
      <c r="AA72" s="179">
        <f t="shared" si="31"/>
        <v>6211.5632485856004</v>
      </c>
      <c r="AB72" s="19">
        <f t="shared" si="19"/>
        <v>3.0895617302822753E-2</v>
      </c>
    </row>
    <row r="73" spans="1:28" ht="12">
      <c r="A73" s="50" t="s">
        <v>84</v>
      </c>
      <c r="B73" s="41"/>
      <c r="C73" s="64">
        <f>B73*4.3333*2</f>
        <v>0</v>
      </c>
      <c r="D73" s="1">
        <v>4</v>
      </c>
      <c r="E73" s="36">
        <f t="shared" si="20"/>
        <v>0</v>
      </c>
      <c r="F73" s="52">
        <f t="shared" si="21"/>
        <v>0</v>
      </c>
      <c r="G73" s="1">
        <v>52</v>
      </c>
      <c r="I73" s="53">
        <v>60.63</v>
      </c>
      <c r="J73" s="4">
        <f t="shared" si="15"/>
        <v>0</v>
      </c>
      <c r="K73" s="4">
        <f t="shared" si="22"/>
        <v>0</v>
      </c>
      <c r="L73" s="34">
        <f t="shared" si="16"/>
        <v>580</v>
      </c>
      <c r="M73" s="2">
        <f t="shared" si="23"/>
        <v>254.89294093111656</v>
      </c>
      <c r="N73" s="54">
        <f t="shared" si="17"/>
        <v>0</v>
      </c>
      <c r="O73" s="35">
        <f t="shared" si="24"/>
        <v>0</v>
      </c>
      <c r="Q73" s="49">
        <f t="shared" si="18"/>
        <v>1.8377781041133507</v>
      </c>
      <c r="R73" s="166"/>
      <c r="S73" s="166">
        <f t="shared" si="25"/>
        <v>3.5423172956784835E-2</v>
      </c>
      <c r="T73" s="170">
        <f t="shared" si="26"/>
        <v>1.8732012770701356</v>
      </c>
      <c r="V73" s="166">
        <f t="shared" si="27"/>
        <v>62.50320127707014</v>
      </c>
      <c r="W73" s="171">
        <f t="shared" si="28"/>
        <v>0</v>
      </c>
      <c r="X73" s="171">
        <f t="shared" si="29"/>
        <v>0</v>
      </c>
      <c r="Y73" s="173">
        <f t="shared" si="30"/>
        <v>0</v>
      </c>
      <c r="AA73" s="179">
        <f t="shared" si="31"/>
        <v>0</v>
      </c>
      <c r="AB73" s="19">
        <f t="shared" si="19"/>
        <v>3.0895617302822753E-2</v>
      </c>
    </row>
    <row r="74" spans="1:28" ht="12">
      <c r="A74" s="50" t="s">
        <v>85</v>
      </c>
      <c r="B74" s="41"/>
      <c r="C74" s="64">
        <f>B74*4.3333*3</f>
        <v>0</v>
      </c>
      <c r="D74" s="1">
        <v>4</v>
      </c>
      <c r="E74" s="36">
        <f t="shared" si="20"/>
        <v>0</v>
      </c>
      <c r="F74" s="52">
        <f t="shared" si="21"/>
        <v>0</v>
      </c>
      <c r="G74" s="1">
        <v>52</v>
      </c>
      <c r="I74" s="53">
        <v>60.63</v>
      </c>
      <c r="J74" s="4">
        <f t="shared" si="15"/>
        <v>0</v>
      </c>
      <c r="K74" s="4">
        <f t="shared" si="22"/>
        <v>0</v>
      </c>
      <c r="L74" s="34">
        <f t="shared" si="16"/>
        <v>580</v>
      </c>
      <c r="M74" s="2">
        <f t="shared" si="23"/>
        <v>254.89294093111656</v>
      </c>
      <c r="N74" s="54">
        <f t="shared" si="17"/>
        <v>0</v>
      </c>
      <c r="O74" s="35">
        <f t="shared" si="24"/>
        <v>0</v>
      </c>
      <c r="Q74" s="49">
        <f t="shared" si="18"/>
        <v>1.8377781041133507</v>
      </c>
      <c r="R74" s="166"/>
      <c r="S74" s="166">
        <f t="shared" si="25"/>
        <v>3.5423172956784835E-2</v>
      </c>
      <c r="T74" s="170">
        <f t="shared" si="26"/>
        <v>1.8732012770701356</v>
      </c>
      <c r="V74" s="166">
        <f t="shared" si="27"/>
        <v>62.50320127707014</v>
      </c>
      <c r="W74" s="171">
        <f t="shared" si="28"/>
        <v>0</v>
      </c>
      <c r="X74" s="171">
        <f t="shared" si="29"/>
        <v>0</v>
      </c>
      <c r="Y74" s="173">
        <f t="shared" si="30"/>
        <v>0</v>
      </c>
      <c r="AA74" s="179">
        <f t="shared" si="31"/>
        <v>0</v>
      </c>
      <c r="AB74" s="19">
        <f t="shared" si="19"/>
        <v>3.0895617302822753E-2</v>
      </c>
    </row>
    <row r="75" spans="1:28" ht="12">
      <c r="A75" s="50" t="s">
        <v>86</v>
      </c>
      <c r="B75" s="41"/>
      <c r="C75" s="64">
        <f>(B75*4.3333)*4</f>
        <v>0</v>
      </c>
      <c r="D75" s="1">
        <v>4</v>
      </c>
      <c r="E75" s="36">
        <f>C75*D75</f>
        <v>0</v>
      </c>
      <c r="F75" s="52">
        <f>B75</f>
        <v>0</v>
      </c>
      <c r="G75" s="1">
        <v>52</v>
      </c>
      <c r="I75" s="53">
        <v>60.63</v>
      </c>
      <c r="J75" s="4">
        <f t="shared" ref="J75:J91" si="42">+C75*I75</f>
        <v>0</v>
      </c>
      <c r="K75" s="4">
        <f t="shared" si="22"/>
        <v>0</v>
      </c>
      <c r="L75" s="34">
        <f t="shared" ref="L75:L102" si="43">+D75*L$16</f>
        <v>580</v>
      </c>
      <c r="M75" s="2">
        <f t="shared" si="23"/>
        <v>254.89294093111656</v>
      </c>
      <c r="N75" s="54">
        <f t="shared" ref="N75:N102" si="44">ROUND((C75*L75*12)/2000,2)</f>
        <v>0</v>
      </c>
      <c r="O75" s="35">
        <f t="shared" si="24"/>
        <v>0</v>
      </c>
      <c r="Q75" s="49">
        <f>M75*$R$12</f>
        <v>1.8377781041133507</v>
      </c>
      <c r="R75" s="166"/>
      <c r="S75" s="166">
        <f>Q75*$U$11</f>
        <v>3.5423172956784835E-2</v>
      </c>
      <c r="T75" s="170">
        <f>+Q75+S75</f>
        <v>1.8732012770701356</v>
      </c>
      <c r="V75" s="166">
        <f>I75+T75</f>
        <v>62.50320127707014</v>
      </c>
      <c r="W75" s="171">
        <f>C75*V75</f>
        <v>0</v>
      </c>
      <c r="X75" s="171">
        <f>W75-J75</f>
        <v>0</v>
      </c>
      <c r="Y75" s="173">
        <f t="shared" si="30"/>
        <v>0</v>
      </c>
      <c r="AA75" s="179">
        <f>O75*$R$11</f>
        <v>0</v>
      </c>
      <c r="AB75" s="19">
        <f>IF(I75=0,"",V75/I75-1)</f>
        <v>3.0895617302822753E-2</v>
      </c>
    </row>
    <row r="76" spans="1:28" ht="12">
      <c r="A76" s="50" t="s">
        <v>185</v>
      </c>
      <c r="B76" s="41"/>
      <c r="C76" s="64">
        <f>(B76*4.3333)*6</f>
        <v>0</v>
      </c>
      <c r="D76" s="1">
        <v>4</v>
      </c>
      <c r="E76" s="36">
        <f t="shared" si="20"/>
        <v>0</v>
      </c>
      <c r="F76" s="52">
        <f t="shared" si="21"/>
        <v>0</v>
      </c>
      <c r="G76" s="1">
        <v>52</v>
      </c>
      <c r="I76" s="53">
        <v>60.63</v>
      </c>
      <c r="J76" s="4">
        <f t="shared" si="42"/>
        <v>0</v>
      </c>
      <c r="K76" s="4">
        <f t="shared" si="22"/>
        <v>0</v>
      </c>
      <c r="L76" s="34">
        <f t="shared" si="43"/>
        <v>580</v>
      </c>
      <c r="M76" s="2">
        <f t="shared" si="23"/>
        <v>254.89294093111656</v>
      </c>
      <c r="N76" s="54">
        <f t="shared" si="44"/>
        <v>0</v>
      </c>
      <c r="O76" s="35">
        <f t="shared" si="24"/>
        <v>0</v>
      </c>
      <c r="Q76" s="49">
        <f t="shared" si="18"/>
        <v>1.8377781041133507</v>
      </c>
      <c r="R76" s="166"/>
      <c r="S76" s="166">
        <f t="shared" si="25"/>
        <v>3.5423172956784835E-2</v>
      </c>
      <c r="T76" s="170">
        <f t="shared" si="26"/>
        <v>1.8732012770701356</v>
      </c>
      <c r="V76" s="166">
        <f t="shared" si="27"/>
        <v>62.50320127707014</v>
      </c>
      <c r="W76" s="171">
        <f t="shared" si="28"/>
        <v>0</v>
      </c>
      <c r="X76" s="171">
        <f t="shared" si="29"/>
        <v>0</v>
      </c>
      <c r="Y76" s="173">
        <f t="shared" si="30"/>
        <v>0</v>
      </c>
      <c r="AA76" s="179">
        <f t="shared" si="31"/>
        <v>0</v>
      </c>
      <c r="AB76" s="19">
        <f t="shared" si="19"/>
        <v>3.0895617302822753E-2</v>
      </c>
    </row>
    <row r="77" spans="1:28" ht="12">
      <c r="A77" s="50" t="s">
        <v>186</v>
      </c>
      <c r="B77" s="41"/>
      <c r="C77" s="64">
        <f>B77*4.33</f>
        <v>0</v>
      </c>
      <c r="D77" s="1">
        <f>5*3.5</f>
        <v>17.5</v>
      </c>
      <c r="E77" s="36">
        <f>C77*D77</f>
        <v>0</v>
      </c>
      <c r="F77" s="52">
        <f>B77</f>
        <v>0</v>
      </c>
      <c r="G77" s="1">
        <v>52</v>
      </c>
      <c r="I77" s="53">
        <v>294.92</v>
      </c>
      <c r="J77" s="4">
        <f t="shared" si="42"/>
        <v>0</v>
      </c>
      <c r="K77" s="4">
        <f t="shared" si="22"/>
        <v>0</v>
      </c>
      <c r="L77" s="34">
        <f t="shared" si="43"/>
        <v>2537.5</v>
      </c>
      <c r="M77" s="2">
        <f t="shared" si="23"/>
        <v>1115.1566165736349</v>
      </c>
      <c r="N77" s="54">
        <f t="shared" si="44"/>
        <v>0</v>
      </c>
      <c r="O77" s="35">
        <f t="shared" si="24"/>
        <v>0</v>
      </c>
      <c r="Q77" s="49">
        <f>M77*$R$12</f>
        <v>8.0402792054959082</v>
      </c>
      <c r="R77" s="166"/>
      <c r="S77" s="166">
        <f>Q77*$U$11</f>
        <v>0.15497638168593364</v>
      </c>
      <c r="T77" s="170">
        <f>+Q77+S77</f>
        <v>8.1952555871818422</v>
      </c>
      <c r="V77" s="166">
        <f>I77+T77</f>
        <v>303.11525558718188</v>
      </c>
      <c r="W77" s="171">
        <f>C77*V77</f>
        <v>0</v>
      </c>
      <c r="X77" s="171">
        <f>W77-J77</f>
        <v>0</v>
      </c>
      <c r="Y77" s="173">
        <f t="shared" si="30"/>
        <v>0</v>
      </c>
      <c r="AA77" s="179">
        <f>O77*$R$11</f>
        <v>0</v>
      </c>
      <c r="AB77" s="19">
        <f>IF(I77=0,"",V77/I77-1)</f>
        <v>2.7788063160117504E-2</v>
      </c>
    </row>
    <row r="78" spans="1:28" ht="12">
      <c r="A78" s="50" t="s">
        <v>190</v>
      </c>
      <c r="B78" s="41"/>
      <c r="C78" s="64">
        <f>B78*4.33</f>
        <v>0</v>
      </c>
      <c r="D78" s="1">
        <f>5*5</f>
        <v>25</v>
      </c>
      <c r="E78" s="36">
        <f>C78*D78</f>
        <v>0</v>
      </c>
      <c r="F78" s="41">
        <f>B78</f>
        <v>0</v>
      </c>
      <c r="G78" s="1">
        <v>52</v>
      </c>
      <c r="I78" s="53">
        <v>353.98</v>
      </c>
      <c r="J78" s="4">
        <f t="shared" si="42"/>
        <v>0</v>
      </c>
      <c r="K78" s="4">
        <f t="shared" si="22"/>
        <v>0</v>
      </c>
      <c r="L78" s="34">
        <f t="shared" si="43"/>
        <v>3625</v>
      </c>
      <c r="M78" s="2">
        <f t="shared" si="23"/>
        <v>1593.0808808194786</v>
      </c>
      <c r="N78" s="54">
        <f t="shared" si="44"/>
        <v>0</v>
      </c>
      <c r="O78" s="35">
        <f t="shared" si="24"/>
        <v>0</v>
      </c>
      <c r="Q78" s="49">
        <f>M78*$R$12</f>
        <v>11.486113150708443</v>
      </c>
      <c r="R78" s="166"/>
      <c r="S78" s="166">
        <f>Q78*$U$11</f>
        <v>0.22139483097990523</v>
      </c>
      <c r="T78" s="170">
        <f>+Q78+S78</f>
        <v>11.707507981688348</v>
      </c>
      <c r="V78" s="166">
        <f>I78+T78</f>
        <v>365.68750798168838</v>
      </c>
      <c r="W78" s="171">
        <f>C78*V78</f>
        <v>0</v>
      </c>
      <c r="X78" s="171">
        <f>W78-J78</f>
        <v>0</v>
      </c>
      <c r="Y78" s="173">
        <f t="shared" si="30"/>
        <v>0</v>
      </c>
      <c r="AA78" s="179">
        <f>O78*$R$11</f>
        <v>0</v>
      </c>
      <c r="AB78" s="19">
        <f>IF(I78=0,"",V78/I78-1)</f>
        <v>3.3073925028782369E-2</v>
      </c>
    </row>
    <row r="79" spans="1:28" ht="12">
      <c r="A79" s="50" t="s">
        <v>87</v>
      </c>
      <c r="B79" s="41"/>
      <c r="C79" s="64">
        <f>B79*4.33</f>
        <v>0</v>
      </c>
      <c r="D79" s="1">
        <f>6*3.5</f>
        <v>21</v>
      </c>
      <c r="E79" s="36">
        <f t="shared" si="20"/>
        <v>0</v>
      </c>
      <c r="F79" s="52">
        <f t="shared" si="21"/>
        <v>0</v>
      </c>
      <c r="G79" s="1">
        <v>52</v>
      </c>
      <c r="I79" s="53">
        <v>349.53</v>
      </c>
      <c r="J79" s="4">
        <f t="shared" si="42"/>
        <v>0</v>
      </c>
      <c r="K79" s="4">
        <f t="shared" si="22"/>
        <v>0</v>
      </c>
      <c r="L79" s="34">
        <f t="shared" si="43"/>
        <v>3045</v>
      </c>
      <c r="M79" s="2">
        <f t="shared" si="23"/>
        <v>1338.1879398883621</v>
      </c>
      <c r="N79" s="54">
        <f t="shared" si="44"/>
        <v>0</v>
      </c>
      <c r="O79" s="35">
        <f t="shared" si="24"/>
        <v>0</v>
      </c>
      <c r="Q79" s="49">
        <f t="shared" si="18"/>
        <v>9.6483350465950917</v>
      </c>
      <c r="R79" s="166"/>
      <c r="S79" s="166">
        <f t="shared" si="25"/>
        <v>0.18597165802312041</v>
      </c>
      <c r="T79" s="170">
        <f t="shared" si="26"/>
        <v>9.8343067046182124</v>
      </c>
      <c r="V79" s="166">
        <f t="shared" si="27"/>
        <v>359.36430670461817</v>
      </c>
      <c r="W79" s="171">
        <f t="shared" si="28"/>
        <v>0</v>
      </c>
      <c r="X79" s="171">
        <f t="shared" si="29"/>
        <v>0</v>
      </c>
      <c r="Y79" s="173">
        <f t="shared" si="30"/>
        <v>0</v>
      </c>
      <c r="AA79" s="179">
        <f t="shared" si="31"/>
        <v>0</v>
      </c>
      <c r="AB79" s="19">
        <f t="shared" si="19"/>
        <v>2.8135801518090586E-2</v>
      </c>
    </row>
    <row r="80" spans="1:28" ht="12">
      <c r="A80" s="50" t="s">
        <v>191</v>
      </c>
      <c r="B80" s="41"/>
      <c r="C80" s="64">
        <f>B80*4.33</f>
        <v>0</v>
      </c>
      <c r="D80" s="1">
        <f>6*5</f>
        <v>30</v>
      </c>
      <c r="E80" s="36">
        <f t="shared" si="20"/>
        <v>0</v>
      </c>
      <c r="F80" s="41">
        <f t="shared" si="21"/>
        <v>0</v>
      </c>
      <c r="G80" s="1">
        <v>52</v>
      </c>
      <c r="I80" s="53">
        <v>404.96</v>
      </c>
      <c r="J80" s="4">
        <f t="shared" si="42"/>
        <v>0</v>
      </c>
      <c r="K80" s="4">
        <f t="shared" si="22"/>
        <v>0</v>
      </c>
      <c r="L80" s="34">
        <f t="shared" si="43"/>
        <v>4350</v>
      </c>
      <c r="M80" s="2">
        <f t="shared" si="23"/>
        <v>1911.6970569833743</v>
      </c>
      <c r="N80" s="54">
        <f t="shared" si="44"/>
        <v>0</v>
      </c>
      <c r="O80" s="35">
        <f t="shared" si="24"/>
        <v>0</v>
      </c>
      <c r="Q80" s="49">
        <f t="shared" si="18"/>
        <v>13.78333578085013</v>
      </c>
      <c r="R80" s="166"/>
      <c r="S80" s="166">
        <f t="shared" si="25"/>
        <v>0.26567379717588629</v>
      </c>
      <c r="T80" s="170">
        <f t="shared" si="26"/>
        <v>14.049009578026016</v>
      </c>
      <c r="V80" s="166">
        <f t="shared" si="27"/>
        <v>419.009009578026</v>
      </c>
      <c r="W80" s="171">
        <f t="shared" si="28"/>
        <v>0</v>
      </c>
      <c r="X80" s="171">
        <f t="shared" si="29"/>
        <v>0</v>
      </c>
      <c r="Y80" s="173">
        <f t="shared" si="30"/>
        <v>0</v>
      </c>
      <c r="AA80" s="179">
        <f t="shared" si="31"/>
        <v>0</v>
      </c>
      <c r="AB80" s="19">
        <f t="shared" si="19"/>
        <v>3.4692338942182044E-2</v>
      </c>
    </row>
    <row r="81" spans="1:28" ht="12">
      <c r="A81" s="50" t="s">
        <v>88</v>
      </c>
      <c r="B81" s="41"/>
      <c r="C81" s="64">
        <f>+B81*1</f>
        <v>0</v>
      </c>
      <c r="D81" s="1">
        <v>6</v>
      </c>
      <c r="E81" s="36">
        <f t="shared" si="20"/>
        <v>0</v>
      </c>
      <c r="F81" s="52">
        <f t="shared" si="21"/>
        <v>0</v>
      </c>
      <c r="G81" s="1">
        <v>52</v>
      </c>
      <c r="I81" s="53">
        <v>96.03</v>
      </c>
      <c r="J81" s="4">
        <f t="shared" si="42"/>
        <v>0</v>
      </c>
      <c r="K81" s="4">
        <f t="shared" si="22"/>
        <v>0</v>
      </c>
      <c r="L81" s="34">
        <f t="shared" si="43"/>
        <v>870</v>
      </c>
      <c r="M81" s="2">
        <f t="shared" si="23"/>
        <v>382.33941139667485</v>
      </c>
      <c r="N81" s="54">
        <f t="shared" si="44"/>
        <v>0</v>
      </c>
      <c r="O81" s="35">
        <f t="shared" si="24"/>
        <v>0</v>
      </c>
      <c r="Q81" s="49">
        <f t="shared" si="18"/>
        <v>2.756667156170026</v>
      </c>
      <c r="R81" s="167"/>
      <c r="S81" s="166">
        <f t="shared" si="25"/>
        <v>5.3134759435177252E-2</v>
      </c>
      <c r="T81" s="170">
        <f t="shared" si="26"/>
        <v>2.8098019156052034</v>
      </c>
      <c r="V81" s="166">
        <f t="shared" si="27"/>
        <v>98.839801915605207</v>
      </c>
      <c r="W81" s="171">
        <f t="shared" si="28"/>
        <v>0</v>
      </c>
      <c r="X81" s="171">
        <f t="shared" si="29"/>
        <v>0</v>
      </c>
      <c r="Y81" s="173">
        <f t="shared" si="30"/>
        <v>0</v>
      </c>
      <c r="AA81" s="179">
        <f t="shared" si="31"/>
        <v>0</v>
      </c>
      <c r="AB81" s="19">
        <f t="shared" si="19"/>
        <v>2.9259626320995658E-2</v>
      </c>
    </row>
    <row r="82" spans="1:28" ht="12">
      <c r="A82" s="50" t="s">
        <v>89</v>
      </c>
      <c r="B82" s="41">
        <v>90.999299999999991</v>
      </c>
      <c r="C82" s="64">
        <f>B82*4.3333</f>
        <v>394.32726668999999</v>
      </c>
      <c r="D82" s="1">
        <v>6</v>
      </c>
      <c r="E82" s="36">
        <f t="shared" si="20"/>
        <v>2365.9636001399999</v>
      </c>
      <c r="F82" s="52">
        <f t="shared" si="21"/>
        <v>90.999299999999991</v>
      </c>
      <c r="G82" s="1">
        <v>52</v>
      </c>
      <c r="I82" s="53">
        <v>88.09</v>
      </c>
      <c r="J82" s="4">
        <f t="shared" si="42"/>
        <v>34736.288922722102</v>
      </c>
      <c r="K82" s="4">
        <f t="shared" ref="K82:K102" si="45">J82*12</f>
        <v>416835.46707266523</v>
      </c>
      <c r="L82" s="34">
        <f t="shared" si="43"/>
        <v>870</v>
      </c>
      <c r="M82" s="2">
        <f t="shared" si="23"/>
        <v>382.33941139667485</v>
      </c>
      <c r="N82" s="54">
        <f t="shared" si="44"/>
        <v>2058.39</v>
      </c>
      <c r="O82" s="35">
        <f t="shared" si="24"/>
        <v>904.60186324689823</v>
      </c>
      <c r="Q82" s="49">
        <f t="shared" si="18"/>
        <v>2.756667156170026</v>
      </c>
      <c r="R82" s="166"/>
      <c r="S82" s="166">
        <f t="shared" si="25"/>
        <v>5.3134759435177252E-2</v>
      </c>
      <c r="T82" s="170">
        <f t="shared" si="26"/>
        <v>2.8098019156052034</v>
      </c>
      <c r="V82" s="166">
        <f t="shared" si="27"/>
        <v>90.89980191560521</v>
      </c>
      <c r="W82" s="171">
        <f t="shared" si="28"/>
        <v>35844.270432043028</v>
      </c>
      <c r="X82" s="171">
        <f t="shared" si="29"/>
        <v>1107.9815093209254</v>
      </c>
      <c r="Y82" s="173">
        <f t="shared" si="30"/>
        <v>13295.778111851105</v>
      </c>
      <c r="AA82" s="179">
        <f t="shared" si="31"/>
        <v>13044.358868020274</v>
      </c>
      <c r="AB82" s="19">
        <f t="shared" si="19"/>
        <v>3.1896945346863603E-2</v>
      </c>
    </row>
    <row r="83" spans="1:28" ht="12">
      <c r="A83" s="50" t="s">
        <v>90</v>
      </c>
      <c r="B83" s="41"/>
      <c r="C83" s="64">
        <f>B83*4.3333*2</f>
        <v>0</v>
      </c>
      <c r="D83" s="1">
        <v>6</v>
      </c>
      <c r="E83" s="36">
        <f t="shared" si="20"/>
        <v>0</v>
      </c>
      <c r="F83" s="52">
        <f t="shared" si="21"/>
        <v>0</v>
      </c>
      <c r="G83" s="1">
        <v>52</v>
      </c>
      <c r="I83" s="53">
        <v>88.09</v>
      </c>
      <c r="J83" s="4">
        <f t="shared" si="42"/>
        <v>0</v>
      </c>
      <c r="K83" s="4">
        <f t="shared" si="45"/>
        <v>0</v>
      </c>
      <c r="L83" s="34">
        <f t="shared" si="43"/>
        <v>870</v>
      </c>
      <c r="M83" s="2">
        <f t="shared" si="23"/>
        <v>382.33941139667485</v>
      </c>
      <c r="N83" s="54">
        <f t="shared" si="44"/>
        <v>0</v>
      </c>
      <c r="O83" s="35">
        <f t="shared" si="24"/>
        <v>0</v>
      </c>
      <c r="Q83" s="49">
        <f t="shared" si="18"/>
        <v>2.756667156170026</v>
      </c>
      <c r="R83" s="166"/>
      <c r="S83" s="166">
        <f t="shared" si="25"/>
        <v>5.3134759435177252E-2</v>
      </c>
      <c r="T83" s="170">
        <f t="shared" si="26"/>
        <v>2.8098019156052034</v>
      </c>
      <c r="V83" s="166">
        <f t="shared" si="27"/>
        <v>90.89980191560521</v>
      </c>
      <c r="W83" s="171">
        <f t="shared" si="28"/>
        <v>0</v>
      </c>
      <c r="X83" s="171">
        <f t="shared" si="29"/>
        <v>0</v>
      </c>
      <c r="Y83" s="173">
        <f t="shared" si="30"/>
        <v>0</v>
      </c>
      <c r="AA83" s="179">
        <f t="shared" si="31"/>
        <v>0</v>
      </c>
      <c r="AB83" s="19">
        <f t="shared" si="19"/>
        <v>3.1896945346863603E-2</v>
      </c>
    </row>
    <row r="84" spans="1:28" ht="12">
      <c r="A84" s="50" t="s">
        <v>91</v>
      </c>
      <c r="B84" s="41"/>
      <c r="C84" s="64">
        <f>B84*4.3333*3</f>
        <v>0</v>
      </c>
      <c r="D84" s="1">
        <v>6</v>
      </c>
      <c r="E84" s="36">
        <f t="shared" si="20"/>
        <v>0</v>
      </c>
      <c r="F84" s="52">
        <f t="shared" si="21"/>
        <v>0</v>
      </c>
      <c r="G84" s="1">
        <v>52</v>
      </c>
      <c r="I84" s="53">
        <v>88.09</v>
      </c>
      <c r="J84" s="4">
        <f t="shared" si="42"/>
        <v>0</v>
      </c>
      <c r="K84" s="4">
        <f t="shared" si="45"/>
        <v>0</v>
      </c>
      <c r="L84" s="34">
        <f t="shared" si="43"/>
        <v>870</v>
      </c>
      <c r="M84" s="2">
        <f t="shared" si="23"/>
        <v>382.33941139667485</v>
      </c>
      <c r="N84" s="54">
        <f t="shared" si="44"/>
        <v>0</v>
      </c>
      <c r="O84" s="35">
        <f t="shared" si="24"/>
        <v>0</v>
      </c>
      <c r="Q84" s="49">
        <f t="shared" si="18"/>
        <v>2.756667156170026</v>
      </c>
      <c r="R84" s="166"/>
      <c r="S84" s="166">
        <f t="shared" si="25"/>
        <v>5.3134759435177252E-2</v>
      </c>
      <c r="T84" s="170">
        <f t="shared" si="26"/>
        <v>2.8098019156052034</v>
      </c>
      <c r="V84" s="166">
        <f t="shared" si="27"/>
        <v>90.89980191560521</v>
      </c>
      <c r="W84" s="171">
        <f t="shared" si="28"/>
        <v>0</v>
      </c>
      <c r="X84" s="171">
        <f t="shared" si="29"/>
        <v>0</v>
      </c>
      <c r="Y84" s="173">
        <f t="shared" si="30"/>
        <v>0</v>
      </c>
      <c r="AA84" s="179">
        <f t="shared" si="31"/>
        <v>0</v>
      </c>
      <c r="AB84" s="19">
        <f t="shared" si="19"/>
        <v>3.1896945346863603E-2</v>
      </c>
    </row>
    <row r="85" spans="1:28" ht="12">
      <c r="A85" s="50" t="s">
        <v>92</v>
      </c>
      <c r="B85" s="41"/>
      <c r="C85" s="64">
        <f>B85*4.3333*4</f>
        <v>0</v>
      </c>
      <c r="D85" s="1">
        <v>6</v>
      </c>
      <c r="E85" s="36">
        <f t="shared" si="20"/>
        <v>0</v>
      </c>
      <c r="F85" s="52">
        <f t="shared" si="21"/>
        <v>0</v>
      </c>
      <c r="G85" s="1">
        <v>52</v>
      </c>
      <c r="I85" s="53">
        <v>88.09</v>
      </c>
      <c r="J85" s="4">
        <f t="shared" si="42"/>
        <v>0</v>
      </c>
      <c r="K85" s="4">
        <f t="shared" si="45"/>
        <v>0</v>
      </c>
      <c r="L85" s="34">
        <f t="shared" si="43"/>
        <v>870</v>
      </c>
      <c r="M85" s="2">
        <f t="shared" si="23"/>
        <v>382.33941139667485</v>
      </c>
      <c r="N85" s="54">
        <f t="shared" si="44"/>
        <v>0</v>
      </c>
      <c r="O85" s="35">
        <f t="shared" si="24"/>
        <v>0</v>
      </c>
      <c r="Q85" s="49">
        <f t="shared" si="18"/>
        <v>2.756667156170026</v>
      </c>
      <c r="R85" s="166"/>
      <c r="S85" s="166">
        <f t="shared" si="25"/>
        <v>5.3134759435177252E-2</v>
      </c>
      <c r="T85" s="170">
        <f t="shared" si="26"/>
        <v>2.8098019156052034</v>
      </c>
      <c r="V85" s="166">
        <f t="shared" si="27"/>
        <v>90.89980191560521</v>
      </c>
      <c r="W85" s="171">
        <f t="shared" si="28"/>
        <v>0</v>
      </c>
      <c r="X85" s="171">
        <f t="shared" si="29"/>
        <v>0</v>
      </c>
      <c r="Y85" s="173">
        <f t="shared" si="30"/>
        <v>0</v>
      </c>
      <c r="AA85" s="179">
        <f t="shared" si="31"/>
        <v>0</v>
      </c>
      <c r="AB85" s="19">
        <f t="shared" si="19"/>
        <v>3.1896945346863603E-2</v>
      </c>
    </row>
    <row r="86" spans="1:28" ht="12">
      <c r="A86" s="50" t="s">
        <v>93</v>
      </c>
      <c r="B86" s="41"/>
      <c r="C86" s="64">
        <f>+B86*1</f>
        <v>0</v>
      </c>
      <c r="D86" s="1">
        <v>8</v>
      </c>
      <c r="E86" s="36">
        <f t="shared" si="20"/>
        <v>0</v>
      </c>
      <c r="F86" s="52">
        <f t="shared" si="21"/>
        <v>0</v>
      </c>
      <c r="G86" s="1">
        <v>52</v>
      </c>
      <c r="I86" s="53">
        <v>130.26</v>
      </c>
      <c r="J86" s="4">
        <f t="shared" si="42"/>
        <v>0</v>
      </c>
      <c r="K86" s="4">
        <f t="shared" si="45"/>
        <v>0</v>
      </c>
      <c r="L86" s="34">
        <f t="shared" si="43"/>
        <v>1160</v>
      </c>
      <c r="M86" s="2">
        <f t="shared" si="23"/>
        <v>509.78588186223311</v>
      </c>
      <c r="N86" s="54">
        <f t="shared" si="44"/>
        <v>0</v>
      </c>
      <c r="O86" s="35">
        <f t="shared" si="24"/>
        <v>0</v>
      </c>
      <c r="Q86" s="49">
        <f t="shared" si="18"/>
        <v>3.6755562082267015</v>
      </c>
      <c r="R86" s="167"/>
      <c r="S86" s="166">
        <f t="shared" si="25"/>
        <v>7.0846345913569669E-2</v>
      </c>
      <c r="T86" s="170">
        <f t="shared" si="26"/>
        <v>3.7464025541402712</v>
      </c>
      <c r="V86" s="166">
        <f t="shared" si="27"/>
        <v>134.00640255414027</v>
      </c>
      <c r="W86" s="171">
        <f t="shared" si="28"/>
        <v>0</v>
      </c>
      <c r="X86" s="171">
        <f t="shared" si="29"/>
        <v>0</v>
      </c>
      <c r="Y86" s="173">
        <f t="shared" si="30"/>
        <v>0</v>
      </c>
      <c r="AA86" s="179">
        <f t="shared" si="31"/>
        <v>0</v>
      </c>
      <c r="AB86" s="19">
        <f t="shared" si="19"/>
        <v>2.8760959267160047E-2</v>
      </c>
    </row>
    <row r="87" spans="1:28" ht="12">
      <c r="A87" s="50" t="s">
        <v>94</v>
      </c>
      <c r="B87" s="41">
        <v>69</v>
      </c>
      <c r="C87" s="64">
        <f>B87*4.3333</f>
        <v>298.99770000000001</v>
      </c>
      <c r="D87" s="1">
        <v>8</v>
      </c>
      <c r="E87" s="36">
        <f t="shared" si="20"/>
        <v>2391.9816000000001</v>
      </c>
      <c r="F87" s="52">
        <f t="shared" si="21"/>
        <v>69</v>
      </c>
      <c r="G87" s="1">
        <v>52</v>
      </c>
      <c r="I87" s="53">
        <v>119.27</v>
      </c>
      <c r="J87" s="4">
        <f t="shared" si="42"/>
        <v>35661.455678999999</v>
      </c>
      <c r="K87" s="4">
        <f t="shared" si="45"/>
        <v>427937.46814799996</v>
      </c>
      <c r="L87" s="34">
        <f t="shared" si="43"/>
        <v>1160</v>
      </c>
      <c r="M87" s="2">
        <f t="shared" si="23"/>
        <v>509.78588186223311</v>
      </c>
      <c r="N87" s="54">
        <f t="shared" si="44"/>
        <v>2081.02</v>
      </c>
      <c r="O87" s="35">
        <f t="shared" si="24"/>
        <v>914.54708264908993</v>
      </c>
      <c r="Q87" s="49">
        <f t="shared" si="18"/>
        <v>3.6755562082267015</v>
      </c>
      <c r="R87" s="166"/>
      <c r="S87" s="166">
        <f t="shared" si="25"/>
        <v>7.0846345913569669E-2</v>
      </c>
      <c r="T87" s="170">
        <f t="shared" si="26"/>
        <v>3.7464025541402712</v>
      </c>
      <c r="V87" s="166">
        <f t="shared" si="27"/>
        <v>123.01640255414027</v>
      </c>
      <c r="W87" s="171">
        <f t="shared" si="28"/>
        <v>36781.621425962068</v>
      </c>
      <c r="X87" s="171">
        <f t="shared" si="29"/>
        <v>1120.1657469620695</v>
      </c>
      <c r="Y87" s="173">
        <f t="shared" si="30"/>
        <v>13441.988963544834</v>
      </c>
      <c r="AA87" s="179">
        <f t="shared" si="31"/>
        <v>13187.768931799877</v>
      </c>
      <c r="AB87" s="19">
        <f t="shared" si="19"/>
        <v>3.1411105509686177E-2</v>
      </c>
    </row>
    <row r="88" spans="1:28" ht="12">
      <c r="A88" s="50" t="s">
        <v>95</v>
      </c>
      <c r="B88" s="41"/>
      <c r="C88" s="64">
        <f>B88*4.3333*2</f>
        <v>0</v>
      </c>
      <c r="D88" s="1">
        <v>8</v>
      </c>
      <c r="E88" s="36">
        <f t="shared" si="20"/>
        <v>0</v>
      </c>
      <c r="F88" s="52">
        <f t="shared" si="21"/>
        <v>0</v>
      </c>
      <c r="G88" s="1">
        <v>52</v>
      </c>
      <c r="I88" s="53">
        <v>119.27</v>
      </c>
      <c r="J88" s="4">
        <f t="shared" si="42"/>
        <v>0</v>
      </c>
      <c r="K88" s="4">
        <f t="shared" si="45"/>
        <v>0</v>
      </c>
      <c r="L88" s="34">
        <f t="shared" si="43"/>
        <v>1160</v>
      </c>
      <c r="M88" s="2">
        <f t="shared" si="23"/>
        <v>509.78588186223311</v>
      </c>
      <c r="N88" s="54">
        <f t="shared" si="44"/>
        <v>0</v>
      </c>
      <c r="O88" s="35">
        <f t="shared" si="24"/>
        <v>0</v>
      </c>
      <c r="Q88" s="49">
        <f t="shared" si="18"/>
        <v>3.6755562082267015</v>
      </c>
      <c r="R88" s="166"/>
      <c r="S88" s="166">
        <f t="shared" si="25"/>
        <v>7.0846345913569669E-2</v>
      </c>
      <c r="T88" s="170">
        <f t="shared" si="26"/>
        <v>3.7464025541402712</v>
      </c>
      <c r="V88" s="166">
        <f t="shared" si="27"/>
        <v>123.01640255414027</v>
      </c>
      <c r="W88" s="171">
        <f t="shared" si="28"/>
        <v>0</v>
      </c>
      <c r="X88" s="171">
        <f t="shared" si="29"/>
        <v>0</v>
      </c>
      <c r="Y88" s="173">
        <f t="shared" si="30"/>
        <v>0</v>
      </c>
      <c r="AA88" s="179">
        <f t="shared" si="31"/>
        <v>0</v>
      </c>
      <c r="AB88" s="19">
        <f t="shared" si="19"/>
        <v>3.1411105509686177E-2</v>
      </c>
    </row>
    <row r="89" spans="1:28" ht="12">
      <c r="A89" s="50" t="s">
        <v>96</v>
      </c>
      <c r="B89" s="41"/>
      <c r="C89" s="64">
        <f>B89*4.3333*3</f>
        <v>0</v>
      </c>
      <c r="D89" s="1">
        <v>8</v>
      </c>
      <c r="E89" s="36">
        <f t="shared" si="20"/>
        <v>0</v>
      </c>
      <c r="F89" s="52">
        <f t="shared" si="21"/>
        <v>0</v>
      </c>
      <c r="G89" s="1">
        <v>52</v>
      </c>
      <c r="I89" s="53">
        <v>119.27</v>
      </c>
      <c r="J89" s="4">
        <f t="shared" si="42"/>
        <v>0</v>
      </c>
      <c r="K89" s="4">
        <f t="shared" si="45"/>
        <v>0</v>
      </c>
      <c r="L89" s="34">
        <f t="shared" si="43"/>
        <v>1160</v>
      </c>
      <c r="M89" s="2">
        <f t="shared" si="23"/>
        <v>509.78588186223311</v>
      </c>
      <c r="N89" s="54">
        <f t="shared" si="44"/>
        <v>0</v>
      </c>
      <c r="O89" s="35">
        <f t="shared" si="24"/>
        <v>0</v>
      </c>
      <c r="Q89" s="49">
        <f t="shared" si="18"/>
        <v>3.6755562082267015</v>
      </c>
      <c r="R89" s="166"/>
      <c r="S89" s="166">
        <f t="shared" si="25"/>
        <v>7.0846345913569669E-2</v>
      </c>
      <c r="T89" s="170">
        <f t="shared" si="26"/>
        <v>3.7464025541402712</v>
      </c>
      <c r="V89" s="166">
        <f t="shared" si="27"/>
        <v>123.01640255414027</v>
      </c>
      <c r="W89" s="171">
        <f t="shared" si="28"/>
        <v>0</v>
      </c>
      <c r="X89" s="171">
        <f t="shared" si="29"/>
        <v>0</v>
      </c>
      <c r="Y89" s="173">
        <f t="shared" si="30"/>
        <v>0</v>
      </c>
      <c r="AA89" s="179">
        <f t="shared" si="31"/>
        <v>0</v>
      </c>
      <c r="AB89" s="19">
        <f t="shared" si="19"/>
        <v>3.1411105509686177E-2</v>
      </c>
    </row>
    <row r="90" spans="1:28" ht="12">
      <c r="A90" s="50" t="s">
        <v>97</v>
      </c>
      <c r="B90" s="41"/>
      <c r="C90" s="64">
        <f>B90*4.3333*4</f>
        <v>0</v>
      </c>
      <c r="D90" s="1">
        <v>8</v>
      </c>
      <c r="E90" s="36">
        <f t="shared" si="20"/>
        <v>0</v>
      </c>
      <c r="F90" s="52">
        <f t="shared" si="21"/>
        <v>0</v>
      </c>
      <c r="G90" s="1">
        <v>52</v>
      </c>
      <c r="I90" s="53">
        <v>119.27</v>
      </c>
      <c r="J90" s="4">
        <f t="shared" si="42"/>
        <v>0</v>
      </c>
      <c r="K90" s="4">
        <f t="shared" si="45"/>
        <v>0</v>
      </c>
      <c r="L90" s="34">
        <f t="shared" si="43"/>
        <v>1160</v>
      </c>
      <c r="M90" s="2">
        <f t="shared" si="23"/>
        <v>509.78588186223311</v>
      </c>
      <c r="N90" s="54">
        <f t="shared" si="44"/>
        <v>0</v>
      </c>
      <c r="O90" s="35">
        <f t="shared" si="24"/>
        <v>0</v>
      </c>
      <c r="Q90" s="49">
        <f t="shared" si="18"/>
        <v>3.6755562082267015</v>
      </c>
      <c r="R90" s="166"/>
      <c r="S90" s="166">
        <f t="shared" si="25"/>
        <v>7.0846345913569669E-2</v>
      </c>
      <c r="T90" s="170">
        <f t="shared" si="26"/>
        <v>3.7464025541402712</v>
      </c>
      <c r="V90" s="166">
        <f t="shared" si="27"/>
        <v>123.01640255414027</v>
      </c>
      <c r="W90" s="171">
        <f t="shared" si="28"/>
        <v>0</v>
      </c>
      <c r="X90" s="171">
        <f t="shared" si="29"/>
        <v>0</v>
      </c>
      <c r="Y90" s="173">
        <f t="shared" si="30"/>
        <v>0</v>
      </c>
      <c r="AA90" s="179">
        <f t="shared" si="31"/>
        <v>0</v>
      </c>
      <c r="AB90" s="19">
        <f t="shared" si="19"/>
        <v>3.1411105509686177E-2</v>
      </c>
    </row>
    <row r="91" spans="1:28" ht="12">
      <c r="A91" s="50" t="s">
        <v>98</v>
      </c>
      <c r="B91" s="41"/>
      <c r="C91" s="64">
        <f>B91*4.3333*5</f>
        <v>0</v>
      </c>
      <c r="D91" s="1">
        <v>8</v>
      </c>
      <c r="E91" s="36">
        <f t="shared" si="20"/>
        <v>0</v>
      </c>
      <c r="F91" s="52">
        <f t="shared" si="21"/>
        <v>0</v>
      </c>
      <c r="G91" s="1">
        <v>52</v>
      </c>
      <c r="I91" s="53">
        <v>119.27</v>
      </c>
      <c r="J91" s="4">
        <f t="shared" si="42"/>
        <v>0</v>
      </c>
      <c r="K91" s="4">
        <f t="shared" si="45"/>
        <v>0</v>
      </c>
      <c r="L91" s="34">
        <f t="shared" si="43"/>
        <v>1160</v>
      </c>
      <c r="M91" s="2">
        <f t="shared" si="23"/>
        <v>509.78588186223311</v>
      </c>
      <c r="N91" s="54">
        <f t="shared" si="44"/>
        <v>0</v>
      </c>
      <c r="O91" s="35">
        <f t="shared" si="24"/>
        <v>0</v>
      </c>
      <c r="Q91" s="49">
        <f t="shared" si="18"/>
        <v>3.6755562082267015</v>
      </c>
      <c r="R91" s="166"/>
      <c r="S91" s="166">
        <f t="shared" si="25"/>
        <v>7.0846345913569669E-2</v>
      </c>
      <c r="T91" s="170">
        <f t="shared" si="26"/>
        <v>3.7464025541402712</v>
      </c>
      <c r="V91" s="166">
        <f t="shared" si="27"/>
        <v>123.01640255414027</v>
      </c>
      <c r="W91" s="171">
        <f t="shared" si="28"/>
        <v>0</v>
      </c>
      <c r="X91" s="171">
        <f>W91-J91</f>
        <v>0</v>
      </c>
      <c r="Y91" s="173">
        <f t="shared" si="30"/>
        <v>0</v>
      </c>
      <c r="AA91" s="179">
        <f t="shared" si="31"/>
        <v>0</v>
      </c>
      <c r="AB91" s="19">
        <f t="shared" si="19"/>
        <v>3.1411105509686177E-2</v>
      </c>
    </row>
    <row r="92" spans="1:28" ht="12">
      <c r="A92" s="30" t="s">
        <v>52</v>
      </c>
      <c r="B92" s="9"/>
      <c r="C92" s="64">
        <f t="shared" ref="C92:C102" si="46">B92</f>
        <v>0</v>
      </c>
      <c r="D92" s="1">
        <v>1</v>
      </c>
      <c r="E92" s="56">
        <f t="shared" si="20"/>
        <v>0</v>
      </c>
      <c r="F92" s="52">
        <f t="shared" si="21"/>
        <v>0</v>
      </c>
      <c r="G92" s="1">
        <v>12</v>
      </c>
      <c r="I92" s="33">
        <v>14.24</v>
      </c>
      <c r="J92" s="4">
        <f>F92*I92</f>
        <v>0</v>
      </c>
      <c r="K92" s="4">
        <f t="shared" si="45"/>
        <v>0</v>
      </c>
      <c r="L92" s="34">
        <f t="shared" si="43"/>
        <v>145</v>
      </c>
      <c r="M92" s="2">
        <f t="shared" si="23"/>
        <v>63.723235232779139</v>
      </c>
      <c r="N92" s="54">
        <f t="shared" si="44"/>
        <v>0</v>
      </c>
      <c r="O92" s="35">
        <f t="shared" si="24"/>
        <v>0</v>
      </c>
      <c r="Q92" s="49">
        <f>M92*$R$12</f>
        <v>0.45944452602833769</v>
      </c>
      <c r="R92" s="166"/>
      <c r="S92" s="166">
        <f>Q92*$U$11</f>
        <v>8.8557932391962087E-3</v>
      </c>
      <c r="T92" s="170">
        <f>+Q92+S92</f>
        <v>0.4683003192675339</v>
      </c>
      <c r="V92" s="166">
        <f>I92+T92</f>
        <v>14.708300319267535</v>
      </c>
      <c r="W92" s="171">
        <f>C92*V92</f>
        <v>0</v>
      </c>
      <c r="X92" s="171">
        <f>W92-J92</f>
        <v>0</v>
      </c>
      <c r="Y92" s="173">
        <f>X92*12</f>
        <v>0</v>
      </c>
      <c r="AA92" s="179">
        <f>O92*$R$11</f>
        <v>0</v>
      </c>
    </row>
    <row r="93" spans="1:28" ht="12">
      <c r="A93" s="50" t="s">
        <v>99</v>
      </c>
      <c r="B93" s="41"/>
      <c r="C93" s="64">
        <f t="shared" si="46"/>
        <v>0</v>
      </c>
      <c r="E93" s="36">
        <f t="shared" si="20"/>
        <v>0</v>
      </c>
      <c r="F93" s="52">
        <f t="shared" si="21"/>
        <v>0</v>
      </c>
      <c r="G93" s="1">
        <v>12</v>
      </c>
      <c r="I93" s="53"/>
      <c r="J93" s="4">
        <f t="shared" ref="J93:J102" si="47">+C93*I93</f>
        <v>0</v>
      </c>
      <c r="K93" s="4">
        <f t="shared" si="45"/>
        <v>0</v>
      </c>
      <c r="L93" s="34">
        <f t="shared" si="43"/>
        <v>0</v>
      </c>
      <c r="M93" s="2">
        <f t="shared" si="23"/>
        <v>0</v>
      </c>
      <c r="N93" s="54">
        <f t="shared" si="44"/>
        <v>0</v>
      </c>
      <c r="O93" s="35">
        <f t="shared" si="24"/>
        <v>0</v>
      </c>
      <c r="V93" s="166"/>
      <c r="W93" s="171"/>
      <c r="X93" s="171"/>
      <c r="Y93" s="173"/>
      <c r="AA93" s="179"/>
    </row>
    <row r="94" spans="1:28" ht="12">
      <c r="A94" s="50" t="s">
        <v>100</v>
      </c>
      <c r="B94" s="41"/>
      <c r="C94" s="64">
        <f t="shared" si="46"/>
        <v>0</v>
      </c>
      <c r="E94" s="36">
        <f t="shared" si="20"/>
        <v>0</v>
      </c>
      <c r="F94" s="52">
        <f t="shared" si="21"/>
        <v>0</v>
      </c>
      <c r="G94" s="1">
        <v>12</v>
      </c>
      <c r="I94" s="53"/>
      <c r="J94" s="4">
        <f t="shared" si="47"/>
        <v>0</v>
      </c>
      <c r="K94" s="4">
        <f t="shared" si="45"/>
        <v>0</v>
      </c>
      <c r="L94" s="34">
        <f t="shared" si="43"/>
        <v>0</v>
      </c>
      <c r="M94" s="2">
        <f t="shared" si="23"/>
        <v>0</v>
      </c>
      <c r="N94" s="54">
        <f t="shared" si="44"/>
        <v>0</v>
      </c>
      <c r="O94" s="35">
        <f t="shared" si="24"/>
        <v>0</v>
      </c>
      <c r="AA94" s="176"/>
    </row>
    <row r="95" spans="1:28" ht="12">
      <c r="A95" s="50" t="s">
        <v>101</v>
      </c>
      <c r="B95" s="41"/>
      <c r="C95" s="64">
        <f t="shared" si="46"/>
        <v>0</v>
      </c>
      <c r="E95" s="36">
        <f t="shared" si="20"/>
        <v>0</v>
      </c>
      <c r="F95" s="52">
        <f t="shared" si="21"/>
        <v>0</v>
      </c>
      <c r="G95" s="1">
        <v>12</v>
      </c>
      <c r="I95" s="53"/>
      <c r="J95" s="4">
        <f t="shared" si="47"/>
        <v>0</v>
      </c>
      <c r="K95" s="4">
        <f t="shared" si="45"/>
        <v>0</v>
      </c>
      <c r="L95" s="34">
        <f t="shared" si="43"/>
        <v>0</v>
      </c>
      <c r="M95" s="2">
        <f t="shared" si="23"/>
        <v>0</v>
      </c>
      <c r="N95" s="54">
        <f t="shared" si="44"/>
        <v>0</v>
      </c>
      <c r="O95" s="35">
        <f t="shared" si="24"/>
        <v>0</v>
      </c>
      <c r="AA95" s="176"/>
    </row>
    <row r="96" spans="1:28" ht="12">
      <c r="A96" s="50" t="s">
        <v>102</v>
      </c>
      <c r="B96" s="41"/>
      <c r="C96" s="64">
        <f t="shared" si="46"/>
        <v>0</v>
      </c>
      <c r="E96" s="36">
        <f t="shared" si="20"/>
        <v>0</v>
      </c>
      <c r="F96" s="52">
        <f t="shared" si="21"/>
        <v>0</v>
      </c>
      <c r="G96" s="1">
        <v>12</v>
      </c>
      <c r="I96" s="53"/>
      <c r="J96" s="4">
        <f t="shared" si="47"/>
        <v>0</v>
      </c>
      <c r="K96" s="4">
        <f t="shared" si="45"/>
        <v>0</v>
      </c>
      <c r="L96" s="34">
        <f t="shared" si="43"/>
        <v>0</v>
      </c>
      <c r="M96" s="2">
        <f t="shared" si="23"/>
        <v>0</v>
      </c>
      <c r="N96" s="54">
        <f t="shared" si="44"/>
        <v>0</v>
      </c>
      <c r="O96" s="35">
        <f t="shared" si="24"/>
        <v>0</v>
      </c>
      <c r="AA96" s="176"/>
    </row>
    <row r="97" spans="1:28" ht="12">
      <c r="A97" s="50" t="s">
        <v>103</v>
      </c>
      <c r="B97" s="41"/>
      <c r="C97" s="64">
        <f t="shared" si="46"/>
        <v>0</v>
      </c>
      <c r="E97" s="36">
        <f t="shared" si="20"/>
        <v>0</v>
      </c>
      <c r="F97" s="52">
        <f t="shared" si="21"/>
        <v>0</v>
      </c>
      <c r="G97" s="1">
        <v>12</v>
      </c>
      <c r="I97" s="53"/>
      <c r="J97" s="4">
        <f t="shared" si="47"/>
        <v>0</v>
      </c>
      <c r="K97" s="4">
        <f t="shared" si="45"/>
        <v>0</v>
      </c>
      <c r="L97" s="34">
        <f t="shared" si="43"/>
        <v>0</v>
      </c>
      <c r="M97" s="2">
        <f t="shared" si="23"/>
        <v>0</v>
      </c>
      <c r="N97" s="54">
        <f t="shared" si="44"/>
        <v>0</v>
      </c>
      <c r="O97" s="35">
        <f t="shared" si="24"/>
        <v>0</v>
      </c>
      <c r="AA97" s="176"/>
    </row>
    <row r="98" spans="1:28" ht="12">
      <c r="A98" s="50" t="s">
        <v>104</v>
      </c>
      <c r="B98" s="41"/>
      <c r="C98" s="64">
        <f t="shared" si="46"/>
        <v>0</v>
      </c>
      <c r="E98" s="36">
        <f t="shared" si="20"/>
        <v>0</v>
      </c>
      <c r="F98" s="52">
        <f t="shared" si="21"/>
        <v>0</v>
      </c>
      <c r="G98" s="1">
        <v>12</v>
      </c>
      <c r="I98" s="53"/>
      <c r="J98" s="4">
        <f t="shared" si="47"/>
        <v>0</v>
      </c>
      <c r="K98" s="4">
        <f t="shared" si="45"/>
        <v>0</v>
      </c>
      <c r="L98" s="34">
        <f t="shared" si="43"/>
        <v>0</v>
      </c>
      <c r="M98" s="2">
        <f t="shared" si="23"/>
        <v>0</v>
      </c>
      <c r="N98" s="54">
        <f t="shared" si="44"/>
        <v>0</v>
      </c>
      <c r="O98" s="35">
        <f t="shared" si="24"/>
        <v>0</v>
      </c>
      <c r="AA98" s="176"/>
    </row>
    <row r="99" spans="1:28" ht="12">
      <c r="A99" s="50" t="s">
        <v>105</v>
      </c>
      <c r="B99" s="41"/>
      <c r="C99" s="64">
        <f t="shared" si="46"/>
        <v>0</v>
      </c>
      <c r="E99" s="36">
        <f t="shared" si="20"/>
        <v>0</v>
      </c>
      <c r="F99" s="52">
        <f t="shared" si="21"/>
        <v>0</v>
      </c>
      <c r="G99" s="1">
        <v>12</v>
      </c>
      <c r="I99" s="53"/>
      <c r="J99" s="4">
        <f t="shared" si="47"/>
        <v>0</v>
      </c>
      <c r="K99" s="4">
        <f t="shared" si="45"/>
        <v>0</v>
      </c>
      <c r="L99" s="34">
        <f t="shared" si="43"/>
        <v>0</v>
      </c>
      <c r="M99" s="2">
        <f t="shared" si="23"/>
        <v>0</v>
      </c>
      <c r="N99" s="54">
        <f t="shared" si="44"/>
        <v>0</v>
      </c>
      <c r="O99" s="35">
        <f t="shared" si="24"/>
        <v>0</v>
      </c>
      <c r="AA99" s="176"/>
    </row>
    <row r="100" spans="1:28" ht="12">
      <c r="A100" s="50" t="s">
        <v>106</v>
      </c>
      <c r="B100" s="41"/>
      <c r="C100" s="64">
        <f t="shared" si="46"/>
        <v>0</v>
      </c>
      <c r="E100" s="36">
        <f t="shared" si="20"/>
        <v>0</v>
      </c>
      <c r="F100" s="52">
        <f t="shared" si="21"/>
        <v>0</v>
      </c>
      <c r="G100" s="1">
        <v>12</v>
      </c>
      <c r="I100" s="53"/>
      <c r="J100" s="4">
        <f t="shared" si="47"/>
        <v>0</v>
      </c>
      <c r="K100" s="4">
        <f t="shared" si="45"/>
        <v>0</v>
      </c>
      <c r="L100" s="34">
        <f t="shared" si="43"/>
        <v>0</v>
      </c>
      <c r="M100" s="2">
        <f t="shared" si="23"/>
        <v>0</v>
      </c>
      <c r="N100" s="54">
        <f t="shared" si="44"/>
        <v>0</v>
      </c>
      <c r="O100" s="35">
        <f t="shared" si="24"/>
        <v>0</v>
      </c>
      <c r="AA100" s="176"/>
    </row>
    <row r="101" spans="1:28" ht="12">
      <c r="A101" s="50" t="s">
        <v>107</v>
      </c>
      <c r="B101" s="41"/>
      <c r="C101" s="64">
        <f t="shared" si="46"/>
        <v>0</v>
      </c>
      <c r="E101" s="36">
        <f t="shared" si="20"/>
        <v>0</v>
      </c>
      <c r="F101" s="52">
        <f t="shared" si="21"/>
        <v>0</v>
      </c>
      <c r="G101" s="1">
        <v>12</v>
      </c>
      <c r="I101" s="53"/>
      <c r="J101" s="4">
        <f t="shared" si="47"/>
        <v>0</v>
      </c>
      <c r="K101" s="4">
        <f t="shared" si="45"/>
        <v>0</v>
      </c>
      <c r="L101" s="34">
        <f t="shared" si="43"/>
        <v>0</v>
      </c>
      <c r="M101" s="2">
        <f t="shared" si="23"/>
        <v>0</v>
      </c>
      <c r="N101" s="54">
        <f t="shared" si="44"/>
        <v>0</v>
      </c>
      <c r="O101" s="35">
        <f t="shared" si="24"/>
        <v>0</v>
      </c>
      <c r="AA101" s="176"/>
    </row>
    <row r="102" spans="1:28" ht="12">
      <c r="A102" s="50" t="s">
        <v>108</v>
      </c>
      <c r="B102" s="41"/>
      <c r="C102" s="64">
        <f t="shared" si="46"/>
        <v>0</v>
      </c>
      <c r="E102" s="36">
        <f t="shared" si="20"/>
        <v>0</v>
      </c>
      <c r="F102" s="52">
        <f t="shared" si="21"/>
        <v>0</v>
      </c>
      <c r="G102" s="1">
        <v>12</v>
      </c>
      <c r="I102" s="53"/>
      <c r="J102" s="4">
        <f t="shared" si="47"/>
        <v>0</v>
      </c>
      <c r="K102" s="4">
        <f t="shared" si="45"/>
        <v>0</v>
      </c>
      <c r="L102" s="34">
        <f t="shared" si="43"/>
        <v>0</v>
      </c>
      <c r="M102" s="2">
        <f t="shared" si="23"/>
        <v>0</v>
      </c>
      <c r="N102" s="54">
        <f t="shared" si="44"/>
        <v>0</v>
      </c>
      <c r="O102" s="35">
        <f t="shared" si="24"/>
        <v>0</v>
      </c>
      <c r="AA102" s="176"/>
    </row>
    <row r="103" spans="1:28">
      <c r="A103" s="57"/>
      <c r="B103" s="41"/>
      <c r="C103" s="51"/>
      <c r="F103" s="41"/>
      <c r="I103" s="40"/>
      <c r="J103" s="4"/>
      <c r="K103" s="4"/>
      <c r="L103" s="58"/>
      <c r="N103" s="4"/>
      <c r="O103" s="35"/>
      <c r="AA103" s="176"/>
    </row>
    <row r="104" spans="1:28">
      <c r="A104" s="59" t="s">
        <v>179</v>
      </c>
      <c r="B104" s="41"/>
      <c r="C104" s="51"/>
      <c r="E104" s="37">
        <f>SUM(E43:E103)</f>
        <v>7364.0178199400007</v>
      </c>
      <c r="F104" s="41"/>
      <c r="I104" s="42"/>
      <c r="J104" s="4">
        <f>SUM(J43:J102)</f>
        <v>111370.17806173261</v>
      </c>
      <c r="K104" s="4">
        <f>SUM(K43:K102)</f>
        <v>1336442.1367407911</v>
      </c>
      <c r="L104" s="4"/>
      <c r="M104" s="4"/>
      <c r="N104" s="4">
        <f>SUM(N43:N102)</f>
        <v>6406.6900000000005</v>
      </c>
      <c r="O104" s="4">
        <f>SUM(O43:O102)</f>
        <v>2815.5518202309918</v>
      </c>
      <c r="W104" s="171">
        <f>SUM(W43:W103)</f>
        <v>114818.74995790233</v>
      </c>
      <c r="X104" s="171">
        <f>SUM(X43:X103)</f>
        <v>3448.571896169718</v>
      </c>
      <c r="Y104" s="171">
        <f>SUM(Y43:Y103)</f>
        <v>41382.862754036614</v>
      </c>
      <c r="AA104" s="180">
        <f>SUM(AA43:AA103)</f>
        <v>40600.2572477309</v>
      </c>
    </row>
    <row r="105" spans="1:28">
      <c r="A105" s="59"/>
      <c r="B105" s="41"/>
      <c r="C105" s="51"/>
      <c r="F105" s="41"/>
      <c r="I105" s="42"/>
      <c r="J105" s="4"/>
      <c r="K105" s="4"/>
      <c r="L105" s="58"/>
      <c r="N105" s="4"/>
      <c r="O105" s="35"/>
      <c r="AA105" s="181">
        <f>Y104/AA104-1</f>
        <v>1.9275875557400735E-2</v>
      </c>
    </row>
    <row r="106" spans="1:28">
      <c r="A106" s="60" t="s">
        <v>38</v>
      </c>
      <c r="B106" s="41"/>
      <c r="C106" s="51"/>
      <c r="F106" s="41"/>
      <c r="I106" s="42"/>
      <c r="J106" s="4"/>
      <c r="K106" s="4"/>
      <c r="L106" s="58"/>
      <c r="N106" s="4"/>
      <c r="O106" s="35"/>
      <c r="AA106" s="176"/>
    </row>
    <row r="107" spans="1:28">
      <c r="A107" s="61"/>
      <c r="B107" s="41"/>
      <c r="C107" s="51"/>
      <c r="F107" s="41"/>
      <c r="I107" s="42"/>
      <c r="J107" s="4"/>
      <c r="K107" s="4"/>
      <c r="L107" s="58"/>
      <c r="N107" s="4"/>
      <c r="O107" s="35"/>
      <c r="AA107" s="176"/>
    </row>
    <row r="108" spans="1:28" ht="12">
      <c r="A108" s="50" t="s">
        <v>187</v>
      </c>
      <c r="B108" s="41"/>
      <c r="C108" s="64">
        <f>B108*4.3333</f>
        <v>0</v>
      </c>
      <c r="D108" s="1">
        <v>0.1</v>
      </c>
      <c r="E108" s="36">
        <f t="shared" ref="E108:E167" si="48">C108*D108</f>
        <v>0</v>
      </c>
      <c r="F108" s="41">
        <f>B108</f>
        <v>0</v>
      </c>
      <c r="G108" s="1">
        <v>52</v>
      </c>
      <c r="I108" s="53">
        <v>3.15</v>
      </c>
      <c r="J108" s="4">
        <f t="shared" ref="J108:J139" si="49">+C108*I108</f>
        <v>0</v>
      </c>
      <c r="K108" s="4">
        <f t="shared" ref="K108:K147" si="50">J108*12</f>
        <v>0</v>
      </c>
      <c r="L108" s="34">
        <f t="shared" ref="L108:L139" si="51">+D108*L$16</f>
        <v>14.5</v>
      </c>
      <c r="M108" s="2">
        <f>L108*$O$5</f>
        <v>6.3723235232779141</v>
      </c>
      <c r="N108" s="54">
        <f t="shared" ref="N108:N139" si="52">ROUND((C108*L108*12)/2000,2)</f>
        <v>0</v>
      </c>
      <c r="O108" s="35">
        <f>$S$5*N108</f>
        <v>0</v>
      </c>
      <c r="Q108" s="49">
        <f t="shared" ref="Q108:Q158" si="53">M108*$R$12</f>
        <v>4.5944452602833766E-2</v>
      </c>
      <c r="R108" s="166"/>
      <c r="S108" s="166">
        <f>Q108*$U$11</f>
        <v>8.8557932391962089E-4</v>
      </c>
      <c r="T108" s="170">
        <f>+Q108+S108</f>
        <v>4.6830031926753383E-2</v>
      </c>
      <c r="V108" s="166">
        <f>I108+T108</f>
        <v>3.1968300319267531</v>
      </c>
      <c r="W108" s="171">
        <f>C108*V108</f>
        <v>0</v>
      </c>
      <c r="X108" s="171">
        <f>W108-J108</f>
        <v>0</v>
      </c>
      <c r="Y108" s="173">
        <f t="shared" ref="Y108:Y157" si="54">X108*12</f>
        <v>0</v>
      </c>
      <c r="AA108" s="179">
        <f>O108*$R$11</f>
        <v>0</v>
      </c>
      <c r="AB108" s="19">
        <f t="shared" ref="AB108:AB157" si="55">IF(I108=0,"",V108/I108-1)</f>
        <v>1.486667680214393E-2</v>
      </c>
    </row>
    <row r="109" spans="1:28" ht="12">
      <c r="A109" s="50" t="s">
        <v>62</v>
      </c>
      <c r="B109" s="41"/>
      <c r="C109" s="64">
        <f>B109*4.3333</f>
        <v>0</v>
      </c>
      <c r="D109" s="1">
        <v>0.158</v>
      </c>
      <c r="E109" s="36">
        <f>C109*D109</f>
        <v>0</v>
      </c>
      <c r="F109" s="41">
        <f>B109</f>
        <v>0</v>
      </c>
      <c r="G109" s="1">
        <v>52</v>
      </c>
      <c r="I109" s="53">
        <v>4.8099999999999996</v>
      </c>
      <c r="J109" s="4">
        <f t="shared" si="49"/>
        <v>0</v>
      </c>
      <c r="K109" s="4">
        <f t="shared" si="50"/>
        <v>0</v>
      </c>
      <c r="L109" s="34">
        <f t="shared" si="51"/>
        <v>22.91</v>
      </c>
      <c r="M109" s="2">
        <f t="shared" ref="M109:M166" si="56">L109*$O$5</f>
        <v>10.068271166779104</v>
      </c>
      <c r="N109" s="54">
        <f t="shared" si="52"/>
        <v>0</v>
      </c>
      <c r="O109" s="35">
        <f>$S$5*N109</f>
        <v>0</v>
      </c>
      <c r="Q109" s="49">
        <f>M109*$R$12</f>
        <v>7.2592235112477352E-2</v>
      </c>
      <c r="R109" s="166"/>
      <c r="S109" s="166">
        <f>Q109*$U$11</f>
        <v>1.3992153317930009E-3</v>
      </c>
      <c r="T109" s="170">
        <f>+Q109+S109</f>
        <v>7.3991450444270357E-2</v>
      </c>
      <c r="V109" s="166">
        <f>I109+T109</f>
        <v>4.8839914504442703</v>
      </c>
      <c r="W109" s="171">
        <f>C109*V109</f>
        <v>0</v>
      </c>
      <c r="X109" s="171">
        <f>W109-J109</f>
        <v>0</v>
      </c>
      <c r="Y109" s="173">
        <f t="shared" si="54"/>
        <v>0</v>
      </c>
      <c r="AA109" s="179">
        <f>O109*$R$11</f>
        <v>0</v>
      </c>
      <c r="AB109" s="19">
        <f>IF(I109=0,"",V109/I109-1)</f>
        <v>1.5382837930201898E-2</v>
      </c>
    </row>
    <row r="110" spans="1:28" ht="12">
      <c r="A110" s="50" t="s">
        <v>63</v>
      </c>
      <c r="B110" s="41">
        <v>719</v>
      </c>
      <c r="C110" s="64">
        <f>B110*4.3333</f>
        <v>3115.6427000000003</v>
      </c>
      <c r="D110" s="1">
        <v>0.316</v>
      </c>
      <c r="E110" s="36">
        <f t="shared" si="48"/>
        <v>984.54309320000016</v>
      </c>
      <c r="F110" s="41">
        <f t="shared" ref="F110:F166" si="57">B110</f>
        <v>719</v>
      </c>
      <c r="G110" s="1">
        <v>52</v>
      </c>
      <c r="I110" s="53">
        <v>7.29</v>
      </c>
      <c r="J110" s="4">
        <f t="shared" si="49"/>
        <v>22713.035283000001</v>
      </c>
      <c r="K110" s="4">
        <f t="shared" si="50"/>
        <v>272556.423396</v>
      </c>
      <c r="L110" s="34">
        <f t="shared" si="51"/>
        <v>45.82</v>
      </c>
      <c r="M110" s="2">
        <f t="shared" si="56"/>
        <v>20.136542333558207</v>
      </c>
      <c r="N110" s="54">
        <f t="shared" si="52"/>
        <v>856.55</v>
      </c>
      <c r="O110" s="35">
        <f t="shared" ref="O110:O166" si="58">$S$5*N110</f>
        <v>0</v>
      </c>
      <c r="Q110" s="49">
        <f t="shared" si="53"/>
        <v>0.1451844702249547</v>
      </c>
      <c r="R110" s="166"/>
      <c r="S110" s="166">
        <f t="shared" ref="S110:S158" si="59">Q110*$U$11</f>
        <v>2.7984306635860019E-3</v>
      </c>
      <c r="T110" s="170">
        <f t="shared" ref="T110:T158" si="60">+Q110+S110</f>
        <v>0.14798290088854071</v>
      </c>
      <c r="V110" s="166">
        <f t="shared" ref="V110:V158" si="61">I110+T110</f>
        <v>7.4379829008885405</v>
      </c>
      <c r="W110" s="171">
        <f t="shared" ref="W110:W157" si="62">C110*V110</f>
        <v>23174.097127878209</v>
      </c>
      <c r="X110" s="171">
        <f t="shared" ref="X110:X157" si="63">W110-J110</f>
        <v>461.06184487820792</v>
      </c>
      <c r="Y110" s="173">
        <f t="shared" si="54"/>
        <v>5532.7421385384951</v>
      </c>
      <c r="AA110" s="179">
        <f t="shared" ref="AA110:AA157" si="64">O110*$R$11</f>
        <v>0</v>
      </c>
      <c r="AB110" s="19">
        <f t="shared" si="55"/>
        <v>2.0299437707618662E-2</v>
      </c>
    </row>
    <row r="111" spans="1:28" ht="12">
      <c r="A111" s="50" t="s">
        <v>64</v>
      </c>
      <c r="B111" s="41">
        <v>22</v>
      </c>
      <c r="C111" s="64">
        <f>B111*4.3333</f>
        <v>95.332600000000014</v>
      </c>
      <c r="D111" s="1">
        <v>0.47399999999999998</v>
      </c>
      <c r="E111" s="36">
        <f t="shared" si="48"/>
        <v>45.187652400000005</v>
      </c>
      <c r="F111" s="41">
        <f t="shared" si="57"/>
        <v>22</v>
      </c>
      <c r="G111" s="1">
        <v>52</v>
      </c>
      <c r="I111" s="53">
        <v>10.1</v>
      </c>
      <c r="J111" s="4">
        <f t="shared" si="49"/>
        <v>962.85926000000006</v>
      </c>
      <c r="K111" s="4">
        <f t="shared" si="50"/>
        <v>11554.31112</v>
      </c>
      <c r="L111" s="34">
        <f t="shared" si="51"/>
        <v>68.72999999999999</v>
      </c>
      <c r="M111" s="2">
        <f t="shared" si="56"/>
        <v>30.204813500337309</v>
      </c>
      <c r="N111" s="54">
        <f t="shared" si="52"/>
        <v>39.31</v>
      </c>
      <c r="O111" s="35">
        <f t="shared" si="58"/>
        <v>0</v>
      </c>
      <c r="Q111" s="49">
        <f t="shared" si="53"/>
        <v>0.21777670533743204</v>
      </c>
      <c r="R111" s="166"/>
      <c r="S111" s="166">
        <f t="shared" si="59"/>
        <v>4.197645995379003E-3</v>
      </c>
      <c r="T111" s="170">
        <f t="shared" si="60"/>
        <v>0.22197435133281104</v>
      </c>
      <c r="V111" s="166">
        <f t="shared" si="61"/>
        <v>10.321974351332811</v>
      </c>
      <c r="W111" s="171">
        <f t="shared" si="62"/>
        <v>984.02065204587041</v>
      </c>
      <c r="X111" s="171">
        <f t="shared" si="63"/>
        <v>21.161392045870343</v>
      </c>
      <c r="Y111" s="173">
        <f t="shared" si="54"/>
        <v>253.93670455044412</v>
      </c>
      <c r="AA111" s="179">
        <f t="shared" si="64"/>
        <v>0</v>
      </c>
      <c r="AB111" s="19">
        <f t="shared" si="55"/>
        <v>2.1977658547803092E-2</v>
      </c>
    </row>
    <row r="112" spans="1:28" ht="12">
      <c r="A112" s="50" t="s">
        <v>192</v>
      </c>
      <c r="B112" s="41"/>
      <c r="C112" s="64">
        <f>+B112</f>
        <v>0</v>
      </c>
      <c r="D112" s="1">
        <f>1*5</f>
        <v>5</v>
      </c>
      <c r="E112" s="36">
        <f>C112*D112</f>
        <v>0</v>
      </c>
      <c r="F112" s="41">
        <f>B112</f>
        <v>0</v>
      </c>
      <c r="G112" s="1">
        <v>52</v>
      </c>
      <c r="I112" s="53">
        <v>140.47999999999999</v>
      </c>
      <c r="J112" s="4">
        <f t="shared" si="49"/>
        <v>0</v>
      </c>
      <c r="K112" s="4">
        <f t="shared" si="50"/>
        <v>0</v>
      </c>
      <c r="L112" s="34">
        <f t="shared" si="51"/>
        <v>725</v>
      </c>
      <c r="M112" s="2">
        <f t="shared" si="56"/>
        <v>318.61617616389572</v>
      </c>
      <c r="N112" s="54">
        <f t="shared" si="52"/>
        <v>0</v>
      </c>
      <c r="O112" s="35">
        <f t="shared" si="58"/>
        <v>0</v>
      </c>
      <c r="Q112" s="49">
        <f>M112*$R$12</f>
        <v>2.2972226301416883</v>
      </c>
      <c r="R112" s="167"/>
      <c r="S112" s="166">
        <f>Q112*$U$11</f>
        <v>4.427896619598104E-2</v>
      </c>
      <c r="T112" s="170">
        <f>+Q112+S112</f>
        <v>2.3415015963376691</v>
      </c>
      <c r="V112" s="166">
        <f>I112+T112</f>
        <v>142.82150159633767</v>
      </c>
      <c r="W112" s="171">
        <f>C112*V112</f>
        <v>0</v>
      </c>
      <c r="X112" s="171">
        <f>W112-J112</f>
        <v>0</v>
      </c>
      <c r="Y112" s="173">
        <f t="shared" si="54"/>
        <v>0</v>
      </c>
      <c r="AA112" s="179">
        <f>O112*$R$11</f>
        <v>0</v>
      </c>
      <c r="AB112" s="19">
        <f>IF(I112=0,"",V112/I112-1)</f>
        <v>1.6667864438622448E-2</v>
      </c>
    </row>
    <row r="113" spans="1:28" ht="12">
      <c r="A113" s="50" t="s">
        <v>65</v>
      </c>
      <c r="B113" s="41"/>
      <c r="C113" s="64">
        <f>+B113</f>
        <v>0</v>
      </c>
      <c r="D113" s="1">
        <v>1</v>
      </c>
      <c r="E113" s="36">
        <f t="shared" si="48"/>
        <v>0</v>
      </c>
      <c r="F113" s="41">
        <f t="shared" si="57"/>
        <v>0</v>
      </c>
      <c r="G113" s="1">
        <v>52</v>
      </c>
      <c r="I113" s="53">
        <v>23.65</v>
      </c>
      <c r="J113" s="4">
        <f t="shared" si="49"/>
        <v>0</v>
      </c>
      <c r="K113" s="4">
        <f t="shared" si="50"/>
        <v>0</v>
      </c>
      <c r="L113" s="34">
        <f t="shared" si="51"/>
        <v>145</v>
      </c>
      <c r="M113" s="2">
        <f t="shared" si="56"/>
        <v>63.723235232779139</v>
      </c>
      <c r="N113" s="54">
        <f t="shared" si="52"/>
        <v>0</v>
      </c>
      <c r="O113" s="35">
        <f t="shared" si="58"/>
        <v>0</v>
      </c>
      <c r="Q113" s="49">
        <f t="shared" si="53"/>
        <v>0.45944452602833769</v>
      </c>
      <c r="R113" s="167"/>
      <c r="S113" s="166">
        <f t="shared" si="59"/>
        <v>8.8557932391962087E-3</v>
      </c>
      <c r="T113" s="170">
        <f t="shared" si="60"/>
        <v>0.4683003192675339</v>
      </c>
      <c r="V113" s="166">
        <f t="shared" si="61"/>
        <v>24.118300319267533</v>
      </c>
      <c r="W113" s="171">
        <f t="shared" si="62"/>
        <v>0</v>
      </c>
      <c r="X113" s="171">
        <f t="shared" si="63"/>
        <v>0</v>
      </c>
      <c r="Y113" s="173">
        <f t="shared" si="54"/>
        <v>0</v>
      </c>
      <c r="AA113" s="179">
        <f t="shared" si="64"/>
        <v>0</v>
      </c>
      <c r="AB113" s="19">
        <f t="shared" si="55"/>
        <v>1.9801281998627296E-2</v>
      </c>
    </row>
    <row r="114" spans="1:28" ht="12">
      <c r="A114" s="50" t="s">
        <v>66</v>
      </c>
      <c r="B114" s="41"/>
      <c r="C114" s="64">
        <f>+B114*4.3333</f>
        <v>0</v>
      </c>
      <c r="D114" s="1">
        <v>1</v>
      </c>
      <c r="E114" s="36">
        <f t="shared" si="48"/>
        <v>0</v>
      </c>
      <c r="F114" s="41">
        <f t="shared" si="57"/>
        <v>0</v>
      </c>
      <c r="G114" s="1">
        <v>52</v>
      </c>
      <c r="I114" s="53">
        <v>21.07</v>
      </c>
      <c r="J114" s="4">
        <f t="shared" si="49"/>
        <v>0</v>
      </c>
      <c r="K114" s="4">
        <f t="shared" si="50"/>
        <v>0</v>
      </c>
      <c r="L114" s="34">
        <f t="shared" si="51"/>
        <v>145</v>
      </c>
      <c r="M114" s="2">
        <f t="shared" si="56"/>
        <v>63.723235232779139</v>
      </c>
      <c r="N114" s="54">
        <f t="shared" si="52"/>
        <v>0</v>
      </c>
      <c r="O114" s="35">
        <f t="shared" si="58"/>
        <v>0</v>
      </c>
      <c r="Q114" s="49">
        <f t="shared" ref="Q114:Q120" si="65">M114*$R$12</f>
        <v>0.45944452602833769</v>
      </c>
      <c r="R114" s="166"/>
      <c r="S114" s="166">
        <f t="shared" si="59"/>
        <v>8.8557932391962087E-3</v>
      </c>
      <c r="T114" s="170">
        <f t="shared" si="60"/>
        <v>0.4683003192675339</v>
      </c>
      <c r="V114" s="166">
        <f t="shared" si="61"/>
        <v>21.538300319267535</v>
      </c>
      <c r="W114" s="171">
        <f t="shared" si="62"/>
        <v>0</v>
      </c>
      <c r="X114" s="171">
        <f t="shared" si="63"/>
        <v>0</v>
      </c>
      <c r="Y114" s="173">
        <f t="shared" si="54"/>
        <v>0</v>
      </c>
      <c r="AA114" s="179">
        <f t="shared" si="64"/>
        <v>0</v>
      </c>
      <c r="AB114" s="19">
        <f t="shared" si="55"/>
        <v>2.222592877396945E-2</v>
      </c>
    </row>
    <row r="115" spans="1:28" ht="12">
      <c r="A115" s="50" t="s">
        <v>181</v>
      </c>
      <c r="B115" s="41"/>
      <c r="C115" s="64">
        <f>+B115*4.3333*2</f>
        <v>0</v>
      </c>
      <c r="D115" s="1">
        <v>1</v>
      </c>
      <c r="E115" s="36">
        <f>C115*D115</f>
        <v>0</v>
      </c>
      <c r="F115" s="41">
        <f>B115</f>
        <v>0</v>
      </c>
      <c r="G115" s="1">
        <v>52</v>
      </c>
      <c r="I115" s="53">
        <v>21.07</v>
      </c>
      <c r="J115" s="4">
        <f t="shared" si="49"/>
        <v>0</v>
      </c>
      <c r="K115" s="4">
        <f t="shared" si="50"/>
        <v>0</v>
      </c>
      <c r="L115" s="34">
        <f t="shared" si="51"/>
        <v>145</v>
      </c>
      <c r="M115" s="2">
        <f t="shared" si="56"/>
        <v>63.723235232779139</v>
      </c>
      <c r="N115" s="54">
        <f t="shared" si="52"/>
        <v>0</v>
      </c>
      <c r="O115" s="35">
        <f t="shared" si="58"/>
        <v>0</v>
      </c>
      <c r="Q115" s="49">
        <f t="shared" si="65"/>
        <v>0.45944452602833769</v>
      </c>
      <c r="R115" s="166"/>
      <c r="S115" s="166">
        <f>Q115*$U$11</f>
        <v>8.8557932391962087E-3</v>
      </c>
      <c r="T115" s="170">
        <f>+Q115+S115</f>
        <v>0.4683003192675339</v>
      </c>
      <c r="V115" s="166">
        <f>I115+T115</f>
        <v>21.538300319267535</v>
      </c>
      <c r="W115" s="171">
        <f>C115*V115</f>
        <v>0</v>
      </c>
      <c r="X115" s="171">
        <f>W115-J115</f>
        <v>0</v>
      </c>
      <c r="Y115" s="173">
        <f t="shared" si="54"/>
        <v>0</v>
      </c>
      <c r="AA115" s="179">
        <f>O115*$R$11</f>
        <v>0</v>
      </c>
      <c r="AB115" s="19">
        <f>IF(I115=0,"",V115/I115-1)</f>
        <v>2.222592877396945E-2</v>
      </c>
    </row>
    <row r="116" spans="1:28" ht="12">
      <c r="A116" s="50" t="s">
        <v>67</v>
      </c>
      <c r="B116" s="41"/>
      <c r="C116" s="64">
        <f>B116*1</f>
        <v>0</v>
      </c>
      <c r="D116" s="1">
        <v>1.5</v>
      </c>
      <c r="E116" s="36">
        <f t="shared" si="48"/>
        <v>0</v>
      </c>
      <c r="F116" s="52">
        <f t="shared" si="57"/>
        <v>0</v>
      </c>
      <c r="G116" s="1">
        <v>52</v>
      </c>
      <c r="I116" s="53">
        <v>31.38</v>
      </c>
      <c r="J116" s="4">
        <f t="shared" si="49"/>
        <v>0</v>
      </c>
      <c r="K116" s="4">
        <f t="shared" si="50"/>
        <v>0</v>
      </c>
      <c r="L116" s="34">
        <f t="shared" si="51"/>
        <v>217.5</v>
      </c>
      <c r="M116" s="2">
        <f t="shared" si="56"/>
        <v>95.584852849168712</v>
      </c>
      <c r="N116" s="54">
        <f t="shared" si="52"/>
        <v>0</v>
      </c>
      <c r="O116" s="35">
        <f t="shared" si="58"/>
        <v>0</v>
      </c>
      <c r="Q116" s="49">
        <f t="shared" si="65"/>
        <v>0.6891667890425065</v>
      </c>
      <c r="R116" s="167"/>
      <c r="S116" s="166">
        <f t="shared" si="59"/>
        <v>1.3283689858794313E-2</v>
      </c>
      <c r="T116" s="170">
        <f t="shared" si="60"/>
        <v>0.70245047890130086</v>
      </c>
      <c r="V116" s="166">
        <f t="shared" si="61"/>
        <v>32.082450478901301</v>
      </c>
      <c r="W116" s="171">
        <f t="shared" si="62"/>
        <v>0</v>
      </c>
      <c r="X116" s="171">
        <f t="shared" si="63"/>
        <v>0</v>
      </c>
      <c r="Y116" s="173">
        <f t="shared" si="54"/>
        <v>0</v>
      </c>
      <c r="AA116" s="179">
        <f t="shared" si="64"/>
        <v>0</v>
      </c>
      <c r="AB116" s="19">
        <f t="shared" si="55"/>
        <v>2.2385292508008359E-2</v>
      </c>
    </row>
    <row r="117" spans="1:28" ht="12">
      <c r="A117" s="50" t="s">
        <v>68</v>
      </c>
      <c r="B117" s="41">
        <v>9</v>
      </c>
      <c r="C117" s="64">
        <f>B117*4.3333</f>
        <v>38.999700000000004</v>
      </c>
      <c r="D117" s="1">
        <v>1.5</v>
      </c>
      <c r="E117" s="36">
        <f t="shared" si="48"/>
        <v>58.499550000000006</v>
      </c>
      <c r="F117" s="52">
        <f t="shared" si="57"/>
        <v>9</v>
      </c>
      <c r="G117" s="1">
        <v>52</v>
      </c>
      <c r="I117" s="53">
        <v>28.73</v>
      </c>
      <c r="J117" s="4">
        <f t="shared" si="49"/>
        <v>1120.4613810000001</v>
      </c>
      <c r="K117" s="4">
        <f t="shared" si="50"/>
        <v>13445.536572000001</v>
      </c>
      <c r="L117" s="34">
        <f t="shared" si="51"/>
        <v>217.5</v>
      </c>
      <c r="M117" s="2">
        <f t="shared" si="56"/>
        <v>95.584852849168712</v>
      </c>
      <c r="N117" s="54">
        <f t="shared" si="52"/>
        <v>50.89</v>
      </c>
      <c r="O117" s="35">
        <f t="shared" si="58"/>
        <v>0</v>
      </c>
      <c r="Q117" s="49">
        <f t="shared" si="65"/>
        <v>0.6891667890425065</v>
      </c>
      <c r="R117" s="166"/>
      <c r="S117" s="166">
        <f t="shared" si="59"/>
        <v>1.3283689858794313E-2</v>
      </c>
      <c r="T117" s="170">
        <f t="shared" si="60"/>
        <v>0.70245047890130086</v>
      </c>
      <c r="V117" s="166">
        <f t="shared" si="61"/>
        <v>29.432450478901302</v>
      </c>
      <c r="W117" s="171">
        <f t="shared" si="62"/>
        <v>1147.8567389420073</v>
      </c>
      <c r="X117" s="171">
        <f t="shared" si="63"/>
        <v>27.395357942007195</v>
      </c>
      <c r="Y117" s="173">
        <f t="shared" si="54"/>
        <v>328.74429530408634</v>
      </c>
      <c r="AA117" s="179">
        <f t="shared" si="64"/>
        <v>0</v>
      </c>
      <c r="AB117" s="19">
        <f t="shared" si="55"/>
        <v>2.4450068879265707E-2</v>
      </c>
    </row>
    <row r="118" spans="1:28" ht="12">
      <c r="A118" s="50" t="s">
        <v>69</v>
      </c>
      <c r="B118" s="41"/>
      <c r="C118" s="64">
        <f>B118*4.3333*2</f>
        <v>0</v>
      </c>
      <c r="D118" s="1">
        <v>1.5</v>
      </c>
      <c r="E118" s="36">
        <f t="shared" si="48"/>
        <v>0</v>
      </c>
      <c r="F118" s="52">
        <f t="shared" si="57"/>
        <v>0</v>
      </c>
      <c r="G118" s="1">
        <v>52</v>
      </c>
      <c r="I118" s="53">
        <v>28.73</v>
      </c>
      <c r="J118" s="4">
        <f t="shared" si="49"/>
        <v>0</v>
      </c>
      <c r="K118" s="4">
        <f t="shared" si="50"/>
        <v>0</v>
      </c>
      <c r="L118" s="34">
        <f t="shared" si="51"/>
        <v>217.5</v>
      </c>
      <c r="M118" s="2">
        <f t="shared" si="56"/>
        <v>95.584852849168712</v>
      </c>
      <c r="N118" s="54">
        <f t="shared" si="52"/>
        <v>0</v>
      </c>
      <c r="O118" s="35">
        <f t="shared" si="58"/>
        <v>0</v>
      </c>
      <c r="Q118" s="49">
        <f t="shared" si="65"/>
        <v>0.6891667890425065</v>
      </c>
      <c r="R118" s="166"/>
      <c r="S118" s="166">
        <f t="shared" si="59"/>
        <v>1.3283689858794313E-2</v>
      </c>
      <c r="T118" s="170">
        <f t="shared" si="60"/>
        <v>0.70245047890130086</v>
      </c>
      <c r="V118" s="166">
        <f t="shared" si="61"/>
        <v>29.432450478901302</v>
      </c>
      <c r="W118" s="171">
        <f t="shared" si="62"/>
        <v>0</v>
      </c>
      <c r="X118" s="171">
        <f t="shared" si="63"/>
        <v>0</v>
      </c>
      <c r="Y118" s="173">
        <f t="shared" si="54"/>
        <v>0</v>
      </c>
      <c r="AA118" s="179">
        <f t="shared" si="64"/>
        <v>0</v>
      </c>
      <c r="AB118" s="19">
        <f t="shared" si="55"/>
        <v>2.4450068879265707E-2</v>
      </c>
    </row>
    <row r="119" spans="1:28" ht="12">
      <c r="A119" s="50" t="s">
        <v>70</v>
      </c>
      <c r="B119" s="41"/>
      <c r="C119" s="64">
        <f>B119*4.3333*3</f>
        <v>0</v>
      </c>
      <c r="D119" s="1">
        <v>1.5</v>
      </c>
      <c r="E119" s="36">
        <f t="shared" si="48"/>
        <v>0</v>
      </c>
      <c r="F119" s="52">
        <f t="shared" si="57"/>
        <v>0</v>
      </c>
      <c r="G119" s="1">
        <v>52</v>
      </c>
      <c r="I119" s="53">
        <v>28.73</v>
      </c>
      <c r="J119" s="4">
        <f t="shared" si="49"/>
        <v>0</v>
      </c>
      <c r="K119" s="4">
        <f t="shared" si="50"/>
        <v>0</v>
      </c>
      <c r="L119" s="34">
        <f t="shared" si="51"/>
        <v>217.5</v>
      </c>
      <c r="M119" s="2">
        <f t="shared" si="56"/>
        <v>95.584852849168712</v>
      </c>
      <c r="N119" s="54">
        <f t="shared" si="52"/>
        <v>0</v>
      </c>
      <c r="O119" s="35">
        <f t="shared" si="58"/>
        <v>0</v>
      </c>
      <c r="Q119" s="49">
        <f t="shared" si="65"/>
        <v>0.6891667890425065</v>
      </c>
      <c r="R119" s="166"/>
      <c r="S119" s="166">
        <f t="shared" si="59"/>
        <v>1.3283689858794313E-2</v>
      </c>
      <c r="T119" s="170">
        <f t="shared" si="60"/>
        <v>0.70245047890130086</v>
      </c>
      <c r="V119" s="166">
        <f t="shared" si="61"/>
        <v>29.432450478901302</v>
      </c>
      <c r="W119" s="171">
        <f t="shared" si="62"/>
        <v>0</v>
      </c>
      <c r="X119" s="171">
        <f t="shared" si="63"/>
        <v>0</v>
      </c>
      <c r="Y119" s="173">
        <f t="shared" si="54"/>
        <v>0</v>
      </c>
      <c r="AA119" s="179">
        <f t="shared" si="64"/>
        <v>0</v>
      </c>
      <c r="AB119" s="19">
        <f t="shared" si="55"/>
        <v>2.4450068879265707E-2</v>
      </c>
    </row>
    <row r="120" spans="1:28" ht="12">
      <c r="A120" s="50" t="s">
        <v>193</v>
      </c>
      <c r="B120" s="41"/>
      <c r="C120" s="64">
        <f>+B120</f>
        <v>0</v>
      </c>
      <c r="D120" s="1">
        <f>2*5</f>
        <v>10</v>
      </c>
      <c r="E120" s="36">
        <f t="shared" si="48"/>
        <v>0</v>
      </c>
      <c r="F120" s="41">
        <f t="shared" si="57"/>
        <v>0</v>
      </c>
      <c r="G120" s="1">
        <v>52</v>
      </c>
      <c r="I120" s="53">
        <v>224.64</v>
      </c>
      <c r="J120" s="4">
        <f t="shared" si="49"/>
        <v>0</v>
      </c>
      <c r="K120" s="4">
        <f t="shared" si="50"/>
        <v>0</v>
      </c>
      <c r="L120" s="34">
        <f t="shared" si="51"/>
        <v>1450</v>
      </c>
      <c r="M120" s="2">
        <f t="shared" si="56"/>
        <v>637.23235232779143</v>
      </c>
      <c r="N120" s="54">
        <f t="shared" si="52"/>
        <v>0</v>
      </c>
      <c r="O120" s="35">
        <f t="shared" si="58"/>
        <v>0</v>
      </c>
      <c r="Q120" s="49">
        <f t="shared" si="65"/>
        <v>4.5944452602833765</v>
      </c>
      <c r="R120" s="167"/>
      <c r="S120" s="166">
        <f t="shared" si="59"/>
        <v>8.855793239196208E-2</v>
      </c>
      <c r="T120" s="170">
        <f t="shared" si="60"/>
        <v>4.6830031926753382</v>
      </c>
      <c r="V120" s="166">
        <f t="shared" si="61"/>
        <v>229.32300319267532</v>
      </c>
      <c r="W120" s="171">
        <f t="shared" si="62"/>
        <v>0</v>
      </c>
      <c r="X120" s="171">
        <f t="shared" si="63"/>
        <v>0</v>
      </c>
      <c r="Y120" s="173">
        <f t="shared" si="54"/>
        <v>0</v>
      </c>
      <c r="AA120" s="179">
        <f t="shared" si="64"/>
        <v>0</v>
      </c>
      <c r="AB120" s="19">
        <f t="shared" si="55"/>
        <v>2.0846702246596127E-2</v>
      </c>
    </row>
    <row r="121" spans="1:28" ht="12">
      <c r="A121" s="50" t="s">
        <v>71</v>
      </c>
      <c r="B121" s="41"/>
      <c r="C121" s="64">
        <f>B121*1</f>
        <v>0</v>
      </c>
      <c r="D121" s="1">
        <v>2</v>
      </c>
      <c r="E121" s="36">
        <f t="shared" si="48"/>
        <v>0</v>
      </c>
      <c r="F121" s="41">
        <f t="shared" si="57"/>
        <v>0</v>
      </c>
      <c r="G121" s="1">
        <v>52</v>
      </c>
      <c r="I121" s="53">
        <v>41.62</v>
      </c>
      <c r="J121" s="4">
        <f t="shared" si="49"/>
        <v>0</v>
      </c>
      <c r="K121" s="4">
        <f t="shared" si="50"/>
        <v>0</v>
      </c>
      <c r="L121" s="34">
        <f t="shared" si="51"/>
        <v>290</v>
      </c>
      <c r="M121" s="2">
        <f t="shared" si="56"/>
        <v>127.44647046555828</v>
      </c>
      <c r="N121" s="54">
        <f t="shared" si="52"/>
        <v>0</v>
      </c>
      <c r="O121" s="35">
        <f t="shared" si="58"/>
        <v>0</v>
      </c>
      <c r="Q121" s="49">
        <f t="shared" si="53"/>
        <v>0.91888905205667537</v>
      </c>
      <c r="R121" s="167"/>
      <c r="S121" s="166">
        <f t="shared" si="59"/>
        <v>1.7711586478392417E-2</v>
      </c>
      <c r="T121" s="170">
        <f t="shared" si="60"/>
        <v>0.93660063853506781</v>
      </c>
      <c r="V121" s="166">
        <f t="shared" si="61"/>
        <v>42.556600638535066</v>
      </c>
      <c r="W121" s="171">
        <f t="shared" si="62"/>
        <v>0</v>
      </c>
      <c r="X121" s="171">
        <f t="shared" si="63"/>
        <v>0</v>
      </c>
      <c r="Y121" s="173">
        <f t="shared" si="54"/>
        <v>0</v>
      </c>
      <c r="AA121" s="179">
        <f t="shared" si="64"/>
        <v>0</v>
      </c>
      <c r="AB121" s="19">
        <f t="shared" si="55"/>
        <v>2.2503619378545725E-2</v>
      </c>
    </row>
    <row r="122" spans="1:28" ht="12">
      <c r="A122" s="50" t="s">
        <v>72</v>
      </c>
      <c r="B122" s="41">
        <v>39</v>
      </c>
      <c r="C122" s="64">
        <f>B122*4.3333</f>
        <v>168.99870000000001</v>
      </c>
      <c r="D122" s="1">
        <v>2</v>
      </c>
      <c r="E122" s="36">
        <f t="shared" si="48"/>
        <v>337.99740000000003</v>
      </c>
      <c r="F122" s="41">
        <f t="shared" si="57"/>
        <v>39</v>
      </c>
      <c r="G122" s="1">
        <v>52</v>
      </c>
      <c r="I122" s="53">
        <v>37.64</v>
      </c>
      <c r="J122" s="4">
        <f t="shared" si="49"/>
        <v>6361.1110680000002</v>
      </c>
      <c r="K122" s="4">
        <f t="shared" si="50"/>
        <v>76333.332816000009</v>
      </c>
      <c r="L122" s="34">
        <f t="shared" si="51"/>
        <v>290</v>
      </c>
      <c r="M122" s="2">
        <f t="shared" si="56"/>
        <v>127.44647046555828</v>
      </c>
      <c r="N122" s="54">
        <f t="shared" si="52"/>
        <v>294.06</v>
      </c>
      <c r="O122" s="35">
        <f t="shared" si="58"/>
        <v>0</v>
      </c>
      <c r="Q122" s="49">
        <f t="shared" si="53"/>
        <v>0.91888905205667537</v>
      </c>
      <c r="R122" s="166"/>
      <c r="S122" s="166">
        <f t="shared" si="59"/>
        <v>1.7711586478392417E-2</v>
      </c>
      <c r="T122" s="170">
        <f t="shared" si="60"/>
        <v>0.93660063853506781</v>
      </c>
      <c r="V122" s="166">
        <f t="shared" si="61"/>
        <v>38.576600638535069</v>
      </c>
      <c r="W122" s="171">
        <f t="shared" si="62"/>
        <v>6519.395358331597</v>
      </c>
      <c r="X122" s="171">
        <f t="shared" si="63"/>
        <v>158.28429033159682</v>
      </c>
      <c r="Y122" s="173">
        <f t="shared" si="54"/>
        <v>1899.4114839791619</v>
      </c>
      <c r="AA122" s="179">
        <f t="shared" si="64"/>
        <v>0</v>
      </c>
      <c r="AB122" s="19">
        <f t="shared" si="55"/>
        <v>2.4883120046096385E-2</v>
      </c>
    </row>
    <row r="123" spans="1:28" ht="12">
      <c r="A123" s="50" t="s">
        <v>73</v>
      </c>
      <c r="B123" s="41"/>
      <c r="C123" s="64">
        <f>B123*4.3333*2</f>
        <v>0</v>
      </c>
      <c r="D123" s="1">
        <v>2</v>
      </c>
      <c r="E123" s="36">
        <f t="shared" si="48"/>
        <v>0</v>
      </c>
      <c r="F123" s="41">
        <f t="shared" si="57"/>
        <v>0</v>
      </c>
      <c r="G123" s="1">
        <v>52</v>
      </c>
      <c r="I123" s="53">
        <v>37.64</v>
      </c>
      <c r="J123" s="4">
        <f t="shared" si="49"/>
        <v>0</v>
      </c>
      <c r="K123" s="4">
        <f t="shared" si="50"/>
        <v>0</v>
      </c>
      <c r="L123" s="34">
        <f t="shared" si="51"/>
        <v>290</v>
      </c>
      <c r="M123" s="2">
        <f t="shared" si="56"/>
        <v>127.44647046555828</v>
      </c>
      <c r="N123" s="54">
        <f t="shared" si="52"/>
        <v>0</v>
      </c>
      <c r="O123" s="35">
        <f t="shared" si="58"/>
        <v>0</v>
      </c>
      <c r="Q123" s="49">
        <f t="shared" si="53"/>
        <v>0.91888905205667537</v>
      </c>
      <c r="R123" s="166"/>
      <c r="S123" s="166">
        <f t="shared" si="59"/>
        <v>1.7711586478392417E-2</v>
      </c>
      <c r="T123" s="170">
        <f t="shared" si="60"/>
        <v>0.93660063853506781</v>
      </c>
      <c r="V123" s="166">
        <f t="shared" si="61"/>
        <v>38.576600638535069</v>
      </c>
      <c r="W123" s="171">
        <f t="shared" si="62"/>
        <v>0</v>
      </c>
      <c r="X123" s="171">
        <f t="shared" si="63"/>
        <v>0</v>
      </c>
      <c r="Y123" s="173">
        <f t="shared" si="54"/>
        <v>0</v>
      </c>
      <c r="AA123" s="179">
        <f t="shared" si="64"/>
        <v>0</v>
      </c>
      <c r="AB123" s="19">
        <f t="shared" si="55"/>
        <v>2.4883120046096385E-2</v>
      </c>
    </row>
    <row r="124" spans="1:28" ht="12">
      <c r="A124" s="50" t="s">
        <v>74</v>
      </c>
      <c r="B124" s="41"/>
      <c r="C124" s="64">
        <f>B124*4.3333*3</f>
        <v>0</v>
      </c>
      <c r="D124" s="1">
        <v>2</v>
      </c>
      <c r="E124" s="36">
        <f t="shared" si="48"/>
        <v>0</v>
      </c>
      <c r="F124" s="41">
        <f t="shared" si="57"/>
        <v>0</v>
      </c>
      <c r="G124" s="1">
        <v>52</v>
      </c>
      <c r="I124" s="53">
        <v>37.64</v>
      </c>
      <c r="J124" s="4">
        <f t="shared" si="49"/>
        <v>0</v>
      </c>
      <c r="K124" s="4">
        <f t="shared" si="50"/>
        <v>0</v>
      </c>
      <c r="L124" s="34">
        <f t="shared" si="51"/>
        <v>290</v>
      </c>
      <c r="M124" s="2">
        <f t="shared" si="56"/>
        <v>127.44647046555828</v>
      </c>
      <c r="N124" s="54">
        <f t="shared" si="52"/>
        <v>0</v>
      </c>
      <c r="O124" s="35">
        <f t="shared" si="58"/>
        <v>0</v>
      </c>
      <c r="Q124" s="49">
        <f t="shared" si="53"/>
        <v>0.91888905205667537</v>
      </c>
      <c r="R124" s="166"/>
      <c r="S124" s="166">
        <f t="shared" si="59"/>
        <v>1.7711586478392417E-2</v>
      </c>
      <c r="T124" s="170">
        <f t="shared" si="60"/>
        <v>0.93660063853506781</v>
      </c>
      <c r="V124" s="166">
        <f t="shared" si="61"/>
        <v>38.576600638535069</v>
      </c>
      <c r="W124" s="171">
        <f t="shared" si="62"/>
        <v>0</v>
      </c>
      <c r="X124" s="171">
        <f t="shared" si="63"/>
        <v>0</v>
      </c>
      <c r="Y124" s="173">
        <f t="shared" si="54"/>
        <v>0</v>
      </c>
      <c r="AA124" s="179">
        <f t="shared" si="64"/>
        <v>0</v>
      </c>
      <c r="AB124" s="19">
        <f t="shared" si="55"/>
        <v>2.4883120046096385E-2</v>
      </c>
    </row>
    <row r="125" spans="1:28" ht="12">
      <c r="A125" s="50" t="s">
        <v>75</v>
      </c>
      <c r="B125" s="41"/>
      <c r="C125" s="64">
        <f>B125*4.3333*4</f>
        <v>0</v>
      </c>
      <c r="D125" s="1">
        <v>2</v>
      </c>
      <c r="E125" s="36">
        <f t="shared" si="48"/>
        <v>0</v>
      </c>
      <c r="F125" s="41">
        <f t="shared" si="57"/>
        <v>0</v>
      </c>
      <c r="G125" s="1">
        <v>52</v>
      </c>
      <c r="I125" s="53">
        <v>37.64</v>
      </c>
      <c r="J125" s="4">
        <f t="shared" si="49"/>
        <v>0</v>
      </c>
      <c r="K125" s="4">
        <f t="shared" si="50"/>
        <v>0</v>
      </c>
      <c r="L125" s="34">
        <f t="shared" si="51"/>
        <v>290</v>
      </c>
      <c r="M125" s="2">
        <f t="shared" si="56"/>
        <v>127.44647046555828</v>
      </c>
      <c r="N125" s="54">
        <f t="shared" si="52"/>
        <v>0</v>
      </c>
      <c r="O125" s="35">
        <f t="shared" si="58"/>
        <v>0</v>
      </c>
      <c r="Q125" s="49">
        <f t="shared" si="53"/>
        <v>0.91888905205667537</v>
      </c>
      <c r="R125" s="166"/>
      <c r="S125" s="166">
        <f t="shared" si="59"/>
        <v>1.7711586478392417E-2</v>
      </c>
      <c r="T125" s="170">
        <f t="shared" si="60"/>
        <v>0.93660063853506781</v>
      </c>
      <c r="V125" s="166">
        <f t="shared" si="61"/>
        <v>38.576600638535069</v>
      </c>
      <c r="W125" s="171">
        <f t="shared" si="62"/>
        <v>0</v>
      </c>
      <c r="X125" s="171">
        <f t="shared" si="63"/>
        <v>0</v>
      </c>
      <c r="Y125" s="173">
        <f t="shared" si="54"/>
        <v>0</v>
      </c>
      <c r="AA125" s="179">
        <f t="shared" si="64"/>
        <v>0</v>
      </c>
      <c r="AB125" s="19">
        <f t="shared" si="55"/>
        <v>2.4883120046096385E-2</v>
      </c>
    </row>
    <row r="126" spans="1:28" ht="12">
      <c r="A126" s="50" t="s">
        <v>182</v>
      </c>
      <c r="B126" s="41"/>
      <c r="C126" s="64">
        <f>B126*4.3333*5</f>
        <v>0</v>
      </c>
      <c r="D126" s="1">
        <v>2</v>
      </c>
      <c r="E126" s="36">
        <f t="shared" si="48"/>
        <v>0</v>
      </c>
      <c r="F126" s="52">
        <f t="shared" si="57"/>
        <v>0</v>
      </c>
      <c r="G126" s="1">
        <v>52</v>
      </c>
      <c r="I126" s="53">
        <v>37.64</v>
      </c>
      <c r="J126" s="4">
        <f t="shared" si="49"/>
        <v>0</v>
      </c>
      <c r="K126" s="4">
        <f t="shared" si="50"/>
        <v>0</v>
      </c>
      <c r="L126" s="34">
        <f t="shared" si="51"/>
        <v>290</v>
      </c>
      <c r="M126" s="2">
        <f t="shared" si="56"/>
        <v>127.44647046555828</v>
      </c>
      <c r="N126" s="54">
        <f t="shared" si="52"/>
        <v>0</v>
      </c>
      <c r="O126" s="35">
        <f t="shared" si="58"/>
        <v>0</v>
      </c>
      <c r="Q126" s="49">
        <f t="shared" si="53"/>
        <v>0.91888905205667537</v>
      </c>
      <c r="R126" s="166"/>
      <c r="S126" s="166">
        <f t="shared" si="59"/>
        <v>1.7711586478392417E-2</v>
      </c>
      <c r="T126" s="170">
        <f t="shared" si="60"/>
        <v>0.93660063853506781</v>
      </c>
      <c r="V126" s="166">
        <f t="shared" si="61"/>
        <v>38.576600638535069</v>
      </c>
      <c r="W126" s="171">
        <f t="shared" si="62"/>
        <v>0</v>
      </c>
      <c r="X126" s="171">
        <f t="shared" si="63"/>
        <v>0</v>
      </c>
      <c r="Y126" s="173">
        <f t="shared" si="54"/>
        <v>0</v>
      </c>
      <c r="AA126" s="179">
        <f t="shared" si="64"/>
        <v>0</v>
      </c>
      <c r="AB126" s="19">
        <f t="shared" si="55"/>
        <v>2.4883120046096385E-2</v>
      </c>
    </row>
    <row r="127" spans="1:28" ht="12">
      <c r="A127" s="50" t="s">
        <v>183</v>
      </c>
      <c r="B127" s="41"/>
      <c r="C127" s="64">
        <f>B127*4.3333*6</f>
        <v>0</v>
      </c>
      <c r="D127" s="1">
        <v>2</v>
      </c>
      <c r="E127" s="36">
        <f t="shared" si="48"/>
        <v>0</v>
      </c>
      <c r="F127" s="52">
        <f t="shared" si="57"/>
        <v>0</v>
      </c>
      <c r="G127" s="1">
        <v>52</v>
      </c>
      <c r="I127" s="53">
        <v>37.64</v>
      </c>
      <c r="J127" s="4">
        <f t="shared" si="49"/>
        <v>0</v>
      </c>
      <c r="K127" s="4">
        <f t="shared" si="50"/>
        <v>0</v>
      </c>
      <c r="L127" s="34">
        <f t="shared" si="51"/>
        <v>290</v>
      </c>
      <c r="M127" s="2">
        <f t="shared" si="56"/>
        <v>127.44647046555828</v>
      </c>
      <c r="N127" s="54">
        <f t="shared" si="52"/>
        <v>0</v>
      </c>
      <c r="O127" s="35">
        <f t="shared" si="58"/>
        <v>0</v>
      </c>
      <c r="Q127" s="49">
        <f t="shared" si="53"/>
        <v>0.91888905205667537</v>
      </c>
      <c r="R127" s="166"/>
      <c r="S127" s="166">
        <f t="shared" si="59"/>
        <v>1.7711586478392417E-2</v>
      </c>
      <c r="T127" s="170">
        <f t="shared" si="60"/>
        <v>0.93660063853506781</v>
      </c>
      <c r="V127" s="166">
        <f t="shared" si="61"/>
        <v>38.576600638535069</v>
      </c>
      <c r="W127" s="171">
        <f t="shared" si="62"/>
        <v>0</v>
      </c>
      <c r="X127" s="171">
        <f t="shared" si="63"/>
        <v>0</v>
      </c>
      <c r="Y127" s="173">
        <f t="shared" si="54"/>
        <v>0</v>
      </c>
      <c r="AA127" s="179">
        <f t="shared" si="64"/>
        <v>0</v>
      </c>
      <c r="AB127" s="19">
        <f t="shared" si="55"/>
        <v>2.4883120046096385E-2</v>
      </c>
    </row>
    <row r="128" spans="1:28" ht="12">
      <c r="A128" s="50" t="s">
        <v>76</v>
      </c>
      <c r="B128" s="41"/>
      <c r="C128" s="64">
        <f>B128*4.33</f>
        <v>0</v>
      </c>
      <c r="D128" s="1">
        <f>3*3.5</f>
        <v>10.5</v>
      </c>
      <c r="E128" s="36">
        <f t="shared" si="48"/>
        <v>0</v>
      </c>
      <c r="F128" s="41">
        <f t="shared" si="57"/>
        <v>0</v>
      </c>
      <c r="G128" s="1">
        <v>52</v>
      </c>
      <c r="I128" s="53">
        <v>241.15</v>
      </c>
      <c r="J128" s="4">
        <f t="shared" si="49"/>
        <v>0</v>
      </c>
      <c r="K128" s="4">
        <f t="shared" si="50"/>
        <v>0</v>
      </c>
      <c r="L128" s="34">
        <f t="shared" si="51"/>
        <v>1522.5</v>
      </c>
      <c r="M128" s="2">
        <f t="shared" si="56"/>
        <v>669.09396994418103</v>
      </c>
      <c r="N128" s="54">
        <f t="shared" si="52"/>
        <v>0</v>
      </c>
      <c r="O128" s="35">
        <f t="shared" si="58"/>
        <v>0</v>
      </c>
      <c r="Q128" s="49">
        <f t="shared" si="53"/>
        <v>4.8241675232975458</v>
      </c>
      <c r="R128" s="166"/>
      <c r="S128" s="166">
        <f t="shared" si="59"/>
        <v>9.2985829011560203E-2</v>
      </c>
      <c r="T128" s="170">
        <f t="shared" si="60"/>
        <v>4.9171533523091062</v>
      </c>
      <c r="V128" s="166">
        <f t="shared" si="61"/>
        <v>246.06715335230911</v>
      </c>
      <c r="W128" s="171">
        <f t="shared" si="62"/>
        <v>0</v>
      </c>
      <c r="X128" s="171">
        <f t="shared" si="63"/>
        <v>0</v>
      </c>
      <c r="Y128" s="173">
        <f t="shared" si="54"/>
        <v>0</v>
      </c>
      <c r="AA128" s="179">
        <f t="shared" si="64"/>
        <v>0</v>
      </c>
      <c r="AB128" s="19">
        <f t="shared" si="55"/>
        <v>2.0390434801198731E-2</v>
      </c>
    </row>
    <row r="129" spans="1:28" ht="12">
      <c r="A129" s="50" t="s">
        <v>188</v>
      </c>
      <c r="B129" s="41"/>
      <c r="C129" s="64">
        <f>B129*4.33</f>
        <v>0</v>
      </c>
      <c r="D129" s="1">
        <f>3*5</f>
        <v>15</v>
      </c>
      <c r="E129" s="36">
        <f>C129*D129</f>
        <v>0</v>
      </c>
      <c r="F129" s="41">
        <f>B129</f>
        <v>0</v>
      </c>
      <c r="G129" s="1">
        <v>52</v>
      </c>
      <c r="I129" s="53">
        <v>291.29000000000002</v>
      </c>
      <c r="J129" s="4">
        <f t="shared" si="49"/>
        <v>0</v>
      </c>
      <c r="K129" s="4">
        <f t="shared" si="50"/>
        <v>0</v>
      </c>
      <c r="L129" s="34">
        <f t="shared" si="51"/>
        <v>2175</v>
      </c>
      <c r="M129" s="2">
        <f t="shared" si="56"/>
        <v>955.84852849168715</v>
      </c>
      <c r="N129" s="54">
        <f t="shared" si="52"/>
        <v>0</v>
      </c>
      <c r="O129" s="35">
        <f t="shared" si="58"/>
        <v>0</v>
      </c>
      <c r="Q129" s="49">
        <f>M129*$R$12</f>
        <v>6.8916678904250652</v>
      </c>
      <c r="R129" s="166"/>
      <c r="S129" s="166">
        <f>Q129*$U$11</f>
        <v>0.13283689858794315</v>
      </c>
      <c r="T129" s="170">
        <f>+Q129+S129</f>
        <v>7.0245047890130081</v>
      </c>
      <c r="V129" s="166">
        <f>I129+T129</f>
        <v>298.31450478901303</v>
      </c>
      <c r="W129" s="171">
        <f>C129*V129</f>
        <v>0</v>
      </c>
      <c r="X129" s="171">
        <f>W129-J129</f>
        <v>0</v>
      </c>
      <c r="Y129" s="173">
        <f t="shared" si="54"/>
        <v>0</v>
      </c>
      <c r="AA129" s="179">
        <f>O129*$R$11</f>
        <v>0</v>
      </c>
      <c r="AB129" s="19">
        <f>IF(I129=0,"",V129/I129-1)</f>
        <v>2.4115159425359689E-2</v>
      </c>
    </row>
    <row r="130" spans="1:28" ht="12">
      <c r="A130" s="50" t="s">
        <v>77</v>
      </c>
      <c r="B130" s="41"/>
      <c r="C130" s="64">
        <f>+B130*1</f>
        <v>0</v>
      </c>
      <c r="D130" s="1">
        <v>3</v>
      </c>
      <c r="E130" s="36">
        <f t="shared" si="48"/>
        <v>0</v>
      </c>
      <c r="F130" s="41">
        <f t="shared" si="57"/>
        <v>0</v>
      </c>
      <c r="G130" s="1">
        <v>52</v>
      </c>
      <c r="I130" s="53">
        <v>58.53</v>
      </c>
      <c r="J130" s="4">
        <f t="shared" si="49"/>
        <v>0</v>
      </c>
      <c r="K130" s="4">
        <f t="shared" si="50"/>
        <v>0</v>
      </c>
      <c r="L130" s="34">
        <f t="shared" si="51"/>
        <v>435</v>
      </c>
      <c r="M130" s="2">
        <f t="shared" si="56"/>
        <v>191.16970569833742</v>
      </c>
      <c r="N130" s="54">
        <f t="shared" si="52"/>
        <v>0</v>
      </c>
      <c r="O130" s="35">
        <f t="shared" si="58"/>
        <v>0</v>
      </c>
      <c r="Q130" s="49">
        <f t="shared" si="53"/>
        <v>1.378333578085013</v>
      </c>
      <c r="R130" s="167"/>
      <c r="S130" s="166">
        <f t="shared" si="59"/>
        <v>2.6567379717588626E-2</v>
      </c>
      <c r="T130" s="170">
        <f t="shared" si="60"/>
        <v>1.4049009578026017</v>
      </c>
      <c r="V130" s="166">
        <f t="shared" si="61"/>
        <v>59.934900957802604</v>
      </c>
      <c r="W130" s="171">
        <f t="shared" si="62"/>
        <v>0</v>
      </c>
      <c r="X130" s="171">
        <f t="shared" si="63"/>
        <v>0</v>
      </c>
      <c r="Y130" s="173">
        <f t="shared" si="54"/>
        <v>0</v>
      </c>
      <c r="AA130" s="179">
        <f t="shared" si="64"/>
        <v>0</v>
      </c>
      <c r="AB130" s="19">
        <f t="shared" si="55"/>
        <v>2.4003091710278479E-2</v>
      </c>
    </row>
    <row r="131" spans="1:28" ht="12">
      <c r="A131" s="50" t="s">
        <v>78</v>
      </c>
      <c r="B131" s="41">
        <v>39</v>
      </c>
      <c r="C131" s="64">
        <f>B131*4.3333</f>
        <v>168.99870000000001</v>
      </c>
      <c r="D131" s="1">
        <v>3</v>
      </c>
      <c r="E131" s="36">
        <f t="shared" si="48"/>
        <v>506.99610000000007</v>
      </c>
      <c r="F131" s="41">
        <f t="shared" si="57"/>
        <v>39</v>
      </c>
      <c r="G131" s="1">
        <v>52</v>
      </c>
      <c r="I131" s="53">
        <v>53.22</v>
      </c>
      <c r="J131" s="4">
        <f t="shared" si="49"/>
        <v>8994.1108139999997</v>
      </c>
      <c r="K131" s="4">
        <f t="shared" si="50"/>
        <v>107929.329768</v>
      </c>
      <c r="L131" s="34">
        <f t="shared" si="51"/>
        <v>435</v>
      </c>
      <c r="M131" s="2">
        <f t="shared" si="56"/>
        <v>191.16970569833742</v>
      </c>
      <c r="N131" s="54">
        <f t="shared" si="52"/>
        <v>441.09</v>
      </c>
      <c r="O131" s="35">
        <f t="shared" si="58"/>
        <v>0</v>
      </c>
      <c r="Q131" s="49">
        <f t="shared" si="53"/>
        <v>1.378333578085013</v>
      </c>
      <c r="R131" s="166"/>
      <c r="S131" s="166">
        <f t="shared" si="59"/>
        <v>2.6567379717588626E-2</v>
      </c>
      <c r="T131" s="170">
        <f t="shared" si="60"/>
        <v>1.4049009578026017</v>
      </c>
      <c r="V131" s="166">
        <f t="shared" si="61"/>
        <v>54.624900957802602</v>
      </c>
      <c r="W131" s="171">
        <f t="shared" si="62"/>
        <v>9231.5372494973944</v>
      </c>
      <c r="X131" s="171">
        <f t="shared" si="63"/>
        <v>237.42643549739478</v>
      </c>
      <c r="Y131" s="173">
        <f t="shared" si="54"/>
        <v>2849.1172259687373</v>
      </c>
      <c r="AA131" s="179">
        <f t="shared" si="64"/>
        <v>0</v>
      </c>
      <c r="AB131" s="19">
        <f t="shared" si="55"/>
        <v>2.6397988684753848E-2</v>
      </c>
    </row>
    <row r="132" spans="1:28" ht="12">
      <c r="A132" s="50" t="s">
        <v>79</v>
      </c>
      <c r="B132" s="41"/>
      <c r="C132" s="64">
        <f>B132*4.3333*2</f>
        <v>0</v>
      </c>
      <c r="D132" s="1">
        <v>3</v>
      </c>
      <c r="E132" s="36">
        <f t="shared" si="48"/>
        <v>0</v>
      </c>
      <c r="F132" s="41">
        <f t="shared" si="57"/>
        <v>0</v>
      </c>
      <c r="G132" s="1">
        <v>52</v>
      </c>
      <c r="I132" s="53">
        <v>53.22</v>
      </c>
      <c r="J132" s="4">
        <f t="shared" si="49"/>
        <v>0</v>
      </c>
      <c r="K132" s="4">
        <f t="shared" si="50"/>
        <v>0</v>
      </c>
      <c r="L132" s="34">
        <f t="shared" si="51"/>
        <v>435</v>
      </c>
      <c r="M132" s="2">
        <f t="shared" si="56"/>
        <v>191.16970569833742</v>
      </c>
      <c r="N132" s="54">
        <f t="shared" si="52"/>
        <v>0</v>
      </c>
      <c r="O132" s="35">
        <f t="shared" si="58"/>
        <v>0</v>
      </c>
      <c r="Q132" s="49">
        <f t="shared" si="53"/>
        <v>1.378333578085013</v>
      </c>
      <c r="R132" s="166"/>
      <c r="S132" s="166">
        <f t="shared" si="59"/>
        <v>2.6567379717588626E-2</v>
      </c>
      <c r="T132" s="170">
        <f t="shared" si="60"/>
        <v>1.4049009578026017</v>
      </c>
      <c r="V132" s="166">
        <f t="shared" si="61"/>
        <v>54.624900957802602</v>
      </c>
      <c r="W132" s="171">
        <f t="shared" si="62"/>
        <v>0</v>
      </c>
      <c r="X132" s="171">
        <f t="shared" si="63"/>
        <v>0</v>
      </c>
      <c r="Y132" s="173">
        <f t="shared" si="54"/>
        <v>0</v>
      </c>
      <c r="AA132" s="179">
        <f t="shared" si="64"/>
        <v>0</v>
      </c>
      <c r="AB132" s="19">
        <f t="shared" si="55"/>
        <v>2.6397988684753848E-2</v>
      </c>
    </row>
    <row r="133" spans="1:28" ht="12">
      <c r="A133" s="50" t="s">
        <v>80</v>
      </c>
      <c r="B133" s="41"/>
      <c r="C133" s="64">
        <f>B133*4.3333*3</f>
        <v>0</v>
      </c>
      <c r="D133" s="1">
        <v>3</v>
      </c>
      <c r="E133" s="36">
        <f t="shared" si="48"/>
        <v>0</v>
      </c>
      <c r="F133" s="41">
        <f t="shared" si="57"/>
        <v>0</v>
      </c>
      <c r="G133" s="1">
        <v>52</v>
      </c>
      <c r="I133" s="53">
        <v>53.22</v>
      </c>
      <c r="J133" s="4">
        <f t="shared" si="49"/>
        <v>0</v>
      </c>
      <c r="K133" s="4">
        <f t="shared" si="50"/>
        <v>0</v>
      </c>
      <c r="L133" s="34">
        <f t="shared" si="51"/>
        <v>435</v>
      </c>
      <c r="M133" s="2">
        <f t="shared" si="56"/>
        <v>191.16970569833742</v>
      </c>
      <c r="N133" s="54">
        <f t="shared" si="52"/>
        <v>0</v>
      </c>
      <c r="O133" s="35">
        <f t="shared" si="58"/>
        <v>0</v>
      </c>
      <c r="Q133" s="49">
        <f t="shared" si="53"/>
        <v>1.378333578085013</v>
      </c>
      <c r="R133" s="166"/>
      <c r="S133" s="166">
        <f t="shared" si="59"/>
        <v>2.6567379717588626E-2</v>
      </c>
      <c r="T133" s="170">
        <f t="shared" si="60"/>
        <v>1.4049009578026017</v>
      </c>
      <c r="V133" s="166">
        <f t="shared" si="61"/>
        <v>54.624900957802602</v>
      </c>
      <c r="W133" s="171">
        <f t="shared" si="62"/>
        <v>0</v>
      </c>
      <c r="X133" s="171">
        <f t="shared" si="63"/>
        <v>0</v>
      </c>
      <c r="Y133" s="173">
        <f t="shared" si="54"/>
        <v>0</v>
      </c>
      <c r="AA133" s="179">
        <f t="shared" si="64"/>
        <v>0</v>
      </c>
      <c r="AB133" s="19">
        <f t="shared" si="55"/>
        <v>2.6397988684753848E-2</v>
      </c>
    </row>
    <row r="134" spans="1:28" ht="12">
      <c r="A134" s="50" t="s">
        <v>184</v>
      </c>
      <c r="B134" s="41"/>
      <c r="C134" s="64">
        <f>B134*4.3333*4</f>
        <v>0</v>
      </c>
      <c r="D134" s="1">
        <v>3</v>
      </c>
      <c r="E134" s="36">
        <f t="shared" si="48"/>
        <v>0</v>
      </c>
      <c r="F134" s="52">
        <f t="shared" si="57"/>
        <v>0</v>
      </c>
      <c r="G134" s="1">
        <v>52</v>
      </c>
      <c r="I134" s="53">
        <v>53.22</v>
      </c>
      <c r="J134" s="4">
        <f t="shared" si="49"/>
        <v>0</v>
      </c>
      <c r="K134" s="4">
        <f t="shared" si="50"/>
        <v>0</v>
      </c>
      <c r="L134" s="34">
        <f t="shared" si="51"/>
        <v>435</v>
      </c>
      <c r="M134" s="2">
        <f t="shared" si="56"/>
        <v>191.16970569833742</v>
      </c>
      <c r="N134" s="54">
        <f t="shared" si="52"/>
        <v>0</v>
      </c>
      <c r="O134" s="35">
        <f t="shared" si="58"/>
        <v>0</v>
      </c>
      <c r="Q134" s="49">
        <f t="shared" si="53"/>
        <v>1.378333578085013</v>
      </c>
      <c r="R134" s="166"/>
      <c r="S134" s="166">
        <f t="shared" si="59"/>
        <v>2.6567379717588626E-2</v>
      </c>
      <c r="T134" s="170">
        <f t="shared" si="60"/>
        <v>1.4049009578026017</v>
      </c>
      <c r="V134" s="166">
        <f t="shared" si="61"/>
        <v>54.624900957802602</v>
      </c>
      <c r="W134" s="171">
        <f t="shared" si="62"/>
        <v>0</v>
      </c>
      <c r="X134" s="171">
        <f t="shared" si="63"/>
        <v>0</v>
      </c>
      <c r="Y134" s="173">
        <f t="shared" si="54"/>
        <v>0</v>
      </c>
      <c r="AA134" s="179">
        <f t="shared" si="64"/>
        <v>0</v>
      </c>
      <c r="AB134" s="19">
        <f t="shared" si="55"/>
        <v>2.6397988684753848E-2</v>
      </c>
    </row>
    <row r="135" spans="1:28" ht="12">
      <c r="A135" s="50" t="s">
        <v>81</v>
      </c>
      <c r="B135" s="41"/>
      <c r="C135" s="64">
        <f>B135*4.33</f>
        <v>0</v>
      </c>
      <c r="D135" s="1">
        <f>4*3.5</f>
        <v>14</v>
      </c>
      <c r="E135" s="36">
        <f t="shared" si="48"/>
        <v>0</v>
      </c>
      <c r="F135" s="41">
        <f t="shared" si="57"/>
        <v>0</v>
      </c>
      <c r="G135" s="1">
        <v>52</v>
      </c>
      <c r="I135" s="53">
        <v>298.41000000000003</v>
      </c>
      <c r="J135" s="4">
        <f t="shared" si="49"/>
        <v>0</v>
      </c>
      <c r="K135" s="4">
        <f t="shared" si="50"/>
        <v>0</v>
      </c>
      <c r="L135" s="34">
        <f t="shared" si="51"/>
        <v>2030</v>
      </c>
      <c r="M135" s="2">
        <f t="shared" si="56"/>
        <v>892.12529325890796</v>
      </c>
      <c r="N135" s="54">
        <f t="shared" si="52"/>
        <v>0</v>
      </c>
      <c r="O135" s="35">
        <f t="shared" si="58"/>
        <v>0</v>
      </c>
      <c r="Q135" s="49">
        <f t="shared" si="53"/>
        <v>6.4322233643967275</v>
      </c>
      <c r="R135" s="166"/>
      <c r="S135" s="166">
        <f t="shared" si="59"/>
        <v>0.12398110534874693</v>
      </c>
      <c r="T135" s="170">
        <f t="shared" si="60"/>
        <v>6.5562044697454747</v>
      </c>
      <c r="V135" s="166">
        <f t="shared" si="61"/>
        <v>304.96620446974549</v>
      </c>
      <c r="W135" s="171">
        <f t="shared" si="62"/>
        <v>0</v>
      </c>
      <c r="X135" s="171">
        <f t="shared" si="63"/>
        <v>0</v>
      </c>
      <c r="Y135" s="173">
        <f t="shared" si="54"/>
        <v>0</v>
      </c>
      <c r="AA135" s="179">
        <f t="shared" si="64"/>
        <v>0</v>
      </c>
      <c r="AB135" s="19">
        <f t="shared" si="55"/>
        <v>2.1970458328291587E-2</v>
      </c>
    </row>
    <row r="136" spans="1:28" ht="12">
      <c r="A136" s="50" t="s">
        <v>189</v>
      </c>
      <c r="B136" s="41"/>
      <c r="C136" s="64">
        <f>B136*4.33</f>
        <v>0</v>
      </c>
      <c r="D136" s="1">
        <f>4*5</f>
        <v>20</v>
      </c>
      <c r="E136" s="36">
        <f t="shared" si="48"/>
        <v>0</v>
      </c>
      <c r="F136" s="41">
        <f t="shared" si="57"/>
        <v>0</v>
      </c>
      <c r="G136" s="1">
        <v>52</v>
      </c>
      <c r="I136" s="53">
        <v>367.42</v>
      </c>
      <c r="J136" s="4">
        <f t="shared" si="49"/>
        <v>0</v>
      </c>
      <c r="K136" s="4">
        <f t="shared" si="50"/>
        <v>0</v>
      </c>
      <c r="L136" s="34">
        <f t="shared" si="51"/>
        <v>2900</v>
      </c>
      <c r="M136" s="2">
        <f t="shared" si="56"/>
        <v>1274.4647046555829</v>
      </c>
      <c r="N136" s="54">
        <f t="shared" si="52"/>
        <v>0</v>
      </c>
      <c r="O136" s="35">
        <f t="shared" si="58"/>
        <v>0</v>
      </c>
      <c r="Q136" s="49">
        <f t="shared" si="53"/>
        <v>9.188890520566753</v>
      </c>
      <c r="R136" s="166"/>
      <c r="S136" s="166">
        <f t="shared" si="59"/>
        <v>0.17711586478392416</v>
      </c>
      <c r="T136" s="170">
        <f t="shared" si="60"/>
        <v>9.3660063853506763</v>
      </c>
      <c r="V136" s="166">
        <f t="shared" si="61"/>
        <v>376.78600638535067</v>
      </c>
      <c r="W136" s="171">
        <f t="shared" si="62"/>
        <v>0</v>
      </c>
      <c r="X136" s="171">
        <f t="shared" si="63"/>
        <v>0</v>
      </c>
      <c r="Y136" s="173">
        <f t="shared" si="54"/>
        <v>0</v>
      </c>
      <c r="AA136" s="179">
        <f t="shared" si="64"/>
        <v>0</v>
      </c>
      <c r="AB136" s="19">
        <f t="shared" si="55"/>
        <v>2.5491280783165537E-2</v>
      </c>
    </row>
    <row r="137" spans="1:28" ht="12">
      <c r="A137" s="50" t="s">
        <v>82</v>
      </c>
      <c r="B137" s="41"/>
      <c r="C137" s="64">
        <f>+B137*1</f>
        <v>0</v>
      </c>
      <c r="D137" s="1">
        <v>4</v>
      </c>
      <c r="E137" s="36">
        <f t="shared" si="48"/>
        <v>0</v>
      </c>
      <c r="F137" s="41">
        <f t="shared" si="57"/>
        <v>0</v>
      </c>
      <c r="G137" s="1">
        <v>52</v>
      </c>
      <c r="I137" s="53">
        <v>76.489999999999995</v>
      </c>
      <c r="J137" s="4">
        <f t="shared" si="49"/>
        <v>0</v>
      </c>
      <c r="K137" s="4">
        <f t="shared" si="50"/>
        <v>0</v>
      </c>
      <c r="L137" s="34">
        <f t="shared" si="51"/>
        <v>580</v>
      </c>
      <c r="M137" s="2">
        <f t="shared" si="56"/>
        <v>254.89294093111656</v>
      </c>
      <c r="N137" s="54">
        <f t="shared" si="52"/>
        <v>0</v>
      </c>
      <c r="O137" s="35">
        <f t="shared" si="58"/>
        <v>0</v>
      </c>
      <c r="Q137" s="49">
        <f t="shared" si="53"/>
        <v>1.8377781041133507</v>
      </c>
      <c r="R137" s="167"/>
      <c r="S137" s="166">
        <f t="shared" si="59"/>
        <v>3.5423172956784835E-2</v>
      </c>
      <c r="T137" s="170">
        <f t="shared" si="60"/>
        <v>1.8732012770701356</v>
      </c>
      <c r="V137" s="166">
        <f t="shared" si="61"/>
        <v>78.363201277070132</v>
      </c>
      <c r="W137" s="171">
        <f t="shared" si="62"/>
        <v>0</v>
      </c>
      <c r="X137" s="171">
        <f t="shared" si="63"/>
        <v>0</v>
      </c>
      <c r="Y137" s="173">
        <f t="shared" si="54"/>
        <v>0</v>
      </c>
      <c r="AA137" s="179">
        <f t="shared" si="64"/>
        <v>0</v>
      </c>
      <c r="AB137" s="19">
        <f t="shared" si="55"/>
        <v>2.4489492444373706E-2</v>
      </c>
    </row>
    <row r="138" spans="1:28" ht="12">
      <c r="A138" s="50" t="s">
        <v>83</v>
      </c>
      <c r="B138" s="41">
        <v>69</v>
      </c>
      <c r="C138" s="64">
        <f>B138*4.3333</f>
        <v>298.99770000000001</v>
      </c>
      <c r="D138" s="1">
        <v>4</v>
      </c>
      <c r="E138" s="36">
        <f t="shared" si="48"/>
        <v>1195.9908</v>
      </c>
      <c r="F138" s="41">
        <f t="shared" si="57"/>
        <v>69</v>
      </c>
      <c r="G138" s="1">
        <v>52</v>
      </c>
      <c r="I138" s="53">
        <v>71.19</v>
      </c>
      <c r="J138" s="4">
        <f t="shared" si="49"/>
        <v>21285.646262999999</v>
      </c>
      <c r="K138" s="4">
        <f t="shared" si="50"/>
        <v>255427.75515599997</v>
      </c>
      <c r="L138" s="34">
        <f t="shared" si="51"/>
        <v>580</v>
      </c>
      <c r="M138" s="2">
        <f t="shared" si="56"/>
        <v>254.89294093111656</v>
      </c>
      <c r="N138" s="54">
        <f t="shared" si="52"/>
        <v>1040.51</v>
      </c>
      <c r="O138" s="35">
        <f t="shared" si="58"/>
        <v>0</v>
      </c>
      <c r="Q138" s="49">
        <f t="shared" si="53"/>
        <v>1.8377781041133507</v>
      </c>
      <c r="R138" s="166"/>
      <c r="S138" s="166">
        <f t="shared" si="59"/>
        <v>3.5423172956784835E-2</v>
      </c>
      <c r="T138" s="170">
        <f t="shared" si="60"/>
        <v>1.8732012770701356</v>
      </c>
      <c r="V138" s="166">
        <f t="shared" si="61"/>
        <v>73.063201277070135</v>
      </c>
      <c r="W138" s="171">
        <f t="shared" si="62"/>
        <v>21845.729136481033</v>
      </c>
      <c r="X138" s="171">
        <f t="shared" si="63"/>
        <v>560.08287348103477</v>
      </c>
      <c r="Y138" s="173">
        <f t="shared" si="54"/>
        <v>6720.9944817724172</v>
      </c>
      <c r="AA138" s="179">
        <f t="shared" si="64"/>
        <v>0</v>
      </c>
      <c r="AB138" s="19">
        <f t="shared" si="55"/>
        <v>2.6312702304679636E-2</v>
      </c>
    </row>
    <row r="139" spans="1:28" ht="12">
      <c r="A139" s="50" t="s">
        <v>84</v>
      </c>
      <c r="B139" s="41"/>
      <c r="C139" s="64">
        <f>B139*4.3333*2</f>
        <v>0</v>
      </c>
      <c r="D139" s="1">
        <v>4</v>
      </c>
      <c r="E139" s="36">
        <f t="shared" si="48"/>
        <v>0</v>
      </c>
      <c r="F139" s="41">
        <f t="shared" si="57"/>
        <v>0</v>
      </c>
      <c r="G139" s="1">
        <v>52</v>
      </c>
      <c r="I139" s="53">
        <v>71.19</v>
      </c>
      <c r="J139" s="4">
        <f t="shared" si="49"/>
        <v>0</v>
      </c>
      <c r="K139" s="4">
        <f t="shared" si="50"/>
        <v>0</v>
      </c>
      <c r="L139" s="34">
        <f t="shared" si="51"/>
        <v>580</v>
      </c>
      <c r="M139" s="2">
        <f t="shared" si="56"/>
        <v>254.89294093111656</v>
      </c>
      <c r="N139" s="54">
        <f t="shared" si="52"/>
        <v>0</v>
      </c>
      <c r="O139" s="35">
        <f t="shared" si="58"/>
        <v>0</v>
      </c>
      <c r="Q139" s="49">
        <f t="shared" si="53"/>
        <v>1.8377781041133507</v>
      </c>
      <c r="R139" s="166"/>
      <c r="S139" s="166">
        <f t="shared" si="59"/>
        <v>3.5423172956784835E-2</v>
      </c>
      <c r="T139" s="170">
        <f t="shared" si="60"/>
        <v>1.8732012770701356</v>
      </c>
      <c r="V139" s="166">
        <f t="shared" si="61"/>
        <v>73.063201277070135</v>
      </c>
      <c r="W139" s="171">
        <f t="shared" si="62"/>
        <v>0</v>
      </c>
      <c r="X139" s="171">
        <f t="shared" si="63"/>
        <v>0</v>
      </c>
      <c r="Y139" s="173">
        <f t="shared" si="54"/>
        <v>0</v>
      </c>
      <c r="AA139" s="179">
        <f t="shared" si="64"/>
        <v>0</v>
      </c>
      <c r="AB139" s="19">
        <f t="shared" si="55"/>
        <v>2.6312702304679636E-2</v>
      </c>
    </row>
    <row r="140" spans="1:28" ht="12">
      <c r="A140" s="50" t="s">
        <v>85</v>
      </c>
      <c r="B140" s="41"/>
      <c r="C140" s="64">
        <f>B140*4.3333*3</f>
        <v>0</v>
      </c>
      <c r="D140" s="1">
        <v>4</v>
      </c>
      <c r="E140" s="36">
        <f t="shared" si="48"/>
        <v>0</v>
      </c>
      <c r="F140" s="41">
        <f t="shared" si="57"/>
        <v>0</v>
      </c>
      <c r="G140" s="1">
        <v>52</v>
      </c>
      <c r="I140" s="53">
        <v>71.19</v>
      </c>
      <c r="J140" s="4">
        <f t="shared" ref="J140:J157" si="66">+C140*I140</f>
        <v>0</v>
      </c>
      <c r="K140" s="4">
        <f t="shared" si="50"/>
        <v>0</v>
      </c>
      <c r="L140" s="34">
        <f t="shared" ref="L140:L166" si="67">+D140*L$16</f>
        <v>580</v>
      </c>
      <c r="M140" s="2">
        <f t="shared" si="56"/>
        <v>254.89294093111656</v>
      </c>
      <c r="N140" s="54">
        <f t="shared" ref="N140:N166" si="68">ROUND((C140*L140*12)/2000,2)</f>
        <v>0</v>
      </c>
      <c r="O140" s="35">
        <f t="shared" si="58"/>
        <v>0</v>
      </c>
      <c r="Q140" s="49">
        <f t="shared" si="53"/>
        <v>1.8377781041133507</v>
      </c>
      <c r="R140" s="166"/>
      <c r="S140" s="166">
        <f t="shared" si="59"/>
        <v>3.5423172956784835E-2</v>
      </c>
      <c r="T140" s="170">
        <f t="shared" si="60"/>
        <v>1.8732012770701356</v>
      </c>
      <c r="V140" s="166">
        <f t="shared" si="61"/>
        <v>73.063201277070135</v>
      </c>
      <c r="W140" s="171">
        <f t="shared" si="62"/>
        <v>0</v>
      </c>
      <c r="X140" s="171">
        <f t="shared" si="63"/>
        <v>0</v>
      </c>
      <c r="Y140" s="173">
        <f t="shared" si="54"/>
        <v>0</v>
      </c>
      <c r="AA140" s="179">
        <f t="shared" si="64"/>
        <v>0</v>
      </c>
      <c r="AB140" s="19">
        <f t="shared" si="55"/>
        <v>2.6312702304679636E-2</v>
      </c>
    </row>
    <row r="141" spans="1:28" ht="12">
      <c r="A141" s="50" t="s">
        <v>86</v>
      </c>
      <c r="B141" s="41"/>
      <c r="C141" s="64">
        <f>(B141*4.3333)*4</f>
        <v>0</v>
      </c>
      <c r="D141" s="1">
        <v>4</v>
      </c>
      <c r="E141" s="36">
        <f t="shared" si="48"/>
        <v>0</v>
      </c>
      <c r="F141" s="41">
        <f t="shared" si="57"/>
        <v>0</v>
      </c>
      <c r="G141" s="1">
        <v>52</v>
      </c>
      <c r="I141" s="53">
        <v>71.19</v>
      </c>
      <c r="J141" s="4">
        <f t="shared" si="66"/>
        <v>0</v>
      </c>
      <c r="K141" s="4">
        <f t="shared" si="50"/>
        <v>0</v>
      </c>
      <c r="L141" s="34">
        <f t="shared" si="67"/>
        <v>580</v>
      </c>
      <c r="M141" s="2">
        <f t="shared" si="56"/>
        <v>254.89294093111656</v>
      </c>
      <c r="N141" s="54">
        <f t="shared" si="68"/>
        <v>0</v>
      </c>
      <c r="O141" s="35">
        <f t="shared" si="58"/>
        <v>0</v>
      </c>
      <c r="Q141" s="49">
        <f t="shared" si="53"/>
        <v>1.8377781041133507</v>
      </c>
      <c r="R141" s="166"/>
      <c r="S141" s="166">
        <f t="shared" si="59"/>
        <v>3.5423172956784835E-2</v>
      </c>
      <c r="T141" s="170">
        <f t="shared" si="60"/>
        <v>1.8732012770701356</v>
      </c>
      <c r="V141" s="166">
        <f t="shared" si="61"/>
        <v>73.063201277070135</v>
      </c>
      <c r="W141" s="171">
        <f t="shared" si="62"/>
        <v>0</v>
      </c>
      <c r="X141" s="171">
        <f t="shared" si="63"/>
        <v>0</v>
      </c>
      <c r="Y141" s="173">
        <f t="shared" si="54"/>
        <v>0</v>
      </c>
      <c r="AA141" s="179">
        <f t="shared" si="64"/>
        <v>0</v>
      </c>
      <c r="AB141" s="19">
        <f t="shared" si="55"/>
        <v>2.6312702304679636E-2</v>
      </c>
    </row>
    <row r="142" spans="1:28" ht="12">
      <c r="A142" s="50" t="s">
        <v>185</v>
      </c>
      <c r="B142" s="41"/>
      <c r="C142" s="64">
        <f>(B142*4.3333)*6</f>
        <v>0</v>
      </c>
      <c r="D142" s="1">
        <v>4</v>
      </c>
      <c r="E142" s="36">
        <f t="shared" si="48"/>
        <v>0</v>
      </c>
      <c r="F142" s="52">
        <f t="shared" si="57"/>
        <v>0</v>
      </c>
      <c r="G142" s="1">
        <v>52</v>
      </c>
      <c r="I142" s="53">
        <v>71.19</v>
      </c>
      <c r="J142" s="4">
        <f t="shared" si="66"/>
        <v>0</v>
      </c>
      <c r="K142" s="4">
        <f t="shared" si="50"/>
        <v>0</v>
      </c>
      <c r="L142" s="34">
        <f t="shared" si="67"/>
        <v>580</v>
      </c>
      <c r="M142" s="2">
        <f t="shared" si="56"/>
        <v>254.89294093111656</v>
      </c>
      <c r="N142" s="54">
        <f t="shared" si="68"/>
        <v>0</v>
      </c>
      <c r="O142" s="35">
        <f t="shared" si="58"/>
        <v>0</v>
      </c>
      <c r="Q142" s="49">
        <f t="shared" si="53"/>
        <v>1.8377781041133507</v>
      </c>
      <c r="R142" s="166"/>
      <c r="S142" s="166">
        <f t="shared" si="59"/>
        <v>3.5423172956784835E-2</v>
      </c>
      <c r="T142" s="170">
        <f t="shared" si="60"/>
        <v>1.8732012770701356</v>
      </c>
      <c r="V142" s="166">
        <f t="shared" si="61"/>
        <v>73.063201277070135</v>
      </c>
      <c r="W142" s="171">
        <f t="shared" si="62"/>
        <v>0</v>
      </c>
      <c r="X142" s="171">
        <f t="shared" si="63"/>
        <v>0</v>
      </c>
      <c r="Y142" s="173">
        <f t="shared" si="54"/>
        <v>0</v>
      </c>
      <c r="AA142" s="179">
        <f t="shared" si="64"/>
        <v>0</v>
      </c>
      <c r="AB142" s="19">
        <f t="shared" si="55"/>
        <v>2.6312702304679636E-2</v>
      </c>
    </row>
    <row r="143" spans="1:28" ht="12">
      <c r="A143" s="50" t="s">
        <v>186</v>
      </c>
      <c r="B143" s="41"/>
      <c r="C143" s="64">
        <f>B143*4.33</f>
        <v>0</v>
      </c>
      <c r="D143" s="1">
        <f>5*3.5</f>
        <v>17.5</v>
      </c>
      <c r="E143" s="36">
        <f>C143*D143</f>
        <v>0</v>
      </c>
      <c r="F143" s="41">
        <f>B143</f>
        <v>0</v>
      </c>
      <c r="G143" s="1">
        <v>52</v>
      </c>
      <c r="I143" s="53">
        <v>341.13</v>
      </c>
      <c r="J143" s="4">
        <f t="shared" si="66"/>
        <v>0</v>
      </c>
      <c r="K143" s="4">
        <f t="shared" si="50"/>
        <v>0</v>
      </c>
      <c r="L143" s="34">
        <f t="shared" si="67"/>
        <v>2537.5</v>
      </c>
      <c r="M143" s="2">
        <f t="shared" si="56"/>
        <v>1115.1566165736349</v>
      </c>
      <c r="N143" s="54">
        <f t="shared" si="68"/>
        <v>0</v>
      </c>
      <c r="O143" s="35">
        <f t="shared" si="58"/>
        <v>0</v>
      </c>
      <c r="Q143" s="49">
        <f>M143*$R$12</f>
        <v>8.0402792054959082</v>
      </c>
      <c r="R143" s="166"/>
      <c r="S143" s="166">
        <f>Q143*$U$11</f>
        <v>0.15497638168593364</v>
      </c>
      <c r="T143" s="170">
        <f>+Q143+S143</f>
        <v>8.1952555871818422</v>
      </c>
      <c r="V143" s="166">
        <f>I143+T143</f>
        <v>349.32525558718186</v>
      </c>
      <c r="W143" s="171">
        <f>C143*V143</f>
        <v>0</v>
      </c>
      <c r="X143" s="171">
        <f>W143-J143</f>
        <v>0</v>
      </c>
      <c r="Y143" s="173">
        <f t="shared" si="54"/>
        <v>0</v>
      </c>
      <c r="AA143" s="179">
        <f>O143*$R$11</f>
        <v>0</v>
      </c>
      <c r="AB143" s="19">
        <f>IF(I143=0,"",V143/I143-1)</f>
        <v>2.4023848934956904E-2</v>
      </c>
    </row>
    <row r="144" spans="1:28" ht="12">
      <c r="A144" s="50" t="s">
        <v>190</v>
      </c>
      <c r="B144" s="41"/>
      <c r="C144" s="64">
        <f>B144*4.33</f>
        <v>0</v>
      </c>
      <c r="D144" s="1">
        <f>5*5</f>
        <v>25</v>
      </c>
      <c r="E144" s="36">
        <f>C144*D144</f>
        <v>0</v>
      </c>
      <c r="F144" s="41">
        <f>B144</f>
        <v>0</v>
      </c>
      <c r="G144" s="1">
        <v>52</v>
      </c>
      <c r="I144" s="53">
        <v>420</v>
      </c>
      <c r="J144" s="4">
        <f t="shared" si="66"/>
        <v>0</v>
      </c>
      <c r="K144" s="4">
        <f t="shared" si="50"/>
        <v>0</v>
      </c>
      <c r="L144" s="34">
        <f t="shared" si="67"/>
        <v>3625</v>
      </c>
      <c r="M144" s="2">
        <f t="shared" si="56"/>
        <v>1593.0808808194786</v>
      </c>
      <c r="N144" s="54">
        <f t="shared" si="68"/>
        <v>0</v>
      </c>
      <c r="O144" s="35">
        <f t="shared" si="58"/>
        <v>0</v>
      </c>
      <c r="Q144" s="49">
        <f>M144*$R$12</f>
        <v>11.486113150708443</v>
      </c>
      <c r="R144" s="166"/>
      <c r="S144" s="166">
        <f>Q144*$U$11</f>
        <v>0.22139483097990523</v>
      </c>
      <c r="T144" s="170">
        <f>+Q144+S144</f>
        <v>11.707507981688348</v>
      </c>
      <c r="V144" s="166">
        <f>I144+T144</f>
        <v>431.70750798168837</v>
      </c>
      <c r="W144" s="171">
        <f>C144*V144</f>
        <v>0</v>
      </c>
      <c r="X144" s="171">
        <f>W144-J144</f>
        <v>0</v>
      </c>
      <c r="Y144" s="173">
        <f t="shared" si="54"/>
        <v>0</v>
      </c>
      <c r="AA144" s="179">
        <f>O144*$R$11</f>
        <v>0</v>
      </c>
      <c r="AB144" s="19">
        <f>IF(I144=0,"",V144/I144-1)</f>
        <v>2.7875019004020007E-2</v>
      </c>
    </row>
    <row r="145" spans="1:28" ht="12">
      <c r="A145" s="50" t="s">
        <v>87</v>
      </c>
      <c r="B145" s="41"/>
      <c r="C145" s="64">
        <f>B145*4.33</f>
        <v>0</v>
      </c>
      <c r="D145" s="1">
        <f>6*3.5</f>
        <v>21</v>
      </c>
      <c r="E145" s="36">
        <f t="shared" si="48"/>
        <v>0</v>
      </c>
      <c r="F145" s="41">
        <f t="shared" si="57"/>
        <v>0</v>
      </c>
      <c r="G145" s="1">
        <v>52</v>
      </c>
      <c r="I145" s="53">
        <v>404.99</v>
      </c>
      <c r="J145" s="4">
        <f t="shared" si="66"/>
        <v>0</v>
      </c>
      <c r="K145" s="4">
        <f t="shared" si="50"/>
        <v>0</v>
      </c>
      <c r="L145" s="34">
        <f t="shared" si="67"/>
        <v>3045</v>
      </c>
      <c r="M145" s="2">
        <f t="shared" si="56"/>
        <v>1338.1879398883621</v>
      </c>
      <c r="N145" s="54">
        <f t="shared" si="68"/>
        <v>0</v>
      </c>
      <c r="O145" s="35">
        <f t="shared" si="58"/>
        <v>0</v>
      </c>
      <c r="Q145" s="49">
        <f t="shared" si="53"/>
        <v>9.6483350465950917</v>
      </c>
      <c r="R145" s="166"/>
      <c r="S145" s="166">
        <f t="shared" si="59"/>
        <v>0.18597165802312041</v>
      </c>
      <c r="T145" s="170">
        <f t="shared" si="60"/>
        <v>9.8343067046182124</v>
      </c>
      <c r="V145" s="166">
        <f t="shared" si="61"/>
        <v>414.82430670461821</v>
      </c>
      <c r="W145" s="171">
        <f t="shared" si="62"/>
        <v>0</v>
      </c>
      <c r="X145" s="171">
        <f t="shared" si="63"/>
        <v>0</v>
      </c>
      <c r="Y145" s="173">
        <f t="shared" si="54"/>
        <v>0</v>
      </c>
      <c r="AA145" s="179">
        <f t="shared" si="64"/>
        <v>0</v>
      </c>
      <c r="AB145" s="19">
        <f t="shared" si="55"/>
        <v>2.4282838353090641E-2</v>
      </c>
    </row>
    <row r="146" spans="1:28" ht="12">
      <c r="A146" s="50" t="s">
        <v>191</v>
      </c>
      <c r="B146" s="41"/>
      <c r="C146" s="64">
        <f>B146*4.33</f>
        <v>0</v>
      </c>
      <c r="D146" s="1">
        <f>6*5</f>
        <v>30</v>
      </c>
      <c r="E146" s="36">
        <f t="shared" si="48"/>
        <v>0</v>
      </c>
      <c r="F146" s="41">
        <f t="shared" si="57"/>
        <v>0</v>
      </c>
      <c r="G146" s="1">
        <v>52</v>
      </c>
      <c r="I146" s="53">
        <v>484.18</v>
      </c>
      <c r="J146" s="4">
        <f t="shared" si="66"/>
        <v>0</v>
      </c>
      <c r="K146" s="4">
        <f t="shared" si="50"/>
        <v>0</v>
      </c>
      <c r="L146" s="34">
        <f t="shared" si="67"/>
        <v>4350</v>
      </c>
      <c r="M146" s="2">
        <f t="shared" si="56"/>
        <v>1911.6970569833743</v>
      </c>
      <c r="N146" s="54">
        <f t="shared" si="68"/>
        <v>0</v>
      </c>
      <c r="O146" s="35">
        <f t="shared" si="58"/>
        <v>0</v>
      </c>
      <c r="Q146" s="49">
        <f t="shared" si="53"/>
        <v>13.78333578085013</v>
      </c>
      <c r="R146" s="166"/>
      <c r="S146" s="166">
        <f t="shared" si="59"/>
        <v>0.26567379717588629</v>
      </c>
      <c r="T146" s="170">
        <f t="shared" si="60"/>
        <v>14.049009578026016</v>
      </c>
      <c r="V146" s="166">
        <f t="shared" si="61"/>
        <v>498.22900957802602</v>
      </c>
      <c r="W146" s="171">
        <f t="shared" si="62"/>
        <v>0</v>
      </c>
      <c r="X146" s="171">
        <f t="shared" si="63"/>
        <v>0</v>
      </c>
      <c r="Y146" s="173">
        <f t="shared" si="54"/>
        <v>0</v>
      </c>
      <c r="AA146" s="179">
        <f t="shared" si="64"/>
        <v>0</v>
      </c>
      <c r="AB146" s="19">
        <f t="shared" si="55"/>
        <v>2.9016088186265554E-2</v>
      </c>
    </row>
    <row r="147" spans="1:28" ht="12">
      <c r="A147" s="50" t="s">
        <v>88</v>
      </c>
      <c r="B147" s="41"/>
      <c r="C147" s="64">
        <f>+B147*1</f>
        <v>0</v>
      </c>
      <c r="D147" s="1">
        <v>6</v>
      </c>
      <c r="E147" s="36">
        <f t="shared" si="48"/>
        <v>0</v>
      </c>
      <c r="F147" s="41">
        <f t="shared" si="57"/>
        <v>0</v>
      </c>
      <c r="G147" s="1">
        <v>52</v>
      </c>
      <c r="I147" s="53">
        <v>111.88</v>
      </c>
      <c r="J147" s="4">
        <f t="shared" si="66"/>
        <v>0</v>
      </c>
      <c r="K147" s="4">
        <f t="shared" si="50"/>
        <v>0</v>
      </c>
      <c r="L147" s="34">
        <f t="shared" si="67"/>
        <v>870</v>
      </c>
      <c r="M147" s="2">
        <f t="shared" si="56"/>
        <v>382.33941139667485</v>
      </c>
      <c r="N147" s="54">
        <f t="shared" si="68"/>
        <v>0</v>
      </c>
      <c r="O147" s="35">
        <f t="shared" si="58"/>
        <v>0</v>
      </c>
      <c r="Q147" s="49">
        <f t="shared" si="53"/>
        <v>2.756667156170026</v>
      </c>
      <c r="R147" s="167"/>
      <c r="S147" s="166">
        <f t="shared" si="59"/>
        <v>5.3134759435177252E-2</v>
      </c>
      <c r="T147" s="170">
        <f t="shared" si="60"/>
        <v>2.8098019156052034</v>
      </c>
      <c r="V147" s="166">
        <f t="shared" si="61"/>
        <v>114.6898019156052</v>
      </c>
      <c r="W147" s="171">
        <f t="shared" si="62"/>
        <v>0</v>
      </c>
      <c r="X147" s="171">
        <f t="shared" si="63"/>
        <v>0</v>
      </c>
      <c r="Y147" s="173">
        <f t="shared" si="54"/>
        <v>0</v>
      </c>
      <c r="AA147" s="179">
        <f t="shared" si="64"/>
        <v>0</v>
      </c>
      <c r="AB147" s="19">
        <f t="shared" si="55"/>
        <v>2.5114425416564279E-2</v>
      </c>
    </row>
    <row r="148" spans="1:28" ht="12">
      <c r="A148" s="50" t="s">
        <v>89</v>
      </c>
      <c r="B148" s="41"/>
      <c r="C148" s="64">
        <f>B148*4.3333</f>
        <v>0</v>
      </c>
      <c r="D148" s="1">
        <v>6</v>
      </c>
      <c r="E148" s="36">
        <f t="shared" si="48"/>
        <v>0</v>
      </c>
      <c r="F148" s="41">
        <f t="shared" si="57"/>
        <v>0</v>
      </c>
      <c r="G148" s="1">
        <v>52</v>
      </c>
      <c r="I148" s="53">
        <v>103.93</v>
      </c>
      <c r="J148" s="4">
        <f t="shared" si="66"/>
        <v>0</v>
      </c>
      <c r="K148" s="4">
        <f t="shared" ref="K148:K166" si="69">J148*12</f>
        <v>0</v>
      </c>
      <c r="L148" s="34">
        <f t="shared" si="67"/>
        <v>870</v>
      </c>
      <c r="M148" s="2">
        <f t="shared" si="56"/>
        <v>382.33941139667485</v>
      </c>
      <c r="N148" s="54">
        <f t="shared" si="68"/>
        <v>0</v>
      </c>
      <c r="O148" s="35">
        <f t="shared" si="58"/>
        <v>0</v>
      </c>
      <c r="Q148" s="49">
        <f t="shared" si="53"/>
        <v>2.756667156170026</v>
      </c>
      <c r="R148" s="166"/>
      <c r="S148" s="166">
        <f t="shared" si="59"/>
        <v>5.3134759435177252E-2</v>
      </c>
      <c r="T148" s="170">
        <f t="shared" si="60"/>
        <v>2.8098019156052034</v>
      </c>
      <c r="V148" s="166">
        <f t="shared" si="61"/>
        <v>106.73980191560521</v>
      </c>
      <c r="W148" s="171">
        <f t="shared" si="62"/>
        <v>0</v>
      </c>
      <c r="X148" s="171">
        <f t="shared" si="63"/>
        <v>0</v>
      </c>
      <c r="Y148" s="173">
        <f t="shared" si="54"/>
        <v>0</v>
      </c>
      <c r="AA148" s="179">
        <f t="shared" si="64"/>
        <v>0</v>
      </c>
      <c r="AB148" s="19">
        <f t="shared" si="55"/>
        <v>2.7035523098289271E-2</v>
      </c>
    </row>
    <row r="149" spans="1:28" ht="12">
      <c r="A149" s="50" t="s">
        <v>90</v>
      </c>
      <c r="B149" s="41"/>
      <c r="C149" s="64">
        <f>B149*4.3333*2</f>
        <v>0</v>
      </c>
      <c r="D149" s="1">
        <v>6</v>
      </c>
      <c r="E149" s="36">
        <f t="shared" si="48"/>
        <v>0</v>
      </c>
      <c r="F149" s="41">
        <f t="shared" si="57"/>
        <v>0</v>
      </c>
      <c r="G149" s="1">
        <v>52</v>
      </c>
      <c r="I149" s="53">
        <v>103.93</v>
      </c>
      <c r="J149" s="4">
        <f t="shared" si="66"/>
        <v>0</v>
      </c>
      <c r="K149" s="4">
        <f t="shared" si="69"/>
        <v>0</v>
      </c>
      <c r="L149" s="34">
        <f t="shared" si="67"/>
        <v>870</v>
      </c>
      <c r="M149" s="2">
        <f t="shared" si="56"/>
        <v>382.33941139667485</v>
      </c>
      <c r="N149" s="54">
        <f t="shared" si="68"/>
        <v>0</v>
      </c>
      <c r="O149" s="35">
        <f t="shared" si="58"/>
        <v>0</v>
      </c>
      <c r="Q149" s="49">
        <f t="shared" si="53"/>
        <v>2.756667156170026</v>
      </c>
      <c r="R149" s="166"/>
      <c r="S149" s="166">
        <f t="shared" si="59"/>
        <v>5.3134759435177252E-2</v>
      </c>
      <c r="T149" s="170">
        <f t="shared" si="60"/>
        <v>2.8098019156052034</v>
      </c>
      <c r="V149" s="166">
        <f t="shared" si="61"/>
        <v>106.73980191560521</v>
      </c>
      <c r="W149" s="171">
        <f t="shared" si="62"/>
        <v>0</v>
      </c>
      <c r="X149" s="171">
        <f t="shared" si="63"/>
        <v>0</v>
      </c>
      <c r="Y149" s="173">
        <f t="shared" si="54"/>
        <v>0</v>
      </c>
      <c r="AA149" s="179">
        <f t="shared" si="64"/>
        <v>0</v>
      </c>
      <c r="AB149" s="19">
        <f t="shared" si="55"/>
        <v>2.7035523098289271E-2</v>
      </c>
    </row>
    <row r="150" spans="1:28" ht="12">
      <c r="A150" s="50" t="s">
        <v>91</v>
      </c>
      <c r="B150" s="41"/>
      <c r="C150" s="64">
        <f>B150*4.3333*3</f>
        <v>0</v>
      </c>
      <c r="D150" s="1">
        <v>6</v>
      </c>
      <c r="E150" s="36">
        <f t="shared" si="48"/>
        <v>0</v>
      </c>
      <c r="F150" s="41">
        <f t="shared" si="57"/>
        <v>0</v>
      </c>
      <c r="G150" s="1">
        <v>52</v>
      </c>
      <c r="I150" s="53">
        <v>103.93</v>
      </c>
      <c r="J150" s="4">
        <f t="shared" si="66"/>
        <v>0</v>
      </c>
      <c r="K150" s="4">
        <f t="shared" si="69"/>
        <v>0</v>
      </c>
      <c r="L150" s="34">
        <f t="shared" si="67"/>
        <v>870</v>
      </c>
      <c r="M150" s="2">
        <f t="shared" si="56"/>
        <v>382.33941139667485</v>
      </c>
      <c r="N150" s="54">
        <f t="shared" si="68"/>
        <v>0</v>
      </c>
      <c r="O150" s="35">
        <f t="shared" si="58"/>
        <v>0</v>
      </c>
      <c r="Q150" s="49">
        <f t="shared" si="53"/>
        <v>2.756667156170026</v>
      </c>
      <c r="R150" s="166"/>
      <c r="S150" s="166">
        <f t="shared" si="59"/>
        <v>5.3134759435177252E-2</v>
      </c>
      <c r="T150" s="170">
        <f t="shared" si="60"/>
        <v>2.8098019156052034</v>
      </c>
      <c r="V150" s="166">
        <f t="shared" si="61"/>
        <v>106.73980191560521</v>
      </c>
      <c r="W150" s="171">
        <f t="shared" si="62"/>
        <v>0</v>
      </c>
      <c r="X150" s="171">
        <f t="shared" si="63"/>
        <v>0</v>
      </c>
      <c r="Y150" s="173">
        <f t="shared" si="54"/>
        <v>0</v>
      </c>
      <c r="AA150" s="179">
        <f t="shared" si="64"/>
        <v>0</v>
      </c>
      <c r="AB150" s="19">
        <f t="shared" si="55"/>
        <v>2.7035523098289271E-2</v>
      </c>
    </row>
    <row r="151" spans="1:28" ht="12">
      <c r="A151" s="50" t="s">
        <v>92</v>
      </c>
      <c r="B151" s="41"/>
      <c r="C151" s="64">
        <f>B151*4.3333*4</f>
        <v>0</v>
      </c>
      <c r="D151" s="1">
        <v>6</v>
      </c>
      <c r="E151" s="36">
        <f t="shared" si="48"/>
        <v>0</v>
      </c>
      <c r="F151" s="41">
        <f t="shared" si="57"/>
        <v>0</v>
      </c>
      <c r="G151" s="1">
        <v>52</v>
      </c>
      <c r="I151" s="53">
        <v>103.93</v>
      </c>
      <c r="J151" s="4">
        <f t="shared" si="66"/>
        <v>0</v>
      </c>
      <c r="K151" s="4">
        <f t="shared" si="69"/>
        <v>0</v>
      </c>
      <c r="L151" s="34">
        <f t="shared" si="67"/>
        <v>870</v>
      </c>
      <c r="M151" s="2">
        <f t="shared" si="56"/>
        <v>382.33941139667485</v>
      </c>
      <c r="N151" s="54">
        <f t="shared" si="68"/>
        <v>0</v>
      </c>
      <c r="O151" s="35">
        <f t="shared" si="58"/>
        <v>0</v>
      </c>
      <c r="Q151" s="49">
        <f t="shared" si="53"/>
        <v>2.756667156170026</v>
      </c>
      <c r="R151" s="166"/>
      <c r="S151" s="166">
        <f t="shared" si="59"/>
        <v>5.3134759435177252E-2</v>
      </c>
      <c r="T151" s="170">
        <f t="shared" si="60"/>
        <v>2.8098019156052034</v>
      </c>
      <c r="V151" s="166">
        <f t="shared" si="61"/>
        <v>106.73980191560521</v>
      </c>
      <c r="W151" s="171">
        <f t="shared" si="62"/>
        <v>0</v>
      </c>
      <c r="X151" s="171">
        <f t="shared" si="63"/>
        <v>0</v>
      </c>
      <c r="Y151" s="173">
        <f t="shared" si="54"/>
        <v>0</v>
      </c>
      <c r="AA151" s="179">
        <f t="shared" si="64"/>
        <v>0</v>
      </c>
      <c r="AB151" s="19">
        <f t="shared" si="55"/>
        <v>2.7035523098289271E-2</v>
      </c>
    </row>
    <row r="152" spans="1:28" ht="12">
      <c r="A152" s="50" t="s">
        <v>93</v>
      </c>
      <c r="B152" s="41"/>
      <c r="C152" s="64">
        <f>+B152*1</f>
        <v>0</v>
      </c>
      <c r="D152" s="1">
        <v>8</v>
      </c>
      <c r="E152" s="36">
        <f t="shared" si="48"/>
        <v>0</v>
      </c>
      <c r="F152" s="41">
        <f t="shared" si="57"/>
        <v>0</v>
      </c>
      <c r="G152" s="1">
        <v>52</v>
      </c>
      <c r="I152" s="53">
        <v>151.38</v>
      </c>
      <c r="J152" s="4">
        <f t="shared" si="66"/>
        <v>0</v>
      </c>
      <c r="K152" s="4">
        <f t="shared" si="69"/>
        <v>0</v>
      </c>
      <c r="L152" s="34">
        <f t="shared" si="67"/>
        <v>1160</v>
      </c>
      <c r="M152" s="2">
        <f t="shared" si="56"/>
        <v>509.78588186223311</v>
      </c>
      <c r="N152" s="54">
        <f t="shared" si="68"/>
        <v>0</v>
      </c>
      <c r="O152" s="35">
        <f t="shared" si="58"/>
        <v>0</v>
      </c>
      <c r="Q152" s="49">
        <f t="shared" si="53"/>
        <v>3.6755562082267015</v>
      </c>
      <c r="R152" s="167"/>
      <c r="S152" s="166">
        <f t="shared" si="59"/>
        <v>7.0846345913569669E-2</v>
      </c>
      <c r="T152" s="170">
        <f t="shared" si="60"/>
        <v>3.7464025541402712</v>
      </c>
      <c r="V152" s="166">
        <f t="shared" si="61"/>
        <v>155.12640255414027</v>
      </c>
      <c r="W152" s="171">
        <f t="shared" si="62"/>
        <v>0</v>
      </c>
      <c r="X152" s="171">
        <f t="shared" si="63"/>
        <v>0</v>
      </c>
      <c r="Y152" s="173">
        <f t="shared" si="54"/>
        <v>0</v>
      </c>
      <c r="AA152" s="179">
        <f t="shared" si="64"/>
        <v>0</v>
      </c>
      <c r="AB152" s="19">
        <f t="shared" si="55"/>
        <v>2.4748332369799675E-2</v>
      </c>
    </row>
    <row r="153" spans="1:28" ht="12">
      <c r="A153" s="50" t="s">
        <v>94</v>
      </c>
      <c r="B153" s="41">
        <v>13</v>
      </c>
      <c r="C153" s="64">
        <f>B153*4.3333</f>
        <v>56.332900000000002</v>
      </c>
      <c r="D153" s="1">
        <v>8</v>
      </c>
      <c r="E153" s="36">
        <f t="shared" si="48"/>
        <v>450.66320000000002</v>
      </c>
      <c r="F153" s="41">
        <f t="shared" si="57"/>
        <v>13</v>
      </c>
      <c r="G153" s="1">
        <v>52</v>
      </c>
      <c r="I153" s="53">
        <v>140.4</v>
      </c>
      <c r="J153" s="4">
        <f t="shared" si="66"/>
        <v>7909.1391600000006</v>
      </c>
      <c r="K153" s="4">
        <f t="shared" si="69"/>
        <v>94909.669920000015</v>
      </c>
      <c r="L153" s="34">
        <f t="shared" si="67"/>
        <v>1160</v>
      </c>
      <c r="M153" s="2">
        <f t="shared" si="56"/>
        <v>509.78588186223311</v>
      </c>
      <c r="N153" s="54">
        <f t="shared" si="68"/>
        <v>392.08</v>
      </c>
      <c r="O153" s="35">
        <f t="shared" si="58"/>
        <v>0</v>
      </c>
      <c r="Q153" s="49">
        <f t="shared" si="53"/>
        <v>3.6755562082267015</v>
      </c>
      <c r="R153" s="166"/>
      <c r="S153" s="166">
        <f t="shared" si="59"/>
        <v>7.0846345913569669E-2</v>
      </c>
      <c r="T153" s="170">
        <f t="shared" si="60"/>
        <v>3.7464025541402712</v>
      </c>
      <c r="V153" s="166">
        <f t="shared" si="61"/>
        <v>144.14640255414028</v>
      </c>
      <c r="W153" s="171">
        <f t="shared" si="62"/>
        <v>8120.1848804421297</v>
      </c>
      <c r="X153" s="171">
        <f t="shared" si="63"/>
        <v>211.0457204421291</v>
      </c>
      <c r="Y153" s="173">
        <f t="shared" si="54"/>
        <v>2532.5486453055491</v>
      </c>
      <c r="AA153" s="179">
        <f t="shared" si="64"/>
        <v>0</v>
      </c>
      <c r="AB153" s="19">
        <f t="shared" si="55"/>
        <v>2.6683778875642883E-2</v>
      </c>
    </row>
    <row r="154" spans="1:28" ht="12">
      <c r="A154" s="50" t="s">
        <v>95</v>
      </c>
      <c r="B154" s="41"/>
      <c r="C154" s="64">
        <f>B154*4.3333*2</f>
        <v>0</v>
      </c>
      <c r="D154" s="1">
        <v>8</v>
      </c>
      <c r="E154" s="36">
        <f t="shared" si="48"/>
        <v>0</v>
      </c>
      <c r="F154" s="41">
        <f t="shared" si="57"/>
        <v>0</v>
      </c>
      <c r="G154" s="1">
        <v>52</v>
      </c>
      <c r="I154" s="53">
        <v>140.4</v>
      </c>
      <c r="J154" s="4">
        <f t="shared" si="66"/>
        <v>0</v>
      </c>
      <c r="K154" s="4">
        <f t="shared" si="69"/>
        <v>0</v>
      </c>
      <c r="L154" s="34">
        <f t="shared" si="67"/>
        <v>1160</v>
      </c>
      <c r="M154" s="2">
        <f t="shared" si="56"/>
        <v>509.78588186223311</v>
      </c>
      <c r="N154" s="54">
        <f t="shared" si="68"/>
        <v>0</v>
      </c>
      <c r="O154" s="35">
        <f t="shared" si="58"/>
        <v>0</v>
      </c>
      <c r="Q154" s="49">
        <f t="shared" si="53"/>
        <v>3.6755562082267015</v>
      </c>
      <c r="R154" s="166"/>
      <c r="S154" s="166">
        <f t="shared" si="59"/>
        <v>7.0846345913569669E-2</v>
      </c>
      <c r="T154" s="170">
        <f t="shared" si="60"/>
        <v>3.7464025541402712</v>
      </c>
      <c r="V154" s="166">
        <f t="shared" si="61"/>
        <v>144.14640255414028</v>
      </c>
      <c r="W154" s="171">
        <f t="shared" si="62"/>
        <v>0</v>
      </c>
      <c r="X154" s="171">
        <f t="shared" si="63"/>
        <v>0</v>
      </c>
      <c r="Y154" s="173">
        <f t="shared" si="54"/>
        <v>0</v>
      </c>
      <c r="AA154" s="179">
        <f t="shared" si="64"/>
        <v>0</v>
      </c>
      <c r="AB154" s="19">
        <f t="shared" si="55"/>
        <v>2.6683778875642883E-2</v>
      </c>
    </row>
    <row r="155" spans="1:28" ht="12">
      <c r="A155" s="50" t="s">
        <v>96</v>
      </c>
      <c r="B155" s="41"/>
      <c r="C155" s="64">
        <f>B155*4.3333*3</f>
        <v>0</v>
      </c>
      <c r="D155" s="1">
        <v>8</v>
      </c>
      <c r="E155" s="36">
        <f t="shared" si="48"/>
        <v>0</v>
      </c>
      <c r="F155" s="41">
        <f t="shared" si="57"/>
        <v>0</v>
      </c>
      <c r="G155" s="1">
        <v>52</v>
      </c>
      <c r="I155" s="53">
        <v>140.4</v>
      </c>
      <c r="J155" s="4">
        <f t="shared" si="66"/>
        <v>0</v>
      </c>
      <c r="K155" s="4">
        <f t="shared" si="69"/>
        <v>0</v>
      </c>
      <c r="L155" s="34">
        <f t="shared" si="67"/>
        <v>1160</v>
      </c>
      <c r="M155" s="2">
        <f t="shared" si="56"/>
        <v>509.78588186223311</v>
      </c>
      <c r="N155" s="54">
        <f t="shared" si="68"/>
        <v>0</v>
      </c>
      <c r="O155" s="35">
        <f t="shared" si="58"/>
        <v>0</v>
      </c>
      <c r="Q155" s="49">
        <f t="shared" si="53"/>
        <v>3.6755562082267015</v>
      </c>
      <c r="R155" s="166"/>
      <c r="S155" s="166">
        <f t="shared" si="59"/>
        <v>7.0846345913569669E-2</v>
      </c>
      <c r="T155" s="170">
        <f t="shared" si="60"/>
        <v>3.7464025541402712</v>
      </c>
      <c r="V155" s="166">
        <f t="shared" si="61"/>
        <v>144.14640255414028</v>
      </c>
      <c r="W155" s="171">
        <f t="shared" si="62"/>
        <v>0</v>
      </c>
      <c r="X155" s="171">
        <f t="shared" si="63"/>
        <v>0</v>
      </c>
      <c r="Y155" s="173">
        <f t="shared" si="54"/>
        <v>0</v>
      </c>
      <c r="AA155" s="179">
        <f t="shared" si="64"/>
        <v>0</v>
      </c>
      <c r="AB155" s="19">
        <f t="shared" si="55"/>
        <v>2.6683778875642883E-2</v>
      </c>
    </row>
    <row r="156" spans="1:28" ht="12">
      <c r="A156" s="50" t="s">
        <v>97</v>
      </c>
      <c r="B156" s="41"/>
      <c r="C156" s="64">
        <f>B156*4.3333*4</f>
        <v>0</v>
      </c>
      <c r="D156" s="1">
        <v>8</v>
      </c>
      <c r="E156" s="36">
        <f t="shared" si="48"/>
        <v>0</v>
      </c>
      <c r="F156" s="41">
        <f t="shared" si="57"/>
        <v>0</v>
      </c>
      <c r="G156" s="1">
        <v>52</v>
      </c>
      <c r="I156" s="53">
        <v>140.4</v>
      </c>
      <c r="J156" s="4">
        <f t="shared" si="66"/>
        <v>0</v>
      </c>
      <c r="K156" s="4">
        <f t="shared" si="69"/>
        <v>0</v>
      </c>
      <c r="L156" s="34">
        <f t="shared" si="67"/>
        <v>1160</v>
      </c>
      <c r="M156" s="2">
        <f t="shared" si="56"/>
        <v>509.78588186223311</v>
      </c>
      <c r="N156" s="54">
        <f t="shared" si="68"/>
        <v>0</v>
      </c>
      <c r="O156" s="35">
        <f t="shared" si="58"/>
        <v>0</v>
      </c>
      <c r="Q156" s="49">
        <f t="shared" si="53"/>
        <v>3.6755562082267015</v>
      </c>
      <c r="R156" s="166"/>
      <c r="S156" s="166">
        <f t="shared" si="59"/>
        <v>7.0846345913569669E-2</v>
      </c>
      <c r="T156" s="170">
        <f t="shared" si="60"/>
        <v>3.7464025541402712</v>
      </c>
      <c r="V156" s="166">
        <f t="shared" si="61"/>
        <v>144.14640255414028</v>
      </c>
      <c r="W156" s="171">
        <f t="shared" si="62"/>
        <v>0</v>
      </c>
      <c r="X156" s="171">
        <f t="shared" si="63"/>
        <v>0</v>
      </c>
      <c r="Y156" s="173">
        <f t="shared" si="54"/>
        <v>0</v>
      </c>
      <c r="AA156" s="179">
        <f t="shared" si="64"/>
        <v>0</v>
      </c>
      <c r="AB156" s="19">
        <f t="shared" si="55"/>
        <v>2.6683778875642883E-2</v>
      </c>
    </row>
    <row r="157" spans="1:28" ht="12">
      <c r="A157" s="50" t="s">
        <v>98</v>
      </c>
      <c r="B157" s="41"/>
      <c r="C157" s="64">
        <f>B157*4.3333*5</f>
        <v>0</v>
      </c>
      <c r="D157" s="1">
        <v>8</v>
      </c>
      <c r="E157" s="36">
        <f t="shared" si="48"/>
        <v>0</v>
      </c>
      <c r="F157" s="41">
        <f t="shared" si="57"/>
        <v>0</v>
      </c>
      <c r="G157" s="1">
        <v>52</v>
      </c>
      <c r="I157" s="53">
        <v>140.4</v>
      </c>
      <c r="J157" s="4">
        <f t="shared" si="66"/>
        <v>0</v>
      </c>
      <c r="K157" s="4">
        <f t="shared" si="69"/>
        <v>0</v>
      </c>
      <c r="L157" s="34">
        <f t="shared" si="67"/>
        <v>1160</v>
      </c>
      <c r="M157" s="2">
        <f t="shared" si="56"/>
        <v>509.78588186223311</v>
      </c>
      <c r="N157" s="54">
        <f t="shared" si="68"/>
        <v>0</v>
      </c>
      <c r="O157" s="35">
        <f t="shared" si="58"/>
        <v>0</v>
      </c>
      <c r="Q157" s="49">
        <f t="shared" si="53"/>
        <v>3.6755562082267015</v>
      </c>
      <c r="R157" s="166"/>
      <c r="S157" s="166">
        <f t="shared" si="59"/>
        <v>7.0846345913569669E-2</v>
      </c>
      <c r="T157" s="170">
        <f t="shared" si="60"/>
        <v>3.7464025541402712</v>
      </c>
      <c r="V157" s="166">
        <f t="shared" si="61"/>
        <v>144.14640255414028</v>
      </c>
      <c r="W157" s="171">
        <f t="shared" si="62"/>
        <v>0</v>
      </c>
      <c r="X157" s="171">
        <f t="shared" si="63"/>
        <v>0</v>
      </c>
      <c r="Y157" s="173">
        <f t="shared" si="54"/>
        <v>0</v>
      </c>
      <c r="AA157" s="179">
        <f t="shared" si="64"/>
        <v>0</v>
      </c>
      <c r="AB157" s="19">
        <f t="shared" si="55"/>
        <v>2.6683778875642883E-2</v>
      </c>
    </row>
    <row r="158" spans="1:28" ht="12">
      <c r="A158" s="30" t="s">
        <v>52</v>
      </c>
      <c r="B158" s="32"/>
      <c r="C158" s="64">
        <f>B158</f>
        <v>0</v>
      </c>
      <c r="D158" s="1">
        <v>1</v>
      </c>
      <c r="E158" s="56">
        <f t="shared" si="48"/>
        <v>0</v>
      </c>
      <c r="F158" s="52">
        <f t="shared" si="57"/>
        <v>0</v>
      </c>
      <c r="G158" s="1">
        <v>12</v>
      </c>
      <c r="I158" s="53">
        <v>14.24</v>
      </c>
      <c r="J158" s="4">
        <f>F158*I158</f>
        <v>0</v>
      </c>
      <c r="K158" s="4">
        <f t="shared" si="69"/>
        <v>0</v>
      </c>
      <c r="L158" s="34">
        <f t="shared" si="67"/>
        <v>145</v>
      </c>
      <c r="M158" s="2">
        <f t="shared" si="56"/>
        <v>63.723235232779139</v>
      </c>
      <c r="N158" s="54">
        <f t="shared" si="68"/>
        <v>0</v>
      </c>
      <c r="O158" s="35">
        <f>$S$5*N158</f>
        <v>0</v>
      </c>
      <c r="Q158" s="49">
        <f t="shared" si="53"/>
        <v>0.45944452602833769</v>
      </c>
      <c r="R158" s="166"/>
      <c r="S158" s="166">
        <f t="shared" si="59"/>
        <v>8.8557932391962087E-3</v>
      </c>
      <c r="T158" s="170">
        <f t="shared" si="60"/>
        <v>0.4683003192675339</v>
      </c>
      <c r="V158" s="166">
        <f t="shared" si="61"/>
        <v>14.708300319267535</v>
      </c>
      <c r="W158" s="171">
        <f>C158*V158</f>
        <v>0</v>
      </c>
      <c r="X158" s="171">
        <f>W158-J158</f>
        <v>0</v>
      </c>
      <c r="Y158" s="173">
        <f>X158*12</f>
        <v>0</v>
      </c>
      <c r="AA158" s="179">
        <f>O158*$R$11</f>
        <v>0</v>
      </c>
    </row>
    <row r="159" spans="1:28" ht="12">
      <c r="A159" s="50" t="s">
        <v>99</v>
      </c>
      <c r="B159" s="41"/>
      <c r="C159" s="64">
        <f t="shared" ref="C159:C167" si="70">B159</f>
        <v>0</v>
      </c>
      <c r="E159" s="36">
        <f t="shared" si="48"/>
        <v>0</v>
      </c>
      <c r="F159" s="41">
        <f t="shared" si="57"/>
        <v>0</v>
      </c>
      <c r="G159" s="1">
        <v>12</v>
      </c>
      <c r="I159" s="39"/>
      <c r="J159" s="4">
        <f t="shared" ref="J159:J166" si="71">+C159*I159</f>
        <v>0</v>
      </c>
      <c r="K159" s="4">
        <f t="shared" si="69"/>
        <v>0</v>
      </c>
      <c r="L159" s="34">
        <f t="shared" si="67"/>
        <v>0</v>
      </c>
      <c r="M159" s="2">
        <f t="shared" si="56"/>
        <v>0</v>
      </c>
      <c r="N159" s="54">
        <f t="shared" si="68"/>
        <v>0</v>
      </c>
      <c r="O159" s="35">
        <f t="shared" si="58"/>
        <v>0</v>
      </c>
      <c r="AA159" s="176"/>
    </row>
    <row r="160" spans="1:28" ht="12">
      <c r="A160" s="50" t="s">
        <v>100</v>
      </c>
      <c r="B160" s="41"/>
      <c r="C160" s="64">
        <f t="shared" si="70"/>
        <v>0</v>
      </c>
      <c r="E160" s="36">
        <f t="shared" si="48"/>
        <v>0</v>
      </c>
      <c r="F160" s="41">
        <f t="shared" si="57"/>
        <v>0</v>
      </c>
      <c r="G160" s="1">
        <v>12</v>
      </c>
      <c r="I160" s="39"/>
      <c r="J160" s="4">
        <f t="shared" si="71"/>
        <v>0</v>
      </c>
      <c r="K160" s="4">
        <f t="shared" si="69"/>
        <v>0</v>
      </c>
      <c r="L160" s="34">
        <f t="shared" si="67"/>
        <v>0</v>
      </c>
      <c r="M160" s="2">
        <f t="shared" si="56"/>
        <v>0</v>
      </c>
      <c r="N160" s="54">
        <f t="shared" si="68"/>
        <v>0</v>
      </c>
      <c r="O160" s="35">
        <f t="shared" si="58"/>
        <v>0</v>
      </c>
      <c r="AA160" s="176"/>
    </row>
    <row r="161" spans="1:27" ht="12">
      <c r="A161" s="50" t="s">
        <v>101</v>
      </c>
      <c r="B161" s="41"/>
      <c r="C161" s="64">
        <f t="shared" si="70"/>
        <v>0</v>
      </c>
      <c r="E161" s="36">
        <f t="shared" si="48"/>
        <v>0</v>
      </c>
      <c r="F161" s="41">
        <f t="shared" si="57"/>
        <v>0</v>
      </c>
      <c r="G161" s="1">
        <v>12</v>
      </c>
      <c r="I161" s="39"/>
      <c r="J161" s="4">
        <f t="shared" si="71"/>
        <v>0</v>
      </c>
      <c r="K161" s="4">
        <f t="shared" si="69"/>
        <v>0</v>
      </c>
      <c r="L161" s="34">
        <f t="shared" si="67"/>
        <v>0</v>
      </c>
      <c r="M161" s="2">
        <f t="shared" si="56"/>
        <v>0</v>
      </c>
      <c r="N161" s="54">
        <f t="shared" si="68"/>
        <v>0</v>
      </c>
      <c r="O161" s="35">
        <f t="shared" si="58"/>
        <v>0</v>
      </c>
      <c r="AA161" s="176"/>
    </row>
    <row r="162" spans="1:27" ht="12">
      <c r="A162" s="50" t="s">
        <v>102</v>
      </c>
      <c r="B162" s="41"/>
      <c r="C162" s="64">
        <f t="shared" si="70"/>
        <v>0</v>
      </c>
      <c r="E162" s="36">
        <f t="shared" si="48"/>
        <v>0</v>
      </c>
      <c r="F162" s="41">
        <f t="shared" si="57"/>
        <v>0</v>
      </c>
      <c r="G162" s="1">
        <v>12</v>
      </c>
      <c r="I162" s="39"/>
      <c r="J162" s="4">
        <f t="shared" si="71"/>
        <v>0</v>
      </c>
      <c r="K162" s="4">
        <f t="shared" si="69"/>
        <v>0</v>
      </c>
      <c r="L162" s="34">
        <f t="shared" si="67"/>
        <v>0</v>
      </c>
      <c r="M162" s="2">
        <f t="shared" si="56"/>
        <v>0</v>
      </c>
      <c r="N162" s="54">
        <f t="shared" si="68"/>
        <v>0</v>
      </c>
      <c r="O162" s="35">
        <f t="shared" si="58"/>
        <v>0</v>
      </c>
      <c r="AA162" s="176"/>
    </row>
    <row r="163" spans="1:27" ht="12">
      <c r="A163" s="50" t="s">
        <v>103</v>
      </c>
      <c r="B163" s="41"/>
      <c r="C163" s="64">
        <f t="shared" si="70"/>
        <v>0</v>
      </c>
      <c r="E163" s="36">
        <f t="shared" si="48"/>
        <v>0</v>
      </c>
      <c r="F163" s="41">
        <f t="shared" si="57"/>
        <v>0</v>
      </c>
      <c r="G163" s="1">
        <v>12</v>
      </c>
      <c r="I163" s="39"/>
      <c r="J163" s="4">
        <f t="shared" si="71"/>
        <v>0</v>
      </c>
      <c r="K163" s="4">
        <f t="shared" si="69"/>
        <v>0</v>
      </c>
      <c r="L163" s="34">
        <f t="shared" si="67"/>
        <v>0</v>
      </c>
      <c r="M163" s="2">
        <f t="shared" si="56"/>
        <v>0</v>
      </c>
      <c r="N163" s="54">
        <f t="shared" si="68"/>
        <v>0</v>
      </c>
      <c r="O163" s="35">
        <f t="shared" si="58"/>
        <v>0</v>
      </c>
      <c r="AA163" s="176"/>
    </row>
    <row r="164" spans="1:27" ht="12">
      <c r="A164" s="50" t="s">
        <v>104</v>
      </c>
      <c r="B164" s="41"/>
      <c r="C164" s="64">
        <f t="shared" si="70"/>
        <v>0</v>
      </c>
      <c r="E164" s="36">
        <f t="shared" si="48"/>
        <v>0</v>
      </c>
      <c r="F164" s="41">
        <f t="shared" si="57"/>
        <v>0</v>
      </c>
      <c r="G164" s="1">
        <v>12</v>
      </c>
      <c r="I164" s="39"/>
      <c r="J164" s="4">
        <f t="shared" si="71"/>
        <v>0</v>
      </c>
      <c r="K164" s="4">
        <f t="shared" si="69"/>
        <v>0</v>
      </c>
      <c r="L164" s="34">
        <f t="shared" si="67"/>
        <v>0</v>
      </c>
      <c r="M164" s="2">
        <f t="shared" si="56"/>
        <v>0</v>
      </c>
      <c r="N164" s="54">
        <f t="shared" si="68"/>
        <v>0</v>
      </c>
      <c r="O164" s="35">
        <f t="shared" si="58"/>
        <v>0</v>
      </c>
      <c r="AA164" s="176"/>
    </row>
    <row r="165" spans="1:27" ht="12">
      <c r="A165" s="50" t="s">
        <v>105</v>
      </c>
      <c r="B165" s="41"/>
      <c r="C165" s="64">
        <f t="shared" si="70"/>
        <v>0</v>
      </c>
      <c r="E165" s="36">
        <f t="shared" si="48"/>
        <v>0</v>
      </c>
      <c r="F165" s="41">
        <f t="shared" si="57"/>
        <v>0</v>
      </c>
      <c r="G165" s="1">
        <v>12</v>
      </c>
      <c r="I165" s="39"/>
      <c r="J165" s="4">
        <f t="shared" si="71"/>
        <v>0</v>
      </c>
      <c r="K165" s="4">
        <f t="shared" si="69"/>
        <v>0</v>
      </c>
      <c r="L165" s="34">
        <f t="shared" si="67"/>
        <v>0</v>
      </c>
      <c r="M165" s="2">
        <f t="shared" si="56"/>
        <v>0</v>
      </c>
      <c r="N165" s="54">
        <f t="shared" si="68"/>
        <v>0</v>
      </c>
      <c r="O165" s="35">
        <f t="shared" si="58"/>
        <v>0</v>
      </c>
      <c r="AA165" s="176"/>
    </row>
    <row r="166" spans="1:27" ht="12">
      <c r="A166" s="50" t="s">
        <v>106</v>
      </c>
      <c r="B166" s="51"/>
      <c r="C166" s="64">
        <f t="shared" si="70"/>
        <v>0</v>
      </c>
      <c r="E166" s="36">
        <f t="shared" si="48"/>
        <v>0</v>
      </c>
      <c r="F166" s="41">
        <f t="shared" si="57"/>
        <v>0</v>
      </c>
      <c r="G166" s="1">
        <v>12</v>
      </c>
      <c r="I166" s="39"/>
      <c r="J166" s="4">
        <f t="shared" si="71"/>
        <v>0</v>
      </c>
      <c r="K166" s="4">
        <f t="shared" si="69"/>
        <v>0</v>
      </c>
      <c r="L166" s="34">
        <f t="shared" si="67"/>
        <v>0</v>
      </c>
      <c r="M166" s="2">
        <f t="shared" si="56"/>
        <v>0</v>
      </c>
      <c r="N166" s="54">
        <f t="shared" si="68"/>
        <v>0</v>
      </c>
      <c r="O166" s="35">
        <f t="shared" si="58"/>
        <v>0</v>
      </c>
      <c r="AA166" s="176"/>
    </row>
    <row r="167" spans="1:27" ht="12">
      <c r="A167" s="50" t="s">
        <v>107</v>
      </c>
      <c r="B167" s="51"/>
      <c r="C167" s="64">
        <f t="shared" si="70"/>
        <v>0</v>
      </c>
      <c r="E167" s="36">
        <f t="shared" si="48"/>
        <v>0</v>
      </c>
      <c r="F167" s="62"/>
      <c r="I167" s="40"/>
      <c r="J167" s="4"/>
      <c r="K167" s="4"/>
      <c r="L167" s="58"/>
      <c r="N167" s="4"/>
      <c r="O167" s="35"/>
      <c r="AA167" s="176"/>
    </row>
    <row r="168" spans="1:27">
      <c r="A168" s="63" t="s">
        <v>108</v>
      </c>
      <c r="B168" s="41"/>
      <c r="C168" s="51"/>
      <c r="F168" s="41"/>
      <c r="I168" s="42"/>
      <c r="J168" s="4"/>
      <c r="K168" s="4"/>
      <c r="L168" s="58"/>
      <c r="M168" s="4"/>
      <c r="N168" s="4"/>
      <c r="O168" s="4"/>
      <c r="AA168" s="176"/>
    </row>
    <row r="169" spans="1:27">
      <c r="A169" s="59" t="s">
        <v>180</v>
      </c>
      <c r="B169" s="41"/>
      <c r="C169" s="51"/>
      <c r="E169" s="37">
        <f>SUM(E107:E168)</f>
        <v>3579.8777956000004</v>
      </c>
      <c r="F169" s="41"/>
      <c r="I169" s="42"/>
      <c r="J169" s="4">
        <f>SUM(J107:J167)</f>
        <v>69346.36322900001</v>
      </c>
      <c r="K169" s="4">
        <f>SUM(K107:K167)</f>
        <v>832156.358748</v>
      </c>
      <c r="L169" s="4"/>
      <c r="M169" s="4"/>
      <c r="N169" s="4">
        <f>SUM(N107:N167)</f>
        <v>3114.49</v>
      </c>
      <c r="O169" s="4">
        <f>SUM(O107:O167)</f>
        <v>0</v>
      </c>
      <c r="W169" s="171">
        <f>SUM(W107:W168)</f>
        <v>71022.821143618246</v>
      </c>
      <c r="X169" s="171">
        <f>SUM(X107:X168)</f>
        <v>1676.4579146182409</v>
      </c>
      <c r="Y169" s="171">
        <f>SUM(Y107:Y168)</f>
        <v>20117.494975418893</v>
      </c>
      <c r="AA169" s="180">
        <f>SUM(AA107:AA168)</f>
        <v>0</v>
      </c>
    </row>
    <row r="170" spans="1:27">
      <c r="A170" s="174"/>
      <c r="B170" s="174"/>
      <c r="C170" s="174"/>
      <c r="D170" s="174"/>
      <c r="E170" s="174"/>
      <c r="F170" s="174"/>
      <c r="G170" s="174"/>
      <c r="H170" s="174"/>
      <c r="I170" s="174"/>
      <c r="J170" s="174"/>
      <c r="K170" s="174"/>
      <c r="L170" s="174"/>
      <c r="M170" s="183"/>
      <c r="N170" s="184"/>
      <c r="O170" s="174"/>
      <c r="AA170" s="176"/>
    </row>
    <row r="171" spans="1:27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76"/>
    </row>
    <row r="172" spans="1:27">
      <c r="M172" s="1"/>
      <c r="AA172" s="176"/>
    </row>
    <row r="173" spans="1:27" ht="12" thickBot="1">
      <c r="M173" s="1"/>
      <c r="AA173" s="176"/>
    </row>
    <row r="174" spans="1:27" ht="12" thickBot="1">
      <c r="A174" s="185" t="s">
        <v>39</v>
      </c>
      <c r="B174" s="186"/>
      <c r="C174" s="186"/>
      <c r="D174" s="186"/>
      <c r="E174" s="187">
        <f>+E104+E169</f>
        <v>10943.895615540001</v>
      </c>
      <c r="F174" s="186"/>
      <c r="G174" s="186"/>
      <c r="H174" s="186"/>
      <c r="I174" s="186"/>
      <c r="J174" s="188">
        <f>+J168+J104</f>
        <v>111370.17806173261</v>
      </c>
      <c r="K174" s="188">
        <f>+K168+K104</f>
        <v>1336442.1367407911</v>
      </c>
      <c r="L174" s="186"/>
      <c r="M174" s="188">
        <f>+M168+M104</f>
        <v>0</v>
      </c>
      <c r="N174" s="188">
        <f>+N168+N104</f>
        <v>6406.6900000000005</v>
      </c>
      <c r="O174" s="188">
        <f>+O168+O104</f>
        <v>2815.5518202309918</v>
      </c>
      <c r="P174" s="188"/>
      <c r="Q174" s="188"/>
      <c r="R174" s="188"/>
      <c r="S174" s="188"/>
      <c r="T174" s="188"/>
      <c r="U174" s="188"/>
      <c r="V174" s="188"/>
      <c r="W174" s="189">
        <f>W39+W104+W169</f>
        <v>299089.81202618685</v>
      </c>
      <c r="X174" s="189">
        <f>X39+X104+X169</f>
        <v>7616.885735454247</v>
      </c>
      <c r="Y174" s="189">
        <f>Y39+Y104+Y169</f>
        <v>91402.628825450956</v>
      </c>
      <c r="Z174" s="189"/>
      <c r="AA174" s="190">
        <f>AA39+AA104+AA169</f>
        <v>41492.973804718655</v>
      </c>
    </row>
    <row r="175" spans="1:27">
      <c r="A175" s="47"/>
      <c r="O175" s="35"/>
      <c r="X175" s="55"/>
      <c r="Y175" s="55"/>
    </row>
    <row r="176" spans="1:27">
      <c r="A176" s="47"/>
      <c r="O176" s="35"/>
    </row>
    <row r="269" spans="1:27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</row>
    <row r="270" spans="1:27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</row>
    <row r="271" spans="1:27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</row>
    <row r="272" spans="1:27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</row>
    <row r="273" spans="1:27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</row>
    <row r="274" spans="1:27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</row>
    <row r="275" spans="1:27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</row>
    <row r="276" spans="1:27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</row>
    <row r="277" spans="1:2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</row>
    <row r="278" spans="1:27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</row>
    <row r="279" spans="1:27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</row>
    <row r="280" spans="1:27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</row>
    <row r="281" spans="1:27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</row>
    <row r="282" spans="1:27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</row>
    <row r="283" spans="1:27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</row>
    <row r="284" spans="1:27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</row>
  </sheetData>
  <autoFilter ref="A107:AB169"/>
  <phoneticPr fontId="0" type="noConversion"/>
  <pageMargins left="0.15" right="0.15" top="0.5" bottom="0.5" header="0.5" footer="0.5"/>
  <pageSetup paperSize="5" scale="57" fitToHeight="0" orientation="landscape" r:id="rId1"/>
  <headerFooter alignWithMargins="0"/>
  <colBreaks count="1" manualBreakCount="1">
    <brk id="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 enableFormatConditionsCalculation="0">
    <tabColor indexed="58"/>
    <pageSetUpPr fitToPage="1"/>
  </sheetPr>
  <dimension ref="A1:W167"/>
  <sheetViews>
    <sheetView showGridLines="0" zoomScaleNormal="75" workbookViewId="0">
      <pane xSplit="5" ySplit="8" topLeftCell="F9" activePane="bottomRight" state="frozen"/>
      <selection activeCell="A80" sqref="A80"/>
      <selection pane="topRight" activeCell="A80" sqref="A80"/>
      <selection pane="bottomLeft" activeCell="A80" sqref="A80"/>
      <selection pane="bottomRight" activeCell="L11" sqref="L11"/>
    </sheetView>
  </sheetViews>
  <sheetFormatPr defaultColWidth="10.6640625" defaultRowHeight="12.75"/>
  <cols>
    <col min="1" max="1" width="3.1640625" style="66" customWidth="1"/>
    <col min="2" max="2" width="5.1640625" style="66" customWidth="1"/>
    <col min="3" max="3" width="4.1640625" style="66" customWidth="1"/>
    <col min="4" max="4" width="14" style="66" customWidth="1"/>
    <col min="5" max="5" width="10.6640625" style="66" customWidth="1"/>
    <col min="6" max="6" width="11.6640625" style="66" customWidth="1"/>
    <col min="7" max="7" width="13.6640625" style="66" customWidth="1"/>
    <col min="8" max="17" width="11.6640625" style="66" customWidth="1"/>
    <col min="18" max="18" width="14" style="66" customWidth="1"/>
    <col min="19" max="19" width="15.83203125" style="66" bestFit="1" customWidth="1"/>
    <col min="20" max="20" width="12" style="66" bestFit="1" customWidth="1"/>
    <col min="21" max="21" width="12.6640625" style="66" bestFit="1" customWidth="1"/>
    <col min="22" max="16384" width="10.6640625" style="66"/>
  </cols>
  <sheetData>
    <row r="1" spans="1:23">
      <c r="A1" s="65" t="s">
        <v>176</v>
      </c>
      <c r="B1" s="65"/>
      <c r="C1" s="65"/>
      <c r="D1" s="65"/>
    </row>
    <row r="2" spans="1:23">
      <c r="A2" s="65" t="s">
        <v>113</v>
      </c>
      <c r="B2" s="65"/>
      <c r="C2" s="65"/>
      <c r="D2" s="65"/>
    </row>
    <row r="3" spans="1:23">
      <c r="A3" s="191" t="str">
        <f>TEXT(F7,"mmm yy")&amp;" - "&amp;TEXT(Q7,"mmm yy")</f>
        <v>Jan 14 - Dec 14</v>
      </c>
      <c r="B3" s="191"/>
      <c r="C3" s="191"/>
      <c r="D3" s="191"/>
    </row>
    <row r="6" spans="1:23">
      <c r="F6" s="67"/>
    </row>
    <row r="7" spans="1:23">
      <c r="F7" s="68">
        <v>41640</v>
      </c>
      <c r="G7" s="69">
        <f t="shared" ref="G7:Q7" si="0">EOMONTH(F7,1)</f>
        <v>41698</v>
      </c>
      <c r="H7" s="69">
        <f t="shared" si="0"/>
        <v>41729</v>
      </c>
      <c r="I7" s="69">
        <f t="shared" si="0"/>
        <v>41759</v>
      </c>
      <c r="J7" s="69">
        <f t="shared" si="0"/>
        <v>41790</v>
      </c>
      <c r="K7" s="69">
        <f t="shared" si="0"/>
        <v>41820</v>
      </c>
      <c r="L7" s="69">
        <f t="shared" si="0"/>
        <v>41851</v>
      </c>
      <c r="M7" s="69">
        <f t="shared" si="0"/>
        <v>41882</v>
      </c>
      <c r="N7" s="69">
        <f t="shared" si="0"/>
        <v>41912</v>
      </c>
      <c r="O7" s="69">
        <f t="shared" si="0"/>
        <v>41943</v>
      </c>
      <c r="P7" s="69">
        <f t="shared" si="0"/>
        <v>41973</v>
      </c>
      <c r="Q7" s="69">
        <f t="shared" si="0"/>
        <v>42004</v>
      </c>
      <c r="R7" s="70" t="s">
        <v>18</v>
      </c>
    </row>
    <row r="8" spans="1:23">
      <c r="F8" s="71" t="s">
        <v>30</v>
      </c>
      <c r="G8" s="71" t="s">
        <v>30</v>
      </c>
      <c r="H8" s="71" t="s">
        <v>30</v>
      </c>
      <c r="I8" s="71" t="s">
        <v>30</v>
      </c>
      <c r="J8" s="71" t="s">
        <v>30</v>
      </c>
      <c r="K8" s="71" t="s">
        <v>30</v>
      </c>
      <c r="L8" s="71" t="s">
        <v>30</v>
      </c>
      <c r="M8" s="71" t="s">
        <v>30</v>
      </c>
      <c r="N8" s="71" t="s">
        <v>30</v>
      </c>
      <c r="O8" s="71" t="s">
        <v>30</v>
      </c>
      <c r="P8" s="71" t="s">
        <v>30</v>
      </c>
      <c r="Q8" s="71" t="s">
        <v>30</v>
      </c>
      <c r="R8" s="71" t="s">
        <v>30</v>
      </c>
    </row>
    <row r="9" spans="1:23" ht="18">
      <c r="A9" s="72" t="s">
        <v>114</v>
      </c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3">
      <c r="A10" s="74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</row>
    <row r="11" spans="1:23">
      <c r="A11" s="66" t="s">
        <v>115</v>
      </c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</row>
    <row r="12" spans="1:23">
      <c r="B12" s="66" t="s">
        <v>61</v>
      </c>
      <c r="F12" s="75">
        <v>825</v>
      </c>
      <c r="G12" s="75">
        <v>772</v>
      </c>
      <c r="H12" s="75">
        <v>890</v>
      </c>
      <c r="I12" s="75">
        <v>891</v>
      </c>
      <c r="J12" s="75">
        <v>912</v>
      </c>
      <c r="K12" s="75">
        <v>302</v>
      </c>
      <c r="L12" s="75">
        <v>270</v>
      </c>
      <c r="M12" s="75">
        <v>253</v>
      </c>
      <c r="N12" s="75">
        <v>323</v>
      </c>
      <c r="O12" s="75">
        <v>318</v>
      </c>
      <c r="P12" s="75">
        <v>283</v>
      </c>
      <c r="Q12" s="74">
        <v>300</v>
      </c>
      <c r="R12" s="74">
        <f>SUM(F12:Q12)</f>
        <v>6339</v>
      </c>
      <c r="S12" s="74"/>
      <c r="T12" s="74"/>
      <c r="U12" s="74"/>
      <c r="V12" s="74"/>
      <c r="W12" s="74"/>
    </row>
    <row r="13" spans="1:23">
      <c r="B13" s="66" t="s">
        <v>41</v>
      </c>
      <c r="F13" s="75">
        <v>1464</v>
      </c>
      <c r="G13" s="75">
        <v>1130</v>
      </c>
      <c r="H13" s="75">
        <v>1418</v>
      </c>
      <c r="I13" s="75">
        <v>1752</v>
      </c>
      <c r="J13" s="75">
        <v>1971</v>
      </c>
      <c r="K13" s="75">
        <v>1257</v>
      </c>
      <c r="L13" s="75">
        <v>1212</v>
      </c>
      <c r="M13" s="75">
        <v>1064</v>
      </c>
      <c r="N13" s="75">
        <v>1119</v>
      </c>
      <c r="O13" s="75">
        <v>1261</v>
      </c>
      <c r="P13" s="75">
        <v>1094</v>
      </c>
      <c r="Q13" s="75">
        <v>1093</v>
      </c>
      <c r="R13" s="74">
        <f>SUM(F13:Q13)</f>
        <v>15835</v>
      </c>
      <c r="S13" s="74"/>
      <c r="T13" s="74"/>
      <c r="U13" s="74"/>
      <c r="V13" s="74"/>
      <c r="W13" s="74"/>
    </row>
    <row r="14" spans="1:23">
      <c r="B14" s="66" t="s">
        <v>116</v>
      </c>
      <c r="F14" s="75">
        <v>1250</v>
      </c>
      <c r="G14" s="75">
        <v>1124</v>
      </c>
      <c r="H14" s="75">
        <v>1269</v>
      </c>
      <c r="I14" s="75">
        <v>1297</v>
      </c>
      <c r="J14" s="75">
        <v>1401</v>
      </c>
      <c r="K14" s="75">
        <v>113</v>
      </c>
      <c r="L14" s="75">
        <v>97.26</v>
      </c>
      <c r="M14" s="75">
        <v>97.74</v>
      </c>
      <c r="N14" s="75">
        <v>108.28</v>
      </c>
      <c r="O14" s="75">
        <v>118.37</v>
      </c>
      <c r="P14" s="75">
        <v>108.57</v>
      </c>
      <c r="Q14" s="75">
        <v>109.5</v>
      </c>
      <c r="R14" s="74">
        <f>SUM(F14:Q14)</f>
        <v>7093.7199999999993</v>
      </c>
      <c r="S14" s="74"/>
      <c r="T14" s="74"/>
      <c r="U14" s="74"/>
      <c r="V14" s="74"/>
      <c r="W14" s="74"/>
    </row>
    <row r="15" spans="1:23">
      <c r="A15" s="66" t="s">
        <v>18</v>
      </c>
      <c r="F15" s="76">
        <f>SUM(F12:F14)</f>
        <v>3539</v>
      </c>
      <c r="G15" s="76">
        <f t="shared" ref="G15:R15" si="1">SUM(G12:G14)</f>
        <v>3026</v>
      </c>
      <c r="H15" s="76">
        <f t="shared" si="1"/>
        <v>3577</v>
      </c>
      <c r="I15" s="76">
        <f t="shared" si="1"/>
        <v>3940</v>
      </c>
      <c r="J15" s="76">
        <f t="shared" si="1"/>
        <v>4284</v>
      </c>
      <c r="K15" s="76">
        <f t="shared" si="1"/>
        <v>1672</v>
      </c>
      <c r="L15" s="76">
        <f t="shared" si="1"/>
        <v>1579.26</v>
      </c>
      <c r="M15" s="76">
        <f t="shared" si="1"/>
        <v>1414.74</v>
      </c>
      <c r="N15" s="76">
        <f t="shared" si="1"/>
        <v>1550.28</v>
      </c>
      <c r="O15" s="76">
        <f t="shared" si="1"/>
        <v>1697.37</v>
      </c>
      <c r="P15" s="76">
        <f t="shared" si="1"/>
        <v>1485.57</v>
      </c>
      <c r="Q15" s="76">
        <f t="shared" si="1"/>
        <v>1502.5</v>
      </c>
      <c r="R15" s="76">
        <f t="shared" si="1"/>
        <v>29267.72</v>
      </c>
      <c r="S15" s="74"/>
      <c r="T15" s="74"/>
      <c r="U15" s="74"/>
      <c r="V15" s="74"/>
      <c r="W15" s="74"/>
    </row>
    <row r="16" spans="1:23" s="81" customFormat="1">
      <c r="A16" s="77" t="s">
        <v>59</v>
      </c>
      <c r="B16" s="77"/>
      <c r="C16" s="77"/>
      <c r="D16" s="77"/>
      <c r="E16" s="77"/>
      <c r="F16" s="78">
        <f>+F15-F54</f>
        <v>10.550000000000637</v>
      </c>
      <c r="G16" s="78">
        <f>+G15-G54</f>
        <v>20.889999999999873</v>
      </c>
      <c r="H16" s="78">
        <f t="shared" ref="H16:M16" si="2">H15-H54</f>
        <v>-1.4999999999872671E-2</v>
      </c>
      <c r="I16" s="78">
        <f t="shared" si="2"/>
        <v>-1.4999999999995453</v>
      </c>
      <c r="J16" s="78">
        <f t="shared" si="2"/>
        <v>39.239999999999782</v>
      </c>
      <c r="K16" s="78">
        <f t="shared" si="2"/>
        <v>-12.670000000000073</v>
      </c>
      <c r="L16" s="78">
        <f t="shared" si="2"/>
        <v>1.2400000000000091</v>
      </c>
      <c r="M16" s="78">
        <f t="shared" si="2"/>
        <v>4.3999999999998636</v>
      </c>
      <c r="N16" s="78">
        <f>+N15-N54</f>
        <v>-12.329999999999927</v>
      </c>
      <c r="O16" s="78">
        <f>O15-O54</f>
        <v>75.509999999999764</v>
      </c>
      <c r="P16" s="78">
        <f>P15-P54</f>
        <v>27.440000000000055</v>
      </c>
      <c r="Q16" s="78">
        <f>Q15-Q54</f>
        <v>-15.810000000000173</v>
      </c>
      <c r="R16" s="79">
        <f>SUM(F16:Q16)</f>
        <v>136.94500000000039</v>
      </c>
      <c r="S16" s="80"/>
      <c r="T16" s="80"/>
      <c r="U16" s="80"/>
      <c r="V16" s="80"/>
      <c r="W16" s="80"/>
    </row>
    <row r="17" spans="1:23" s="81" customFormat="1">
      <c r="A17" s="77" t="s">
        <v>117</v>
      </c>
      <c r="B17" s="77"/>
      <c r="C17" s="77"/>
      <c r="D17" s="77"/>
      <c r="E17" s="82"/>
      <c r="F17" s="83">
        <f t="shared" ref="F17:R17" si="3">+F16/F15</f>
        <v>2.9810680983330421E-3</v>
      </c>
      <c r="G17" s="83">
        <f t="shared" si="3"/>
        <v>6.9035029742233554E-3</v>
      </c>
      <c r="H17" s="83">
        <f t="shared" si="3"/>
        <v>-4.1934582051642919E-6</v>
      </c>
      <c r="I17" s="83">
        <f t="shared" si="3"/>
        <v>-3.8071065989836174E-4</v>
      </c>
      <c r="J17" s="83">
        <f t="shared" si="3"/>
        <v>9.1596638655461679E-3</v>
      </c>
      <c r="K17" s="83">
        <f t="shared" si="3"/>
        <v>-7.5777511961722926E-3</v>
      </c>
      <c r="L17" s="83">
        <f t="shared" si="3"/>
        <v>7.8517786811545221E-4</v>
      </c>
      <c r="M17" s="83">
        <f t="shared" si="3"/>
        <v>3.1101121054044304E-3</v>
      </c>
      <c r="N17" s="83">
        <f t="shared" si="3"/>
        <v>-7.9534019660963996E-3</v>
      </c>
      <c r="O17" s="83">
        <f t="shared" si="3"/>
        <v>4.4486470245143822E-2</v>
      </c>
      <c r="P17" s="83">
        <f t="shared" si="3"/>
        <v>1.8471024589888092E-2</v>
      </c>
      <c r="Q17" s="83">
        <f t="shared" si="3"/>
        <v>-1.0522462562396123E-2</v>
      </c>
      <c r="R17" s="83">
        <f t="shared" si="3"/>
        <v>4.679045719994601E-3</v>
      </c>
      <c r="S17" s="80"/>
      <c r="T17" s="80"/>
      <c r="U17" s="80"/>
      <c r="V17" s="80"/>
      <c r="W17" s="80"/>
    </row>
    <row r="18" spans="1:23">
      <c r="E18" s="6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74"/>
      <c r="S18" s="74"/>
      <c r="T18" s="74"/>
      <c r="U18" s="74"/>
      <c r="V18" s="74"/>
      <c r="W18" s="74"/>
    </row>
    <row r="19" spans="1:23">
      <c r="B19" s="66" t="s">
        <v>61</v>
      </c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74"/>
      <c r="S19" s="74"/>
      <c r="T19" s="74"/>
      <c r="U19" s="74"/>
      <c r="V19" s="74"/>
      <c r="W19" s="74"/>
    </row>
    <row r="20" spans="1:23">
      <c r="C20" s="86" t="s">
        <v>118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74"/>
      <c r="S20" s="74"/>
      <c r="T20" s="74"/>
      <c r="U20" s="74"/>
      <c r="V20" s="74"/>
      <c r="W20" s="74"/>
    </row>
    <row r="21" spans="1:23">
      <c r="D21" s="87" t="s">
        <v>119</v>
      </c>
      <c r="F21" s="88">
        <v>132.19465187953074</v>
      </c>
      <c r="G21" s="88">
        <v>119.47667908872896</v>
      </c>
      <c r="H21" s="88">
        <v>138.29398725125222</v>
      </c>
      <c r="I21" s="88">
        <v>127.31762006191934</v>
      </c>
      <c r="J21" s="88">
        <v>143.67845657281924</v>
      </c>
      <c r="K21" s="88">
        <v>137.78923535526215</v>
      </c>
      <c r="L21" s="88">
        <v>135.6016632642212</v>
      </c>
      <c r="M21" s="88">
        <v>131.63676918919609</v>
      </c>
      <c r="N21" s="88">
        <v>161.13282239148236</v>
      </c>
      <c r="O21" s="88">
        <v>179.88150178360826</v>
      </c>
      <c r="P21" s="88">
        <v>159.25746200552288</v>
      </c>
      <c r="Q21" s="88">
        <v>156.22959846676108</v>
      </c>
      <c r="R21" s="74">
        <f>SUM(F21:Q21)</f>
        <v>1722.4904473103045</v>
      </c>
      <c r="S21" s="89"/>
      <c r="T21" s="74"/>
      <c r="U21" s="90"/>
      <c r="V21" s="74"/>
      <c r="W21" s="74"/>
    </row>
    <row r="22" spans="1:23">
      <c r="D22" s="87" t="s">
        <v>120</v>
      </c>
      <c r="F22" s="91">
        <v>610.66995139944015</v>
      </c>
      <c r="G22" s="91">
        <v>544.09935437725426</v>
      </c>
      <c r="H22" s="91">
        <v>635.37090130428533</v>
      </c>
      <c r="I22" s="91">
        <v>627.89526750008736</v>
      </c>
      <c r="J22" s="91">
        <v>667.3153278449297</v>
      </c>
      <c r="K22" s="91">
        <v>75.16285604210978</v>
      </c>
      <c r="L22" s="91">
        <v>80.143273967371627</v>
      </c>
      <c r="M22" s="91">
        <v>70.478534997143754</v>
      </c>
      <c r="N22" s="91">
        <v>92.897431325788233</v>
      </c>
      <c r="O22" s="91">
        <v>88.170416450311336</v>
      </c>
      <c r="P22" s="91">
        <v>78.57796816532084</v>
      </c>
      <c r="Q22" s="91">
        <v>86.309885106597122</v>
      </c>
      <c r="R22" s="74">
        <f>SUM(F22:Q22)</f>
        <v>3657.0911684806397</v>
      </c>
      <c r="S22" s="74"/>
      <c r="T22" s="74"/>
      <c r="U22" s="90"/>
      <c r="V22" s="74"/>
      <c r="W22" s="74"/>
    </row>
    <row r="23" spans="1:23">
      <c r="C23" s="92" t="s">
        <v>121</v>
      </c>
      <c r="D23" s="93"/>
      <c r="E23" s="93"/>
      <c r="F23" s="94">
        <f>SUM(F21:F22)</f>
        <v>742.86460327897089</v>
      </c>
      <c r="G23" s="94">
        <f t="shared" ref="G23:Q23" si="4">SUM(G21:G22)</f>
        <v>663.57603346598319</v>
      </c>
      <c r="H23" s="94">
        <f t="shared" si="4"/>
        <v>773.66488855553757</v>
      </c>
      <c r="I23" s="94">
        <f t="shared" si="4"/>
        <v>755.2128875620067</v>
      </c>
      <c r="J23" s="94">
        <f t="shared" si="4"/>
        <v>810.99378441774888</v>
      </c>
      <c r="K23" s="94">
        <f t="shared" si="4"/>
        <v>212.95209139737193</v>
      </c>
      <c r="L23" s="94">
        <f t="shared" si="4"/>
        <v>215.74493723159281</v>
      </c>
      <c r="M23" s="94">
        <f t="shared" si="4"/>
        <v>202.11530418633984</v>
      </c>
      <c r="N23" s="94">
        <f t="shared" si="4"/>
        <v>254.0302537172706</v>
      </c>
      <c r="O23" s="94">
        <f t="shared" si="4"/>
        <v>268.05191823391959</v>
      </c>
      <c r="P23" s="94">
        <f t="shared" si="4"/>
        <v>237.83543017084372</v>
      </c>
      <c r="Q23" s="94">
        <f t="shared" si="4"/>
        <v>242.53948357335821</v>
      </c>
      <c r="R23" s="95">
        <f>SUM(F23:Q23)</f>
        <v>5379.581615790943</v>
      </c>
      <c r="S23" s="74"/>
      <c r="T23" s="74"/>
      <c r="U23" s="90"/>
      <c r="V23" s="74"/>
      <c r="W23" s="74"/>
    </row>
    <row r="24" spans="1:23" s="96" customFormat="1">
      <c r="C24" s="97" t="s">
        <v>111</v>
      </c>
      <c r="D24" s="98"/>
      <c r="E24" s="98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100"/>
      <c r="T24" s="100"/>
      <c r="U24" s="101"/>
      <c r="V24" s="100"/>
      <c r="W24" s="100"/>
    </row>
    <row r="25" spans="1:23">
      <c r="D25" s="87" t="s">
        <v>122</v>
      </c>
      <c r="F25" s="88">
        <v>4.0234371096297012</v>
      </c>
      <c r="G25" s="88">
        <v>4.7294819272879254</v>
      </c>
      <c r="H25" s="88">
        <v>4.9498131633366036</v>
      </c>
      <c r="I25" s="88">
        <v>4.3211195429426699</v>
      </c>
      <c r="J25" s="88">
        <v>5.9549898412693842</v>
      </c>
      <c r="K25" s="88">
        <v>6.3267079901145777</v>
      </c>
      <c r="L25" s="88">
        <v>2.8912007837123519</v>
      </c>
      <c r="M25" s="88">
        <v>2.9604254968706747</v>
      </c>
      <c r="N25" s="88">
        <v>2.9475843783250633</v>
      </c>
      <c r="O25" s="88">
        <v>2.6520048799762233</v>
      </c>
      <c r="P25" s="88">
        <v>2.3456164509255246</v>
      </c>
      <c r="Q25" s="88">
        <v>2.7651185033766739</v>
      </c>
      <c r="R25" s="74">
        <f>SUM(F25:Q25)</f>
        <v>46.867500067767381</v>
      </c>
      <c r="S25" s="74"/>
      <c r="T25" s="90"/>
      <c r="U25" s="74"/>
      <c r="V25" s="74"/>
      <c r="W25" s="74"/>
    </row>
    <row r="26" spans="1:23">
      <c r="D26" s="87" t="s">
        <v>111</v>
      </c>
      <c r="F26" s="100">
        <v>121.25146102281012</v>
      </c>
      <c r="G26" s="100">
        <v>128.82533079153148</v>
      </c>
      <c r="H26" s="100">
        <v>162.76063078627038</v>
      </c>
      <c r="I26" s="100">
        <v>176.39773160706122</v>
      </c>
      <c r="J26" s="100">
        <v>139.21801326230471</v>
      </c>
      <c r="K26" s="100">
        <v>104.08347834937109</v>
      </c>
      <c r="L26" s="100">
        <v>70.732606312227063</v>
      </c>
      <c r="M26" s="100">
        <v>69.197371804768338</v>
      </c>
      <c r="N26" s="100">
        <v>85.493854115493335</v>
      </c>
      <c r="O26" s="100">
        <v>70.529441863235249</v>
      </c>
      <c r="P26" s="100">
        <v>57.313528809350757</v>
      </c>
      <c r="Q26" s="100">
        <v>71.590858721551626</v>
      </c>
      <c r="R26" s="74">
        <f>SUM(F26:Q26)</f>
        <v>1257.3943074459753</v>
      </c>
      <c r="S26" s="74"/>
      <c r="T26" s="74"/>
      <c r="U26" s="74"/>
      <c r="V26" s="74"/>
      <c r="W26" s="74"/>
    </row>
    <row r="27" spans="1:23" ht="13.5" thickBot="1">
      <c r="C27" s="102" t="s">
        <v>123</v>
      </c>
      <c r="D27" s="103"/>
      <c r="E27" s="103"/>
      <c r="F27" s="104">
        <f>SUM(F25:F26)</f>
        <v>125.27489813243982</v>
      </c>
      <c r="G27" s="104">
        <f t="shared" ref="G27:Q27" si="5">SUM(G25:G26)</f>
        <v>133.55481271881942</v>
      </c>
      <c r="H27" s="104">
        <f t="shared" si="5"/>
        <v>167.710443949607</v>
      </c>
      <c r="I27" s="104">
        <f t="shared" si="5"/>
        <v>180.7188511500039</v>
      </c>
      <c r="J27" s="104">
        <f t="shared" si="5"/>
        <v>145.1730031035741</v>
      </c>
      <c r="K27" s="104">
        <f t="shared" si="5"/>
        <v>110.41018633948568</v>
      </c>
      <c r="L27" s="104">
        <f t="shared" si="5"/>
        <v>73.623807095939412</v>
      </c>
      <c r="M27" s="104">
        <f t="shared" si="5"/>
        <v>72.157797301639008</v>
      </c>
      <c r="N27" s="104">
        <f t="shared" si="5"/>
        <v>88.441438493818396</v>
      </c>
      <c r="O27" s="104">
        <f t="shared" si="5"/>
        <v>73.181446743211467</v>
      </c>
      <c r="P27" s="104">
        <f t="shared" si="5"/>
        <v>59.659145260276283</v>
      </c>
      <c r="Q27" s="104">
        <f t="shared" si="5"/>
        <v>74.355977224928296</v>
      </c>
      <c r="R27" s="105">
        <f>SUM(F27:Q27)</f>
        <v>1304.2618075137427</v>
      </c>
      <c r="S27" s="106"/>
      <c r="T27" s="74"/>
      <c r="U27" s="74"/>
      <c r="V27" s="74"/>
      <c r="W27" s="74"/>
    </row>
    <row r="28" spans="1:23" ht="13.5" thickBot="1">
      <c r="B28" s="107" t="s">
        <v>110</v>
      </c>
      <c r="C28" s="108"/>
      <c r="D28" s="108"/>
      <c r="E28" s="108"/>
      <c r="F28" s="109">
        <f t="shared" ref="F28:R28" si="6">F23+F27</f>
        <v>868.13950141141072</v>
      </c>
      <c r="G28" s="109">
        <f t="shared" si="6"/>
        <v>797.13084618480264</v>
      </c>
      <c r="H28" s="109">
        <f t="shared" si="6"/>
        <v>941.37533250514457</v>
      </c>
      <c r="I28" s="109">
        <f t="shared" si="6"/>
        <v>935.93173871201066</v>
      </c>
      <c r="J28" s="109">
        <f t="shared" si="6"/>
        <v>956.16678752132293</v>
      </c>
      <c r="K28" s="109">
        <f t="shared" si="6"/>
        <v>323.36227773685761</v>
      </c>
      <c r="L28" s="109">
        <f t="shared" si="6"/>
        <v>289.36874432753223</v>
      </c>
      <c r="M28" s="109">
        <f t="shared" si="6"/>
        <v>274.27310148797886</v>
      </c>
      <c r="N28" s="109">
        <f t="shared" si="6"/>
        <v>342.47169221108902</v>
      </c>
      <c r="O28" s="109">
        <f t="shared" si="6"/>
        <v>341.23336497713103</v>
      </c>
      <c r="P28" s="109">
        <f t="shared" si="6"/>
        <v>297.49457543111998</v>
      </c>
      <c r="Q28" s="109">
        <f t="shared" si="6"/>
        <v>316.89546079828654</v>
      </c>
      <c r="R28" s="110">
        <f t="shared" si="6"/>
        <v>6683.8434233046855</v>
      </c>
      <c r="S28" s="74"/>
      <c r="T28" s="89"/>
      <c r="U28" s="74"/>
      <c r="V28" s="74"/>
      <c r="W28" s="74"/>
    </row>
    <row r="29" spans="1:23"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74"/>
      <c r="S29" s="74"/>
      <c r="T29" s="74"/>
      <c r="U29" s="74"/>
      <c r="V29" s="74"/>
      <c r="W29" s="74"/>
    </row>
    <row r="30" spans="1:23">
      <c r="B30" s="66" t="s">
        <v>41</v>
      </c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</row>
    <row r="31" spans="1:23">
      <c r="C31" s="66" t="s">
        <v>118</v>
      </c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</row>
    <row r="32" spans="1:23">
      <c r="D32" s="87" t="s">
        <v>124</v>
      </c>
      <c r="F32" s="112">
        <v>377.58403911775332</v>
      </c>
      <c r="G32" s="112">
        <v>313.18801515336099</v>
      </c>
      <c r="H32" s="112">
        <v>344.94910442670641</v>
      </c>
      <c r="I32" s="88">
        <v>389.39480800710135</v>
      </c>
      <c r="J32" s="88">
        <v>418.16340897068676</v>
      </c>
      <c r="K32" s="88">
        <v>368.4855729514652</v>
      </c>
      <c r="L32" s="88">
        <v>380.280010615219</v>
      </c>
      <c r="M32" s="88">
        <v>368.24240323399226</v>
      </c>
      <c r="N32" s="88">
        <v>375.34923394188036</v>
      </c>
      <c r="O32" s="88">
        <v>422.91511499856682</v>
      </c>
      <c r="P32" s="88">
        <v>349.10367713238645</v>
      </c>
      <c r="Q32" s="88">
        <v>390.14723227071482</v>
      </c>
      <c r="R32" s="74">
        <f>SUM(F32:Q32)</f>
        <v>4497.8026208198335</v>
      </c>
      <c r="S32" s="89">
        <f>+R32/R34</f>
        <v>0.60741830627341009</v>
      </c>
      <c r="T32" s="74"/>
      <c r="U32" s="90"/>
      <c r="V32" s="74"/>
      <c r="W32" s="74"/>
    </row>
    <row r="33" spans="2:23">
      <c r="D33" s="87" t="s">
        <v>125</v>
      </c>
      <c r="F33" s="100">
        <v>409.34009846906156</v>
      </c>
      <c r="G33" s="100">
        <v>330.10260068516629</v>
      </c>
      <c r="H33" s="100">
        <v>347.39217815919892</v>
      </c>
      <c r="I33" s="100">
        <v>386.4439518826656</v>
      </c>
      <c r="J33" s="100">
        <v>371.50802774806857</v>
      </c>
      <c r="K33" s="100">
        <v>121.62275150831172</v>
      </c>
      <c r="L33" s="100">
        <v>174.06227814012601</v>
      </c>
      <c r="M33" s="100">
        <v>141.00898104232661</v>
      </c>
      <c r="N33" s="100">
        <v>169.06535758693198</v>
      </c>
      <c r="O33" s="100">
        <v>148.52362553945292</v>
      </c>
      <c r="P33" s="100">
        <v>140.73563625632286</v>
      </c>
      <c r="Q33" s="100">
        <v>167.17797510829641</v>
      </c>
      <c r="R33" s="74">
        <f>SUM(F33:Q33)</f>
        <v>2906.9834621259292</v>
      </c>
      <c r="S33" s="89">
        <f>+R33/R34</f>
        <v>0.39258169372659002</v>
      </c>
      <c r="T33" s="90"/>
      <c r="U33" s="74"/>
      <c r="V33" s="74"/>
      <c r="W33" s="74"/>
    </row>
    <row r="34" spans="2:23">
      <c r="C34" s="92" t="s">
        <v>121</v>
      </c>
      <c r="D34" s="93"/>
      <c r="E34" s="93"/>
      <c r="F34" s="94">
        <f>SUM(F32:F33)</f>
        <v>786.92413758681482</v>
      </c>
      <c r="G34" s="94">
        <f t="shared" ref="G34:Q34" si="7">SUM(G32:G33)</f>
        <v>643.29061583852729</v>
      </c>
      <c r="H34" s="94">
        <f t="shared" si="7"/>
        <v>692.34128258590533</v>
      </c>
      <c r="I34" s="94">
        <f t="shared" si="7"/>
        <v>775.83875988976695</v>
      </c>
      <c r="J34" s="94">
        <f t="shared" si="7"/>
        <v>789.67143671875533</v>
      </c>
      <c r="K34" s="94">
        <f t="shared" si="7"/>
        <v>490.1083244597769</v>
      </c>
      <c r="L34" s="94">
        <f t="shared" si="7"/>
        <v>554.34228875534495</v>
      </c>
      <c r="M34" s="94">
        <f t="shared" si="7"/>
        <v>509.25138427631884</v>
      </c>
      <c r="N34" s="94">
        <f t="shared" si="7"/>
        <v>544.41459152881237</v>
      </c>
      <c r="O34" s="94">
        <f t="shared" si="7"/>
        <v>571.43874053801972</v>
      </c>
      <c r="P34" s="94">
        <f t="shared" si="7"/>
        <v>489.83931338870934</v>
      </c>
      <c r="Q34" s="94">
        <f t="shared" si="7"/>
        <v>557.3252073790112</v>
      </c>
      <c r="R34" s="95">
        <f>SUM(R32:R33)</f>
        <v>7404.7860829457622</v>
      </c>
      <c r="S34" s="74"/>
      <c r="T34" s="74"/>
      <c r="U34" s="74"/>
      <c r="V34" s="74"/>
      <c r="W34" s="74"/>
    </row>
    <row r="35" spans="2:23">
      <c r="C35" s="66" t="s">
        <v>111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</row>
    <row r="36" spans="2:23">
      <c r="D36" s="87" t="s">
        <v>124</v>
      </c>
      <c r="F36" s="112">
        <v>212.36214305305015</v>
      </c>
      <c r="G36" s="112">
        <v>149.56174762792975</v>
      </c>
      <c r="H36" s="112">
        <v>158.49881776914773</v>
      </c>
      <c r="I36" s="112">
        <v>144.58943110515565</v>
      </c>
      <c r="J36" s="112">
        <v>172.39369608179743</v>
      </c>
      <c r="K36" s="112">
        <v>217.34171785521397</v>
      </c>
      <c r="L36" s="112">
        <v>178.1671839938009</v>
      </c>
      <c r="M36" s="112">
        <v>172.64959745786919</v>
      </c>
      <c r="N36" s="112">
        <v>138.03076624430861</v>
      </c>
      <c r="O36" s="112">
        <v>142.0632880269018</v>
      </c>
      <c r="P36" s="112">
        <v>128.36171614285314</v>
      </c>
      <c r="Q36" s="88">
        <v>218.48085530297777</v>
      </c>
      <c r="R36" s="74">
        <f>SUM(F36:Q36)</f>
        <v>2032.5009606610058</v>
      </c>
      <c r="S36" s="89">
        <f>+R36/R38</f>
        <v>0.56033001600544519</v>
      </c>
      <c r="T36" s="74"/>
      <c r="U36" s="90"/>
      <c r="V36" s="74"/>
      <c r="W36" s="74"/>
    </row>
    <row r="37" spans="2:23">
      <c r="D37" s="87" t="s">
        <v>125</v>
      </c>
      <c r="F37" s="100">
        <v>190.30064785232452</v>
      </c>
      <c r="G37" s="100">
        <v>166.66028965990171</v>
      </c>
      <c r="H37" s="100">
        <v>191.51371550006652</v>
      </c>
      <c r="I37" s="100">
        <v>218.43097675496387</v>
      </c>
      <c r="J37" s="100">
        <v>199.75025412305234</v>
      </c>
      <c r="K37" s="100">
        <v>90.60877237683286</v>
      </c>
      <c r="L37" s="100">
        <v>115.40275944387975</v>
      </c>
      <c r="M37" s="100">
        <v>75.695448303467529</v>
      </c>
      <c r="N37" s="100">
        <v>79.713372216530701</v>
      </c>
      <c r="O37" s="100">
        <v>73.468442097480022</v>
      </c>
      <c r="P37" s="100">
        <v>75.68233657815631</v>
      </c>
      <c r="Q37" s="100">
        <v>117.60038915312857</v>
      </c>
      <c r="R37" s="74">
        <f>SUM(F37:Q37)</f>
        <v>1594.8274040597846</v>
      </c>
      <c r="S37" s="89">
        <f>+R37/R38</f>
        <v>0.43966998399455481</v>
      </c>
      <c r="T37" s="74"/>
      <c r="U37" s="90"/>
      <c r="V37" s="74"/>
      <c r="W37" s="74"/>
    </row>
    <row r="38" spans="2:23">
      <c r="C38" s="92" t="s">
        <v>126</v>
      </c>
      <c r="D38" s="93"/>
      <c r="E38" s="93"/>
      <c r="F38" s="94">
        <f>SUM(F36:F37)</f>
        <v>402.66279090537466</v>
      </c>
      <c r="G38" s="94">
        <f t="shared" ref="G38:Q38" si="8">SUM(G36:G37)</f>
        <v>316.22203728783143</v>
      </c>
      <c r="H38" s="94">
        <f t="shared" si="8"/>
        <v>350.01253326921426</v>
      </c>
      <c r="I38" s="94">
        <f t="shared" si="8"/>
        <v>363.02040786011952</v>
      </c>
      <c r="J38" s="94">
        <f t="shared" si="8"/>
        <v>372.14395020484977</v>
      </c>
      <c r="K38" s="94">
        <f t="shared" si="8"/>
        <v>307.95049023204683</v>
      </c>
      <c r="L38" s="94">
        <f t="shared" si="8"/>
        <v>293.56994343768065</v>
      </c>
      <c r="M38" s="94">
        <f t="shared" si="8"/>
        <v>248.34504576133673</v>
      </c>
      <c r="N38" s="94">
        <f t="shared" si="8"/>
        <v>217.74413846083931</v>
      </c>
      <c r="O38" s="94">
        <f t="shared" si="8"/>
        <v>215.53173012438182</v>
      </c>
      <c r="P38" s="94">
        <f t="shared" si="8"/>
        <v>204.04405272100945</v>
      </c>
      <c r="Q38" s="94">
        <f t="shared" si="8"/>
        <v>336.08124445610633</v>
      </c>
      <c r="R38" s="95">
        <f>SUM(R36:R37)</f>
        <v>3627.3283647207904</v>
      </c>
      <c r="S38" s="74"/>
      <c r="T38" s="74"/>
      <c r="U38" s="74"/>
      <c r="V38" s="74"/>
      <c r="W38" s="74"/>
    </row>
    <row r="39" spans="2:23">
      <c r="C39" s="66" t="s">
        <v>60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</row>
    <row r="40" spans="2:23">
      <c r="D40" s="87" t="s">
        <v>124</v>
      </c>
      <c r="F40" s="112">
        <v>112.06046245762346</v>
      </c>
      <c r="G40" s="112">
        <v>60.071504260695036</v>
      </c>
      <c r="H40" s="112">
        <v>185.33818650573738</v>
      </c>
      <c r="I40" s="112">
        <v>346.79341988824223</v>
      </c>
      <c r="J40" s="112">
        <v>425.16451948005908</v>
      </c>
      <c r="K40" s="112">
        <v>310.78766082371669</v>
      </c>
      <c r="L40" s="112">
        <v>229.98393674792638</v>
      </c>
      <c r="M40" s="112">
        <v>185.8767223295701</v>
      </c>
      <c r="N40" s="112">
        <v>208.74654041498442</v>
      </c>
      <c r="O40" s="112">
        <v>245.16455224607571</v>
      </c>
      <c r="P40" s="112">
        <v>222.35382841373183</v>
      </c>
      <c r="Q40" s="88">
        <v>111.97984975217079</v>
      </c>
      <c r="R40" s="74">
        <f>SUM(F40:Q40)</f>
        <v>2644.3211833205328</v>
      </c>
      <c r="S40" s="89">
        <f>+R40/R42</f>
        <v>0.6119956259095205</v>
      </c>
      <c r="T40" s="74"/>
      <c r="U40" s="90"/>
      <c r="V40" s="74"/>
      <c r="W40" s="74"/>
    </row>
    <row r="41" spans="2:23">
      <c r="D41" s="87" t="s">
        <v>125</v>
      </c>
      <c r="F41" s="100">
        <v>108.90310763877608</v>
      </c>
      <c r="G41" s="100">
        <v>64.074996428143663</v>
      </c>
      <c r="H41" s="100">
        <v>139.03766513399842</v>
      </c>
      <c r="I41" s="100">
        <v>214.70567364986067</v>
      </c>
      <c r="J41" s="100">
        <v>314.21330607501289</v>
      </c>
      <c r="K41" s="100">
        <v>139.14124674760194</v>
      </c>
      <c r="L41" s="100">
        <v>113.49508673151583</v>
      </c>
      <c r="M41" s="100">
        <v>94.853746144795565</v>
      </c>
      <c r="N41" s="100">
        <v>135.6330373842749</v>
      </c>
      <c r="O41" s="100">
        <v>130.1216121143917</v>
      </c>
      <c r="P41" s="100">
        <v>135.82823004542942</v>
      </c>
      <c r="Q41" s="100">
        <v>86.488237614425174</v>
      </c>
      <c r="R41" s="74">
        <f>SUM(F41:Q41)</f>
        <v>1676.4959457082264</v>
      </c>
      <c r="S41" s="89">
        <f>+R41/R42</f>
        <v>0.3880043740904795</v>
      </c>
      <c r="T41" s="74"/>
      <c r="U41" s="90"/>
      <c r="V41" s="74"/>
      <c r="W41" s="74"/>
    </row>
    <row r="42" spans="2:23" ht="13.5" thickBot="1">
      <c r="C42" s="113" t="s">
        <v>127</v>
      </c>
      <c r="D42" s="103"/>
      <c r="E42" s="103"/>
      <c r="F42" s="104">
        <f>SUM(F40:F41)</f>
        <v>220.96357009639954</v>
      </c>
      <c r="G42" s="104">
        <f t="shared" ref="G42:Q42" si="9">SUM(G40:G41)</f>
        <v>124.1465006888387</v>
      </c>
      <c r="H42" s="104">
        <f t="shared" si="9"/>
        <v>324.3758516397358</v>
      </c>
      <c r="I42" s="104">
        <f t="shared" si="9"/>
        <v>561.4990935381029</v>
      </c>
      <c r="J42" s="104">
        <f t="shared" si="9"/>
        <v>739.37782555507192</v>
      </c>
      <c r="K42" s="104">
        <f t="shared" si="9"/>
        <v>449.92890757131863</v>
      </c>
      <c r="L42" s="104">
        <f t="shared" si="9"/>
        <v>343.47902347944222</v>
      </c>
      <c r="M42" s="104">
        <f t="shared" si="9"/>
        <v>280.73046847436569</v>
      </c>
      <c r="N42" s="104">
        <f t="shared" si="9"/>
        <v>344.37957779925932</v>
      </c>
      <c r="O42" s="104">
        <f t="shared" si="9"/>
        <v>375.28616436046741</v>
      </c>
      <c r="P42" s="104">
        <f t="shared" si="9"/>
        <v>358.18205845916123</v>
      </c>
      <c r="Q42" s="104">
        <f t="shared" si="9"/>
        <v>198.46808736659597</v>
      </c>
      <c r="R42" s="105">
        <f>SUM(R40:R41)</f>
        <v>4320.8171290287592</v>
      </c>
      <c r="S42" s="106"/>
      <c r="T42" s="74"/>
      <c r="U42" s="74"/>
      <c r="V42" s="74"/>
      <c r="W42" s="74"/>
    </row>
    <row r="43" spans="2:23" ht="13.5" thickBot="1">
      <c r="B43" s="107" t="s">
        <v>58</v>
      </c>
      <c r="C43" s="108"/>
      <c r="D43" s="108"/>
      <c r="E43" s="108"/>
      <c r="F43" s="109">
        <f t="shared" ref="F43:R43" si="10">F34+F38+F42</f>
        <v>1410.5504985885891</v>
      </c>
      <c r="G43" s="109">
        <f t="shared" si="10"/>
        <v>1083.6591538151974</v>
      </c>
      <c r="H43" s="109">
        <f t="shared" si="10"/>
        <v>1366.7296674948554</v>
      </c>
      <c r="I43" s="109">
        <f t="shared" si="10"/>
        <v>1700.3582612879893</v>
      </c>
      <c r="J43" s="109">
        <f t="shared" si="10"/>
        <v>1901.193212478677</v>
      </c>
      <c r="K43" s="109">
        <f t="shared" si="10"/>
        <v>1247.9877222631424</v>
      </c>
      <c r="L43" s="109">
        <f t="shared" si="10"/>
        <v>1191.3912556724679</v>
      </c>
      <c r="M43" s="109">
        <f t="shared" si="10"/>
        <v>1038.3268985120212</v>
      </c>
      <c r="N43" s="109">
        <f t="shared" si="10"/>
        <v>1106.538307788911</v>
      </c>
      <c r="O43" s="109">
        <f t="shared" si="10"/>
        <v>1162.256635022869</v>
      </c>
      <c r="P43" s="109">
        <f t="shared" si="10"/>
        <v>1052.06542456888</v>
      </c>
      <c r="Q43" s="109">
        <f t="shared" si="10"/>
        <v>1091.8745392017136</v>
      </c>
      <c r="R43" s="110">
        <f t="shared" si="10"/>
        <v>15352.931576695311</v>
      </c>
      <c r="S43" s="74">
        <f>+R32+R36+R40</f>
        <v>9174.6247648013723</v>
      </c>
      <c r="T43" s="89"/>
      <c r="U43" s="74"/>
      <c r="V43" s="74"/>
      <c r="W43" s="74"/>
    </row>
    <row r="44" spans="2:23"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74"/>
      <c r="S44" s="74"/>
      <c r="T44" s="74"/>
      <c r="U44" s="74"/>
      <c r="V44" s="74"/>
      <c r="W44" s="74"/>
    </row>
    <row r="45" spans="2:23">
      <c r="B45" s="66" t="s">
        <v>116</v>
      </c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74"/>
      <c r="S45" s="74"/>
      <c r="T45" s="74"/>
      <c r="U45" s="74"/>
      <c r="V45" s="74"/>
      <c r="W45" s="74"/>
    </row>
    <row r="46" spans="2:23">
      <c r="C46" s="87" t="s">
        <v>119</v>
      </c>
      <c r="F46" s="88">
        <v>79.37</v>
      </c>
      <c r="G46" s="88">
        <v>64.649999999999991</v>
      </c>
      <c r="H46" s="88">
        <v>79.98</v>
      </c>
      <c r="I46" s="88">
        <v>85.47</v>
      </c>
      <c r="J46" s="88">
        <v>89.18</v>
      </c>
      <c r="K46" s="88">
        <v>89.980000000000018</v>
      </c>
      <c r="L46" s="88">
        <v>63.56</v>
      </c>
      <c r="M46" s="88">
        <v>66.8</v>
      </c>
      <c r="N46" s="88">
        <v>68.280000000000015</v>
      </c>
      <c r="O46" s="88">
        <v>72.589999999999989</v>
      </c>
      <c r="P46" s="88">
        <v>64.94</v>
      </c>
      <c r="Q46" s="88">
        <v>67.31</v>
      </c>
      <c r="R46" s="74">
        <f>SUM(F46:Q46)</f>
        <v>892.1099999999999</v>
      </c>
      <c r="S46" s="89">
        <f>+R46/R48</f>
        <v>0.12575556808570626</v>
      </c>
      <c r="T46" s="74"/>
      <c r="U46" s="74"/>
      <c r="V46" s="74"/>
      <c r="W46" s="74"/>
    </row>
    <row r="47" spans="2:23" ht="13.5" thickBot="1">
      <c r="C47" s="87" t="s">
        <v>120</v>
      </c>
      <c r="F47" s="100">
        <v>1170.3899999999999</v>
      </c>
      <c r="G47" s="100">
        <v>1059.6699999999998</v>
      </c>
      <c r="H47" s="100">
        <v>1188.9300000000003</v>
      </c>
      <c r="I47" s="100">
        <v>1219.7399999999996</v>
      </c>
      <c r="J47" s="100">
        <v>1298.22</v>
      </c>
      <c r="K47" s="100">
        <v>23.340000000000003</v>
      </c>
      <c r="L47" s="100">
        <v>33.699999999999989</v>
      </c>
      <c r="M47" s="100">
        <v>30.940000000000012</v>
      </c>
      <c r="N47" s="100">
        <v>45.319999999999979</v>
      </c>
      <c r="O47" s="100">
        <v>45.78000000000003</v>
      </c>
      <c r="P47" s="100">
        <v>43.629999999999995</v>
      </c>
      <c r="Q47" s="100">
        <v>42.22999999999999</v>
      </c>
      <c r="R47" s="74">
        <f>SUM(F47:Q47)</f>
        <v>6201.8899999999985</v>
      </c>
      <c r="S47" s="89">
        <f>+R47/R48</f>
        <v>0.8742444319142938</v>
      </c>
    </row>
    <row r="48" spans="2:23" ht="13.5" thickBot="1">
      <c r="B48" s="107" t="s">
        <v>128</v>
      </c>
      <c r="C48" s="108"/>
      <c r="D48" s="108"/>
      <c r="E48" s="108"/>
      <c r="F48" s="115">
        <f>SUM(F46:F47)</f>
        <v>1249.7599999999998</v>
      </c>
      <c r="G48" s="115">
        <f t="shared" ref="G48:Q48" si="11">SUM(G46:G47)</f>
        <v>1124.32</v>
      </c>
      <c r="H48" s="115">
        <f t="shared" si="11"/>
        <v>1268.9100000000003</v>
      </c>
      <c r="I48" s="115">
        <f t="shared" si="11"/>
        <v>1305.2099999999996</v>
      </c>
      <c r="J48" s="115">
        <f t="shared" si="11"/>
        <v>1387.4</v>
      </c>
      <c r="K48" s="115">
        <f t="shared" si="11"/>
        <v>113.32000000000002</v>
      </c>
      <c r="L48" s="115">
        <f t="shared" si="11"/>
        <v>97.259999999999991</v>
      </c>
      <c r="M48" s="115">
        <f t="shared" si="11"/>
        <v>97.740000000000009</v>
      </c>
      <c r="N48" s="115">
        <f t="shared" si="11"/>
        <v>113.6</v>
      </c>
      <c r="O48" s="115">
        <f t="shared" si="11"/>
        <v>118.37000000000002</v>
      </c>
      <c r="P48" s="115">
        <f t="shared" si="11"/>
        <v>108.57</v>
      </c>
      <c r="Q48" s="115">
        <f t="shared" si="11"/>
        <v>109.53999999999999</v>
      </c>
      <c r="R48" s="110">
        <f>SUM(R46:R47)</f>
        <v>7093.9999999999982</v>
      </c>
      <c r="U48" s="111"/>
    </row>
    <row r="49" spans="1:19"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</row>
    <row r="50" spans="1:19"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</row>
    <row r="51" spans="1:19">
      <c r="B51" s="66" t="s">
        <v>121</v>
      </c>
      <c r="F51" s="111">
        <f t="shared" ref="F51:R51" si="12">F21+F22+F34+F46+F47</f>
        <v>2779.5487408657855</v>
      </c>
      <c r="G51" s="111">
        <f t="shared" si="12"/>
        <v>2431.1866493045104</v>
      </c>
      <c r="H51" s="111">
        <f t="shared" si="12"/>
        <v>2734.9161711414431</v>
      </c>
      <c r="I51" s="111">
        <f t="shared" si="12"/>
        <v>2836.2616474517731</v>
      </c>
      <c r="J51" s="111">
        <f t="shared" si="12"/>
        <v>2988.0652211365041</v>
      </c>
      <c r="K51" s="111">
        <f t="shared" si="12"/>
        <v>816.38041585714893</v>
      </c>
      <c r="L51" s="111">
        <f t="shared" si="12"/>
        <v>867.3472259869377</v>
      </c>
      <c r="M51" s="111">
        <f t="shared" si="12"/>
        <v>809.10668846265867</v>
      </c>
      <c r="N51" s="111">
        <f t="shared" si="12"/>
        <v>912.0448452460829</v>
      </c>
      <c r="O51" s="111">
        <f t="shared" si="12"/>
        <v>957.86065877193937</v>
      </c>
      <c r="P51" s="111">
        <f t="shared" si="12"/>
        <v>836.24474355955306</v>
      </c>
      <c r="Q51" s="111">
        <f t="shared" si="12"/>
        <v>909.40469095236949</v>
      </c>
      <c r="R51" s="111">
        <f t="shared" si="12"/>
        <v>19878.367698736707</v>
      </c>
    </row>
    <row r="52" spans="1:19">
      <c r="B52" s="66" t="s">
        <v>126</v>
      </c>
      <c r="F52" s="111">
        <f t="shared" ref="F52:R52" si="13">+F27+F38</f>
        <v>527.93768903781449</v>
      </c>
      <c r="G52" s="111">
        <f t="shared" si="13"/>
        <v>449.77685000665088</v>
      </c>
      <c r="H52" s="111">
        <f t="shared" si="13"/>
        <v>517.72297721882126</v>
      </c>
      <c r="I52" s="111">
        <f t="shared" si="13"/>
        <v>543.73925901012342</v>
      </c>
      <c r="J52" s="111">
        <f t="shared" si="13"/>
        <v>517.31695330842388</v>
      </c>
      <c r="K52" s="111">
        <f t="shared" si="13"/>
        <v>418.36067657153251</v>
      </c>
      <c r="L52" s="111">
        <f t="shared" si="13"/>
        <v>367.19375053362006</v>
      </c>
      <c r="M52" s="111">
        <f t="shared" si="13"/>
        <v>320.50284306297573</v>
      </c>
      <c r="N52" s="111">
        <f t="shared" si="13"/>
        <v>306.18557695465768</v>
      </c>
      <c r="O52" s="111">
        <f t="shared" si="13"/>
        <v>288.71317686759329</v>
      </c>
      <c r="P52" s="111">
        <f t="shared" si="13"/>
        <v>263.70319798128571</v>
      </c>
      <c r="Q52" s="111">
        <f t="shared" si="13"/>
        <v>410.43722168103466</v>
      </c>
      <c r="R52" s="111">
        <f t="shared" si="13"/>
        <v>4931.5901722345334</v>
      </c>
    </row>
    <row r="53" spans="1:19" ht="13.5" thickBot="1">
      <c r="B53" s="66" t="s">
        <v>127</v>
      </c>
      <c r="F53" s="111">
        <f t="shared" ref="F53:R53" si="14">F42</f>
        <v>220.96357009639954</v>
      </c>
      <c r="G53" s="111">
        <f t="shared" si="14"/>
        <v>124.1465006888387</v>
      </c>
      <c r="H53" s="111">
        <f t="shared" si="14"/>
        <v>324.3758516397358</v>
      </c>
      <c r="I53" s="111">
        <f t="shared" si="14"/>
        <v>561.4990935381029</v>
      </c>
      <c r="J53" s="111">
        <f t="shared" si="14"/>
        <v>739.37782555507192</v>
      </c>
      <c r="K53" s="111">
        <f t="shared" si="14"/>
        <v>449.92890757131863</v>
      </c>
      <c r="L53" s="111">
        <f t="shared" si="14"/>
        <v>343.47902347944222</v>
      </c>
      <c r="M53" s="111">
        <f t="shared" si="14"/>
        <v>280.73046847436569</v>
      </c>
      <c r="N53" s="111">
        <f t="shared" si="14"/>
        <v>344.37957779925932</v>
      </c>
      <c r="O53" s="111">
        <f t="shared" si="14"/>
        <v>375.28616436046741</v>
      </c>
      <c r="P53" s="111">
        <f t="shared" si="14"/>
        <v>358.18205845916123</v>
      </c>
      <c r="Q53" s="111">
        <f t="shared" si="14"/>
        <v>198.46808736659597</v>
      </c>
      <c r="R53" s="111">
        <f t="shared" si="14"/>
        <v>4320.8171290287592</v>
      </c>
      <c r="S53" s="85"/>
    </row>
    <row r="54" spans="1:19" ht="13.5" thickBot="1">
      <c r="A54" s="107" t="s">
        <v>129</v>
      </c>
      <c r="B54" s="108"/>
      <c r="C54" s="108"/>
      <c r="D54" s="108"/>
      <c r="E54" s="108"/>
      <c r="F54" s="116">
        <f t="shared" ref="F54:R54" si="15">SUM(F51:F53)</f>
        <v>3528.4499999999994</v>
      </c>
      <c r="G54" s="116">
        <f t="shared" si="15"/>
        <v>3005.11</v>
      </c>
      <c r="H54" s="116">
        <f t="shared" si="15"/>
        <v>3577.0149999999999</v>
      </c>
      <c r="I54" s="116">
        <f t="shared" si="15"/>
        <v>3941.4999999999995</v>
      </c>
      <c r="J54" s="116">
        <f t="shared" si="15"/>
        <v>4244.76</v>
      </c>
      <c r="K54" s="116">
        <f t="shared" si="15"/>
        <v>1684.67</v>
      </c>
      <c r="L54" s="116">
        <f t="shared" si="15"/>
        <v>1578.02</v>
      </c>
      <c r="M54" s="116">
        <f t="shared" si="15"/>
        <v>1410.3400000000001</v>
      </c>
      <c r="N54" s="116">
        <f t="shared" si="15"/>
        <v>1562.61</v>
      </c>
      <c r="O54" s="116">
        <f t="shared" si="15"/>
        <v>1621.8600000000001</v>
      </c>
      <c r="P54" s="116">
        <f t="shared" si="15"/>
        <v>1458.1299999999999</v>
      </c>
      <c r="Q54" s="116">
        <f t="shared" si="15"/>
        <v>1518.3100000000002</v>
      </c>
      <c r="R54" s="117">
        <f t="shared" si="15"/>
        <v>29130.775000000001</v>
      </c>
    </row>
    <row r="56" spans="1:19">
      <c r="B56" s="65" t="s">
        <v>130</v>
      </c>
    </row>
    <row r="57" spans="1:19">
      <c r="C57" s="65" t="s">
        <v>61</v>
      </c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</row>
    <row r="58" spans="1:19">
      <c r="D58" s="66" t="s">
        <v>118</v>
      </c>
      <c r="F58" s="74">
        <f t="shared" ref="F58:R58" si="16">F21</f>
        <v>132.19465187953074</v>
      </c>
      <c r="G58" s="74">
        <f t="shared" si="16"/>
        <v>119.47667908872896</v>
      </c>
      <c r="H58" s="74">
        <f t="shared" si="16"/>
        <v>138.29398725125222</v>
      </c>
      <c r="I58" s="74">
        <f t="shared" si="16"/>
        <v>127.31762006191934</v>
      </c>
      <c r="J58" s="74">
        <f t="shared" si="16"/>
        <v>143.67845657281924</v>
      </c>
      <c r="K58" s="74">
        <f t="shared" si="16"/>
        <v>137.78923535526215</v>
      </c>
      <c r="L58" s="74">
        <f t="shared" si="16"/>
        <v>135.6016632642212</v>
      </c>
      <c r="M58" s="74">
        <f t="shared" si="16"/>
        <v>131.63676918919609</v>
      </c>
      <c r="N58" s="74">
        <f t="shared" si="16"/>
        <v>161.13282239148236</v>
      </c>
      <c r="O58" s="74">
        <f t="shared" si="16"/>
        <v>179.88150178360826</v>
      </c>
      <c r="P58" s="74">
        <f t="shared" si="16"/>
        <v>159.25746200552288</v>
      </c>
      <c r="Q58" s="74">
        <f t="shared" si="16"/>
        <v>156.22959846676108</v>
      </c>
      <c r="R58" s="74">
        <f t="shared" si="16"/>
        <v>1722.4904473103045</v>
      </c>
    </row>
    <row r="59" spans="1:19">
      <c r="D59" s="66" t="s">
        <v>131</v>
      </c>
      <c r="F59" s="74">
        <f t="shared" ref="F59:R59" si="17">F25</f>
        <v>4.0234371096297012</v>
      </c>
      <c r="G59" s="74">
        <f t="shared" si="17"/>
        <v>4.7294819272879254</v>
      </c>
      <c r="H59" s="74">
        <f t="shared" si="17"/>
        <v>4.9498131633366036</v>
      </c>
      <c r="I59" s="74">
        <f t="shared" si="17"/>
        <v>4.3211195429426699</v>
      </c>
      <c r="J59" s="74">
        <f t="shared" si="17"/>
        <v>5.9549898412693842</v>
      </c>
      <c r="K59" s="74">
        <f t="shared" si="17"/>
        <v>6.3267079901145777</v>
      </c>
      <c r="L59" s="74">
        <f t="shared" si="17"/>
        <v>2.8912007837123519</v>
      </c>
      <c r="M59" s="74">
        <f t="shared" si="17"/>
        <v>2.9604254968706747</v>
      </c>
      <c r="N59" s="74">
        <f t="shared" si="17"/>
        <v>2.9475843783250633</v>
      </c>
      <c r="O59" s="74">
        <f t="shared" si="17"/>
        <v>2.6520048799762233</v>
      </c>
      <c r="P59" s="74">
        <f t="shared" si="17"/>
        <v>2.3456164509255246</v>
      </c>
      <c r="Q59" s="74">
        <f t="shared" si="17"/>
        <v>2.7651185033766739</v>
      </c>
      <c r="R59" s="74">
        <f t="shared" si="17"/>
        <v>46.867500067767381</v>
      </c>
    </row>
    <row r="60" spans="1:19">
      <c r="C60" s="65" t="s">
        <v>110</v>
      </c>
      <c r="D60" s="65"/>
      <c r="E60" s="65"/>
      <c r="F60" s="118">
        <f t="shared" ref="F60:R60" si="18">SUM(F58:F59)</f>
        <v>136.21808898916044</v>
      </c>
      <c r="G60" s="118">
        <f t="shared" si="18"/>
        <v>124.20616101601688</v>
      </c>
      <c r="H60" s="118">
        <f t="shared" si="18"/>
        <v>143.24380041458883</v>
      </c>
      <c r="I60" s="118">
        <f t="shared" si="18"/>
        <v>131.63873960486202</v>
      </c>
      <c r="J60" s="118">
        <f t="shared" si="18"/>
        <v>149.63344641408864</v>
      </c>
      <c r="K60" s="118">
        <f t="shared" si="18"/>
        <v>144.11594334537673</v>
      </c>
      <c r="L60" s="118">
        <f t="shared" si="18"/>
        <v>138.49286404793355</v>
      </c>
      <c r="M60" s="118">
        <f t="shared" si="18"/>
        <v>134.59719468606676</v>
      </c>
      <c r="N60" s="118">
        <f t="shared" si="18"/>
        <v>164.08040676980744</v>
      </c>
      <c r="O60" s="118">
        <f t="shared" si="18"/>
        <v>182.53350666358449</v>
      </c>
      <c r="P60" s="118">
        <f t="shared" si="18"/>
        <v>161.6030784564484</v>
      </c>
      <c r="Q60" s="118">
        <f t="shared" si="18"/>
        <v>158.99471697013774</v>
      </c>
      <c r="R60" s="118">
        <f t="shared" si="18"/>
        <v>1769.3579473780719</v>
      </c>
    </row>
    <row r="61" spans="1:19" ht="7.5" customHeight="1">
      <c r="C61" s="65"/>
      <c r="D61" s="65"/>
      <c r="E61" s="65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</row>
    <row r="62" spans="1:19">
      <c r="C62" s="65" t="s">
        <v>41</v>
      </c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</row>
    <row r="63" spans="1:19">
      <c r="D63" s="66" t="s">
        <v>118</v>
      </c>
      <c r="F63" s="74">
        <f t="shared" ref="F63:R63" si="19">F32</f>
        <v>377.58403911775332</v>
      </c>
      <c r="G63" s="74">
        <f t="shared" si="19"/>
        <v>313.18801515336099</v>
      </c>
      <c r="H63" s="74">
        <f t="shared" si="19"/>
        <v>344.94910442670641</v>
      </c>
      <c r="I63" s="74">
        <f t="shared" si="19"/>
        <v>389.39480800710135</v>
      </c>
      <c r="J63" s="74">
        <f t="shared" si="19"/>
        <v>418.16340897068676</v>
      </c>
      <c r="K63" s="74">
        <f t="shared" si="19"/>
        <v>368.4855729514652</v>
      </c>
      <c r="L63" s="74">
        <f t="shared" si="19"/>
        <v>380.280010615219</v>
      </c>
      <c r="M63" s="74">
        <f t="shared" si="19"/>
        <v>368.24240323399226</v>
      </c>
      <c r="N63" s="74">
        <f t="shared" si="19"/>
        <v>375.34923394188036</v>
      </c>
      <c r="O63" s="74">
        <f t="shared" si="19"/>
        <v>422.91511499856682</v>
      </c>
      <c r="P63" s="74">
        <f t="shared" si="19"/>
        <v>349.10367713238645</v>
      </c>
      <c r="Q63" s="74">
        <f t="shared" si="19"/>
        <v>390.14723227071482</v>
      </c>
      <c r="R63" s="74">
        <f t="shared" si="19"/>
        <v>4497.8026208198335</v>
      </c>
    </row>
    <row r="64" spans="1:19">
      <c r="D64" s="66" t="s">
        <v>111</v>
      </c>
      <c r="F64" s="74">
        <f t="shared" ref="F64:R64" si="20">F36</f>
        <v>212.36214305305015</v>
      </c>
      <c r="G64" s="74">
        <f t="shared" si="20"/>
        <v>149.56174762792975</v>
      </c>
      <c r="H64" s="74">
        <f t="shared" si="20"/>
        <v>158.49881776914773</v>
      </c>
      <c r="I64" s="74">
        <f t="shared" si="20"/>
        <v>144.58943110515565</v>
      </c>
      <c r="J64" s="74">
        <f t="shared" si="20"/>
        <v>172.39369608179743</v>
      </c>
      <c r="K64" s="74">
        <f t="shared" si="20"/>
        <v>217.34171785521397</v>
      </c>
      <c r="L64" s="74">
        <f t="shared" si="20"/>
        <v>178.1671839938009</v>
      </c>
      <c r="M64" s="74">
        <f t="shared" si="20"/>
        <v>172.64959745786919</v>
      </c>
      <c r="N64" s="74">
        <f t="shared" si="20"/>
        <v>138.03076624430861</v>
      </c>
      <c r="O64" s="74">
        <f t="shared" si="20"/>
        <v>142.0632880269018</v>
      </c>
      <c r="P64" s="74">
        <f t="shared" si="20"/>
        <v>128.36171614285314</v>
      </c>
      <c r="Q64" s="74">
        <f t="shared" si="20"/>
        <v>218.48085530297777</v>
      </c>
      <c r="R64" s="74">
        <f t="shared" si="20"/>
        <v>2032.5009606610058</v>
      </c>
    </row>
    <row r="65" spans="1:18">
      <c r="D65" s="66" t="s">
        <v>60</v>
      </c>
      <c r="F65" s="74">
        <f t="shared" ref="F65:R65" si="21">F40</f>
        <v>112.06046245762346</v>
      </c>
      <c r="G65" s="74">
        <f t="shared" si="21"/>
        <v>60.071504260695036</v>
      </c>
      <c r="H65" s="74">
        <f t="shared" si="21"/>
        <v>185.33818650573738</v>
      </c>
      <c r="I65" s="74">
        <f t="shared" si="21"/>
        <v>346.79341988824223</v>
      </c>
      <c r="J65" s="74">
        <f t="shared" si="21"/>
        <v>425.16451948005908</v>
      </c>
      <c r="K65" s="74">
        <f t="shared" si="21"/>
        <v>310.78766082371669</v>
      </c>
      <c r="L65" s="74">
        <f t="shared" si="21"/>
        <v>229.98393674792638</v>
      </c>
      <c r="M65" s="74">
        <f t="shared" si="21"/>
        <v>185.8767223295701</v>
      </c>
      <c r="N65" s="74">
        <f t="shared" si="21"/>
        <v>208.74654041498442</v>
      </c>
      <c r="O65" s="74">
        <f t="shared" si="21"/>
        <v>245.16455224607571</v>
      </c>
      <c r="P65" s="74">
        <f t="shared" si="21"/>
        <v>222.35382841373183</v>
      </c>
      <c r="Q65" s="74">
        <f t="shared" si="21"/>
        <v>111.97984975217079</v>
      </c>
      <c r="R65" s="74">
        <f t="shared" si="21"/>
        <v>2644.3211833205328</v>
      </c>
    </row>
    <row r="66" spans="1:18">
      <c r="B66" s="65"/>
      <c r="C66" s="65" t="s">
        <v>58</v>
      </c>
      <c r="D66" s="65"/>
      <c r="E66" s="65"/>
      <c r="F66" s="118">
        <f t="shared" ref="F66:R66" si="22">SUM(F63:F65)</f>
        <v>702.0066446284269</v>
      </c>
      <c r="G66" s="118">
        <f t="shared" si="22"/>
        <v>522.82126704198583</v>
      </c>
      <c r="H66" s="118">
        <f t="shared" si="22"/>
        <v>688.7861087015915</v>
      </c>
      <c r="I66" s="118">
        <f t="shared" si="22"/>
        <v>880.77765900049917</v>
      </c>
      <c r="J66" s="118">
        <f t="shared" si="22"/>
        <v>1015.7216245325433</v>
      </c>
      <c r="K66" s="118">
        <f t="shared" si="22"/>
        <v>896.61495163039592</v>
      </c>
      <c r="L66" s="118">
        <f t="shared" si="22"/>
        <v>788.43113135694625</v>
      </c>
      <c r="M66" s="118">
        <f t="shared" si="22"/>
        <v>726.76872302143147</v>
      </c>
      <c r="N66" s="118">
        <f t="shared" si="22"/>
        <v>722.12654060117336</v>
      </c>
      <c r="O66" s="118">
        <f t="shared" si="22"/>
        <v>810.14295527154434</v>
      </c>
      <c r="P66" s="118">
        <f t="shared" si="22"/>
        <v>699.81922168897142</v>
      </c>
      <c r="Q66" s="118">
        <f t="shared" si="22"/>
        <v>720.60793732586342</v>
      </c>
      <c r="R66" s="118">
        <f t="shared" si="22"/>
        <v>9174.6247648013723</v>
      </c>
    </row>
    <row r="67" spans="1:18" ht="7.5" customHeight="1">
      <c r="C67" s="65"/>
      <c r="D67" s="65"/>
      <c r="E67" s="65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</row>
    <row r="68" spans="1:18">
      <c r="C68" s="65" t="s">
        <v>116</v>
      </c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</row>
    <row r="69" spans="1:18">
      <c r="D69" s="66" t="s">
        <v>118</v>
      </c>
      <c r="F69" s="74">
        <f t="shared" ref="F69:R69" si="23">F46</f>
        <v>79.37</v>
      </c>
      <c r="G69" s="74">
        <f t="shared" si="23"/>
        <v>64.649999999999991</v>
      </c>
      <c r="H69" s="74">
        <f t="shared" si="23"/>
        <v>79.98</v>
      </c>
      <c r="I69" s="74">
        <f t="shared" si="23"/>
        <v>85.47</v>
      </c>
      <c r="J69" s="74">
        <f t="shared" si="23"/>
        <v>89.18</v>
      </c>
      <c r="K69" s="74">
        <f t="shared" si="23"/>
        <v>89.980000000000018</v>
      </c>
      <c r="L69" s="74">
        <f t="shared" si="23"/>
        <v>63.56</v>
      </c>
      <c r="M69" s="74">
        <f t="shared" si="23"/>
        <v>66.8</v>
      </c>
      <c r="N69" s="74">
        <f t="shared" si="23"/>
        <v>68.280000000000015</v>
      </c>
      <c r="O69" s="74">
        <f t="shared" si="23"/>
        <v>72.589999999999989</v>
      </c>
      <c r="P69" s="74">
        <f t="shared" si="23"/>
        <v>64.94</v>
      </c>
      <c r="Q69" s="74">
        <f t="shared" si="23"/>
        <v>67.31</v>
      </c>
      <c r="R69" s="74">
        <f t="shared" si="23"/>
        <v>892.1099999999999</v>
      </c>
    </row>
    <row r="70" spans="1:18" s="65" customFormat="1">
      <c r="C70" s="65" t="s">
        <v>128</v>
      </c>
      <c r="F70" s="118">
        <f t="shared" ref="F70:R70" si="24">SUM(F69)</f>
        <v>79.37</v>
      </c>
      <c r="G70" s="118">
        <f t="shared" si="24"/>
        <v>64.649999999999991</v>
      </c>
      <c r="H70" s="118">
        <f t="shared" si="24"/>
        <v>79.98</v>
      </c>
      <c r="I70" s="118">
        <f t="shared" si="24"/>
        <v>85.47</v>
      </c>
      <c r="J70" s="118">
        <f t="shared" si="24"/>
        <v>89.18</v>
      </c>
      <c r="K70" s="118">
        <f t="shared" si="24"/>
        <v>89.980000000000018</v>
      </c>
      <c r="L70" s="118">
        <f t="shared" si="24"/>
        <v>63.56</v>
      </c>
      <c r="M70" s="118">
        <f t="shared" si="24"/>
        <v>66.8</v>
      </c>
      <c r="N70" s="118">
        <f t="shared" si="24"/>
        <v>68.280000000000015</v>
      </c>
      <c r="O70" s="118">
        <f t="shared" si="24"/>
        <v>72.589999999999989</v>
      </c>
      <c r="P70" s="118">
        <f t="shared" si="24"/>
        <v>64.94</v>
      </c>
      <c r="Q70" s="118">
        <f t="shared" si="24"/>
        <v>67.31</v>
      </c>
      <c r="R70" s="118">
        <f t="shared" si="24"/>
        <v>892.1099999999999</v>
      </c>
    </row>
    <row r="71" spans="1:18" ht="7.5" customHeight="1" thickBot="1">
      <c r="C71" s="65"/>
      <c r="D71" s="65"/>
      <c r="E71" s="65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18" ht="13.5" thickBot="1">
      <c r="B72" s="107" t="s">
        <v>130</v>
      </c>
      <c r="C72" s="108"/>
      <c r="D72" s="108"/>
      <c r="E72" s="108"/>
      <c r="F72" s="109">
        <f t="shared" ref="F72:R72" si="25">F60+F66+F70</f>
        <v>917.59473361758739</v>
      </c>
      <c r="G72" s="109">
        <f t="shared" si="25"/>
        <v>711.67742805800265</v>
      </c>
      <c r="H72" s="109">
        <f t="shared" si="25"/>
        <v>912.00990911618032</v>
      </c>
      <c r="I72" s="109">
        <f t="shared" si="25"/>
        <v>1097.8863986053611</v>
      </c>
      <c r="J72" s="109">
        <f t="shared" si="25"/>
        <v>1254.535070946632</v>
      </c>
      <c r="K72" s="109">
        <f t="shared" si="25"/>
        <v>1130.7108949757726</v>
      </c>
      <c r="L72" s="109">
        <f t="shared" si="25"/>
        <v>990.48399540487981</v>
      </c>
      <c r="M72" s="109">
        <f t="shared" si="25"/>
        <v>928.16591770749824</v>
      </c>
      <c r="N72" s="109">
        <f t="shared" si="25"/>
        <v>954.48694737098072</v>
      </c>
      <c r="O72" s="109">
        <f t="shared" si="25"/>
        <v>1065.2664619351287</v>
      </c>
      <c r="P72" s="109">
        <f t="shared" si="25"/>
        <v>926.36230014541979</v>
      </c>
      <c r="Q72" s="109">
        <f t="shared" si="25"/>
        <v>946.91265429600116</v>
      </c>
      <c r="R72" s="110">
        <f t="shared" si="25"/>
        <v>11836.092712179445</v>
      </c>
    </row>
    <row r="75" spans="1:18" ht="18">
      <c r="A75" s="72" t="s">
        <v>132</v>
      </c>
    </row>
    <row r="76" spans="1:18">
      <c r="E76" s="65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74"/>
    </row>
    <row r="77" spans="1:18">
      <c r="B77" s="66" t="s">
        <v>61</v>
      </c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74"/>
    </row>
    <row r="78" spans="1:18">
      <c r="C78" s="66" t="s">
        <v>119</v>
      </c>
      <c r="F78" s="120">
        <v>120.17</v>
      </c>
      <c r="G78" s="120">
        <v>120.17</v>
      </c>
      <c r="H78" s="120">
        <v>120.17</v>
      </c>
      <c r="I78" s="120">
        <v>120.17</v>
      </c>
      <c r="J78" s="120">
        <v>120.17</v>
      </c>
      <c r="K78" s="120">
        <v>120.17</v>
      </c>
      <c r="L78" s="120">
        <v>120.17</v>
      </c>
      <c r="M78" s="120">
        <v>120.17</v>
      </c>
      <c r="N78" s="120">
        <v>120.17</v>
      </c>
      <c r="O78" s="120">
        <v>120.17</v>
      </c>
      <c r="P78" s="120">
        <v>120.17</v>
      </c>
      <c r="Q78" s="120">
        <v>120.17</v>
      </c>
      <c r="R78" s="121">
        <f>AVERAGE(F78:Q78)</f>
        <v>120.17000000000002</v>
      </c>
    </row>
    <row r="79" spans="1:18">
      <c r="C79" s="66" t="s">
        <v>120</v>
      </c>
      <c r="F79" s="120">
        <v>120.17</v>
      </c>
      <c r="G79" s="120">
        <v>120.17</v>
      </c>
      <c r="H79" s="120">
        <v>120.17</v>
      </c>
      <c r="I79" s="120">
        <v>120.17</v>
      </c>
      <c r="J79" s="120">
        <v>120.17</v>
      </c>
      <c r="K79" s="120">
        <v>120.17</v>
      </c>
      <c r="L79" s="120">
        <v>120.17</v>
      </c>
      <c r="M79" s="120">
        <v>120.17</v>
      </c>
      <c r="N79" s="120">
        <v>120.17</v>
      </c>
      <c r="O79" s="120">
        <v>120.17</v>
      </c>
      <c r="P79" s="120">
        <v>120.17</v>
      </c>
      <c r="Q79" s="120">
        <v>120.17</v>
      </c>
      <c r="R79" s="121">
        <f>AVERAGE(F79:Q79)</f>
        <v>120.17000000000002</v>
      </c>
    </row>
    <row r="80" spans="1:18">
      <c r="C80" s="86" t="s">
        <v>133</v>
      </c>
      <c r="F80" s="120">
        <v>68.39</v>
      </c>
      <c r="G80" s="120">
        <v>68.39</v>
      </c>
      <c r="H80" s="120">
        <v>68.39</v>
      </c>
      <c r="I80" s="120">
        <v>68.39</v>
      </c>
      <c r="J80" s="120">
        <v>68.39</v>
      </c>
      <c r="K80" s="120">
        <v>68.39</v>
      </c>
      <c r="L80" s="120">
        <v>68.39</v>
      </c>
      <c r="M80" s="120">
        <v>68.39</v>
      </c>
      <c r="N80" s="120">
        <v>68.39</v>
      </c>
      <c r="O80" s="120">
        <v>68.39</v>
      </c>
      <c r="P80" s="120">
        <v>68.39</v>
      </c>
      <c r="Q80" s="120">
        <v>68.39</v>
      </c>
      <c r="R80" s="121">
        <f>AVERAGE(F80:Q80)</f>
        <v>68.39</v>
      </c>
    </row>
    <row r="81" spans="2:18">
      <c r="C81" s="66" t="s">
        <v>134</v>
      </c>
      <c r="F81" s="122">
        <v>51.81</v>
      </c>
      <c r="G81" s="122">
        <v>51.81</v>
      </c>
      <c r="H81" s="122">
        <v>51.81</v>
      </c>
      <c r="I81" s="122">
        <v>51.81</v>
      </c>
      <c r="J81" s="122">
        <v>51.81</v>
      </c>
      <c r="K81" s="122">
        <v>51.81</v>
      </c>
      <c r="L81" s="122">
        <v>51.81</v>
      </c>
      <c r="M81" s="122">
        <v>51.81</v>
      </c>
      <c r="N81" s="122">
        <v>51.81</v>
      </c>
      <c r="O81" s="122">
        <v>51.81</v>
      </c>
      <c r="P81" s="122">
        <v>51.81</v>
      </c>
      <c r="Q81" s="122">
        <v>51.81</v>
      </c>
      <c r="R81" s="121">
        <f>AVERAGE(F81:Q81)</f>
        <v>51.81</v>
      </c>
    </row>
    <row r="82" spans="2:18">
      <c r="C82" s="66" t="s">
        <v>135</v>
      </c>
      <c r="F82" s="122">
        <v>51.81</v>
      </c>
      <c r="G82" s="122">
        <v>51.81</v>
      </c>
      <c r="H82" s="122">
        <v>51.81</v>
      </c>
      <c r="I82" s="122">
        <v>51.81</v>
      </c>
      <c r="J82" s="122">
        <v>51.81</v>
      </c>
      <c r="K82" s="122">
        <v>51.81</v>
      </c>
      <c r="L82" s="122">
        <v>51.81</v>
      </c>
      <c r="M82" s="122">
        <v>51.81</v>
      </c>
      <c r="N82" s="122">
        <v>51.81</v>
      </c>
      <c r="O82" s="122">
        <v>51.81</v>
      </c>
      <c r="P82" s="122">
        <v>51.81</v>
      </c>
      <c r="Q82" s="122">
        <v>51.81</v>
      </c>
      <c r="R82" s="121">
        <f>AVERAGE(F82:Q82)</f>
        <v>51.81</v>
      </c>
    </row>
    <row r="83" spans="2:18">
      <c r="B83" s="66" t="s">
        <v>110</v>
      </c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</row>
    <row r="84" spans="2:18"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</row>
    <row r="85" spans="2:18">
      <c r="B85" s="66" t="s">
        <v>41</v>
      </c>
      <c r="G85" s="74"/>
      <c r="H85" s="74"/>
      <c r="I85" s="74"/>
      <c r="J85" s="74"/>
      <c r="K85" s="74"/>
      <c r="L85" s="74"/>
      <c r="M85" s="74"/>
      <c r="N85" s="74"/>
      <c r="O85" s="74"/>
      <c r="P85" s="74"/>
      <c r="Q85" s="74"/>
      <c r="R85" s="74"/>
    </row>
    <row r="86" spans="2:18">
      <c r="C86" s="66" t="s">
        <v>118</v>
      </c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</row>
    <row r="87" spans="2:18">
      <c r="D87" s="66" t="s">
        <v>124</v>
      </c>
      <c r="F87" s="123">
        <v>120.17</v>
      </c>
      <c r="G87" s="123">
        <v>120.17</v>
      </c>
      <c r="H87" s="123">
        <v>120.17</v>
      </c>
      <c r="I87" s="123">
        <v>120.17</v>
      </c>
      <c r="J87" s="123">
        <v>120.17</v>
      </c>
      <c r="K87" s="123">
        <v>120.17</v>
      </c>
      <c r="L87" s="123">
        <v>120.17</v>
      </c>
      <c r="M87" s="123">
        <v>120.17</v>
      </c>
      <c r="N87" s="123">
        <v>120.17</v>
      </c>
      <c r="O87" s="123">
        <v>120.17</v>
      </c>
      <c r="P87" s="123">
        <v>120.17</v>
      </c>
      <c r="Q87" s="123">
        <v>120.17</v>
      </c>
      <c r="R87" s="124">
        <f>AVERAGE(F87:Q87)</f>
        <v>120.17000000000002</v>
      </c>
    </row>
    <row r="88" spans="2:18">
      <c r="D88" s="66" t="s">
        <v>125</v>
      </c>
      <c r="F88" s="123">
        <v>120.17</v>
      </c>
      <c r="G88" s="123">
        <v>120.17</v>
      </c>
      <c r="H88" s="123">
        <v>120.17</v>
      </c>
      <c r="I88" s="123">
        <v>120.17</v>
      </c>
      <c r="J88" s="123">
        <v>120.17</v>
      </c>
      <c r="K88" s="123">
        <v>120.17</v>
      </c>
      <c r="L88" s="123">
        <v>120.17</v>
      </c>
      <c r="M88" s="123">
        <v>120.17</v>
      </c>
      <c r="N88" s="123">
        <v>120.17</v>
      </c>
      <c r="O88" s="123">
        <v>120.17</v>
      </c>
      <c r="P88" s="123">
        <v>120.17</v>
      </c>
      <c r="Q88" s="123">
        <v>120.17</v>
      </c>
      <c r="R88" s="124">
        <f>AVERAGE(F88:Q88)</f>
        <v>120.17000000000002</v>
      </c>
    </row>
    <row r="89" spans="2:18">
      <c r="C89" s="66" t="s">
        <v>121</v>
      </c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</row>
    <row r="90" spans="2:18">
      <c r="C90" s="66" t="s">
        <v>111</v>
      </c>
      <c r="F90" s="126"/>
      <c r="G90" s="126"/>
      <c r="H90" s="126"/>
      <c r="I90" s="126"/>
      <c r="J90" s="126"/>
      <c r="K90" s="126"/>
      <c r="L90" s="126"/>
      <c r="M90" s="126"/>
      <c r="N90" s="126"/>
      <c r="O90" s="126"/>
      <c r="P90" s="126"/>
      <c r="Q90" s="126"/>
      <c r="R90" s="126"/>
    </row>
    <row r="91" spans="2:18">
      <c r="D91" s="66" t="s">
        <v>136</v>
      </c>
      <c r="F91" s="123">
        <v>68.39</v>
      </c>
      <c r="G91" s="123">
        <v>68.39</v>
      </c>
      <c r="H91" s="123">
        <v>68.39</v>
      </c>
      <c r="I91" s="123">
        <v>68.39</v>
      </c>
      <c r="J91" s="123">
        <v>68.39</v>
      </c>
      <c r="K91" s="123">
        <v>68.39</v>
      </c>
      <c r="L91" s="123">
        <v>68.39</v>
      </c>
      <c r="M91" s="123">
        <v>68.39</v>
      </c>
      <c r="N91" s="123">
        <v>68.39</v>
      </c>
      <c r="O91" s="123">
        <v>68.39</v>
      </c>
      <c r="P91" s="123">
        <v>68.39</v>
      </c>
      <c r="Q91" s="123">
        <v>68.39</v>
      </c>
      <c r="R91" s="124">
        <f>AVERAGE(F91:Q91)</f>
        <v>68.39</v>
      </c>
    </row>
    <row r="92" spans="2:18">
      <c r="D92" s="66" t="s">
        <v>125</v>
      </c>
      <c r="F92" s="123">
        <v>68.39</v>
      </c>
      <c r="G92" s="123">
        <v>68.39</v>
      </c>
      <c r="H92" s="123">
        <v>68.39</v>
      </c>
      <c r="I92" s="123">
        <v>68.39</v>
      </c>
      <c r="J92" s="123">
        <v>68.39</v>
      </c>
      <c r="K92" s="123">
        <v>68.39</v>
      </c>
      <c r="L92" s="123">
        <v>68.39</v>
      </c>
      <c r="M92" s="123">
        <v>68.39</v>
      </c>
      <c r="N92" s="123">
        <v>68.39</v>
      </c>
      <c r="O92" s="123">
        <v>68.39</v>
      </c>
      <c r="P92" s="123">
        <v>68.39</v>
      </c>
      <c r="Q92" s="123">
        <v>68.39</v>
      </c>
      <c r="R92" s="124">
        <f>AVERAGE(F92:Q92)</f>
        <v>68.39</v>
      </c>
    </row>
    <row r="93" spans="2:18">
      <c r="C93" s="66" t="s">
        <v>126</v>
      </c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</row>
    <row r="94" spans="2:18">
      <c r="C94" s="66" t="s">
        <v>60</v>
      </c>
      <c r="E94" s="127"/>
      <c r="F94" s="126"/>
      <c r="G94" s="126"/>
      <c r="H94" s="126"/>
      <c r="I94" s="126"/>
      <c r="J94" s="126"/>
      <c r="K94" s="126"/>
      <c r="L94" s="126"/>
      <c r="M94" s="126"/>
      <c r="N94" s="126"/>
      <c r="O94" s="126"/>
      <c r="P94" s="126"/>
      <c r="Q94" s="126"/>
      <c r="R94" s="126"/>
    </row>
    <row r="95" spans="2:18">
      <c r="D95" s="66" t="s">
        <v>124</v>
      </c>
      <c r="F95" s="128">
        <v>39.54</v>
      </c>
      <c r="G95" s="128">
        <v>39.54</v>
      </c>
      <c r="H95" s="128">
        <v>39.54</v>
      </c>
      <c r="I95" s="128">
        <v>39.54</v>
      </c>
      <c r="J95" s="128">
        <v>39.54</v>
      </c>
      <c r="K95" s="128">
        <v>39.54</v>
      </c>
      <c r="L95" s="128">
        <v>39.54</v>
      </c>
      <c r="M95" s="128">
        <v>39.54</v>
      </c>
      <c r="N95" s="128">
        <v>39.54</v>
      </c>
      <c r="O95" s="128">
        <v>39.54</v>
      </c>
      <c r="P95" s="128">
        <v>39.54</v>
      </c>
      <c r="Q95" s="128">
        <v>39.54</v>
      </c>
      <c r="R95" s="129">
        <f>'Yardwaste Analysis'!O23</f>
        <v>41.078042412244791</v>
      </c>
    </row>
    <row r="96" spans="2:18">
      <c r="D96" s="66" t="s">
        <v>125</v>
      </c>
      <c r="F96" s="128">
        <v>39.54</v>
      </c>
      <c r="G96" s="128">
        <v>39.54</v>
      </c>
      <c r="H96" s="128">
        <v>39.54</v>
      </c>
      <c r="I96" s="128">
        <v>39.54</v>
      </c>
      <c r="J96" s="128">
        <v>39.54</v>
      </c>
      <c r="K96" s="128">
        <v>39.54</v>
      </c>
      <c r="L96" s="128">
        <v>39.54</v>
      </c>
      <c r="M96" s="128">
        <v>39.54</v>
      </c>
      <c r="N96" s="128">
        <v>39.54</v>
      </c>
      <c r="O96" s="128">
        <v>39.54</v>
      </c>
      <c r="P96" s="128">
        <v>39.54</v>
      </c>
      <c r="Q96" s="128">
        <v>39.54</v>
      </c>
      <c r="R96" s="129">
        <f>R95</f>
        <v>41.078042412244791</v>
      </c>
    </row>
    <row r="97" spans="1:21">
      <c r="C97" s="66" t="s">
        <v>127</v>
      </c>
      <c r="F97" s="125"/>
      <c r="G97" s="125"/>
      <c r="H97" s="125"/>
      <c r="I97" s="125"/>
      <c r="J97" s="125"/>
      <c r="K97" s="125"/>
      <c r="L97" s="125"/>
      <c r="M97" s="125"/>
      <c r="N97" s="125"/>
      <c r="O97" s="125"/>
      <c r="P97" s="125"/>
      <c r="Q97" s="125"/>
      <c r="R97" s="125"/>
    </row>
    <row r="98" spans="1:21">
      <c r="B98" s="66" t="s">
        <v>58</v>
      </c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</row>
    <row r="99" spans="1:21"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6"/>
      <c r="Q99" s="126"/>
      <c r="R99" s="126"/>
    </row>
    <row r="100" spans="1:21">
      <c r="B100" s="66" t="s">
        <v>116</v>
      </c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</row>
    <row r="101" spans="1:21">
      <c r="C101" s="66" t="s">
        <v>119</v>
      </c>
      <c r="F101" s="123">
        <v>120.17</v>
      </c>
      <c r="G101" s="123">
        <v>120.17</v>
      </c>
      <c r="H101" s="123">
        <v>120.17</v>
      </c>
      <c r="I101" s="123">
        <v>120.17</v>
      </c>
      <c r="J101" s="123">
        <v>120.17</v>
      </c>
      <c r="K101" s="123">
        <v>120.17</v>
      </c>
      <c r="L101" s="123">
        <v>120.17</v>
      </c>
      <c r="M101" s="123">
        <v>120.17</v>
      </c>
      <c r="N101" s="123">
        <v>120.17</v>
      </c>
      <c r="O101" s="123">
        <v>120.17</v>
      </c>
      <c r="P101" s="123">
        <v>120.17</v>
      </c>
      <c r="Q101" s="123">
        <v>120.17</v>
      </c>
      <c r="R101" s="124">
        <f>AVERAGE(F101:Q101)</f>
        <v>120.17000000000002</v>
      </c>
    </row>
    <row r="102" spans="1:21">
      <c r="C102" s="66" t="s">
        <v>120</v>
      </c>
      <c r="F102" s="123">
        <v>120.17</v>
      </c>
      <c r="G102" s="123">
        <v>120.17</v>
      </c>
      <c r="H102" s="123">
        <v>120.17</v>
      </c>
      <c r="I102" s="123">
        <v>120.17</v>
      </c>
      <c r="J102" s="123">
        <v>120.17</v>
      </c>
      <c r="K102" s="123">
        <v>120.17</v>
      </c>
      <c r="L102" s="123">
        <v>120.17</v>
      </c>
      <c r="M102" s="123">
        <v>120.17</v>
      </c>
      <c r="N102" s="123">
        <v>120.17</v>
      </c>
      <c r="O102" s="123">
        <v>120.17</v>
      </c>
      <c r="P102" s="123">
        <v>120.17</v>
      </c>
      <c r="Q102" s="123">
        <v>120.17</v>
      </c>
      <c r="R102" s="124">
        <f>AVERAGE(F102:Q102)</f>
        <v>120.17000000000002</v>
      </c>
    </row>
    <row r="103" spans="1:21">
      <c r="B103" s="66" t="s">
        <v>128</v>
      </c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</row>
    <row r="104" spans="1:21"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</row>
    <row r="106" spans="1:21"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</row>
    <row r="107" spans="1:21" ht="18">
      <c r="A107" s="72" t="s">
        <v>137</v>
      </c>
    </row>
    <row r="108" spans="1:21" s="65" customFormat="1">
      <c r="A108" s="65" t="s">
        <v>115</v>
      </c>
      <c r="F108" s="131">
        <v>425788.31</v>
      </c>
      <c r="G108" s="131">
        <v>360976.08</v>
      </c>
      <c r="H108" s="131">
        <v>425384.75</v>
      </c>
      <c r="I108" s="131">
        <v>454648.28</v>
      </c>
      <c r="J108" s="131">
        <v>487840.08999999997</v>
      </c>
      <c r="K108" s="131">
        <v>192592.58000000002</v>
      </c>
      <c r="L108" s="131">
        <v>187453.6</v>
      </c>
      <c r="M108" s="131">
        <v>183246.31</v>
      </c>
      <c r="N108" s="131">
        <v>192393.74</v>
      </c>
      <c r="O108" s="131">
        <v>204128.03</v>
      </c>
      <c r="P108" s="131">
        <v>178011.05</v>
      </c>
      <c r="Q108" s="131">
        <v>191462.18</v>
      </c>
      <c r="R108" s="132">
        <f>SUM(F108:Q108)</f>
        <v>3483925</v>
      </c>
    </row>
    <row r="109" spans="1:21"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  <c r="R109" s="74"/>
    </row>
    <row r="110" spans="1:21">
      <c r="A110" s="65" t="s">
        <v>15</v>
      </c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</row>
    <row r="111" spans="1:21">
      <c r="B111" s="66" t="s">
        <v>61</v>
      </c>
      <c r="F111" s="74">
        <f>F123</f>
        <v>95827.240435553307</v>
      </c>
      <c r="G111" s="74">
        <f t="shared" ref="G111:R111" si="26">G123</f>
        <v>86739.821598923678</v>
      </c>
      <c r="H111" s="74">
        <f t="shared" si="26"/>
        <v>101742.4556609962</v>
      </c>
      <c r="I111" s="74">
        <f t="shared" si="26"/>
        <v>100188.62053843004</v>
      </c>
      <c r="J111" s="74">
        <f t="shared" si="26"/>
        <v>105077.27009584531</v>
      </c>
      <c r="K111" s="74">
        <f t="shared" si="26"/>
        <v>31415.701395947039</v>
      </c>
      <c r="L111" s="74">
        <f t="shared" si="26"/>
        <v>29788.454661755084</v>
      </c>
      <c r="M111" s="74">
        <f t="shared" si="26"/>
        <v>28075.775437008491</v>
      </c>
      <c r="N111" s="74">
        <f t="shared" si="26"/>
        <v>35157.837466561767</v>
      </c>
      <c r="O111" s="74">
        <f t="shared" si="26"/>
        <v>36047.300010845916</v>
      </c>
      <c r="P111" s="74">
        <f t="shared" si="26"/>
        <v>31710.514280321549</v>
      </c>
      <c r="Q111" s="74">
        <f t="shared" si="26"/>
        <v>33044.198585819977</v>
      </c>
      <c r="R111" s="74">
        <f t="shared" si="26"/>
        <v>714815.19016800832</v>
      </c>
      <c r="S111" s="74">
        <v>4017421.06</v>
      </c>
      <c r="T111" s="89">
        <f>R111/S111-1</f>
        <v>-0.82207112983870101</v>
      </c>
      <c r="U111" s="111">
        <f>R111-S111</f>
        <v>-3302605.8698319918</v>
      </c>
    </row>
    <row r="112" spans="1:21">
      <c r="B112" s="66" t="s">
        <v>41</v>
      </c>
      <c r="F112" s="74">
        <f t="shared" ref="F112:R112" si="27">F141</f>
        <v>130839.68144543775</v>
      </c>
      <c r="G112" s="74">
        <f t="shared" si="27"/>
        <v>103839.4110726673</v>
      </c>
      <c r="H112" s="74">
        <f t="shared" si="27"/>
        <v>119961.83025246495</v>
      </c>
      <c r="I112" s="74">
        <f t="shared" si="27"/>
        <v>140261.18362800346</v>
      </c>
      <c r="J112" s="74">
        <f t="shared" si="27"/>
        <v>149580.74052745005</v>
      </c>
      <c r="K112" s="74">
        <f t="shared" si="27"/>
        <v>97747.240382671007</v>
      </c>
      <c r="L112" s="74">
        <f t="shared" si="27"/>
        <v>100273.72185980993</v>
      </c>
      <c r="M112" s="74">
        <f t="shared" si="27"/>
        <v>89281.139251579472</v>
      </c>
      <c r="N112" s="74">
        <f t="shared" si="27"/>
        <v>93930.591599536885</v>
      </c>
      <c r="O112" s="74">
        <f t="shared" si="27"/>
        <v>98248.823412473197</v>
      </c>
      <c r="P112" s="74">
        <f t="shared" si="27"/>
        <v>86981.081646986277</v>
      </c>
      <c r="Q112" s="74">
        <f t="shared" si="27"/>
        <v>97805.794653564095</v>
      </c>
      <c r="R112" s="74">
        <f t="shared" si="27"/>
        <v>1308751.2397326443</v>
      </c>
      <c r="S112" s="74">
        <v>8698385</v>
      </c>
      <c r="T112" s="89">
        <f>R112/S112-1</f>
        <v>-0.84954089296660884</v>
      </c>
      <c r="U112" s="111">
        <f>R112-S112</f>
        <v>-7389633.7602673555</v>
      </c>
    </row>
    <row r="113" spans="1:21">
      <c r="B113" s="66" t="s">
        <v>116</v>
      </c>
      <c r="F113" s="74">
        <f t="shared" ref="F113:R113" si="28">F146</f>
        <v>150183.65919999999</v>
      </c>
      <c r="G113" s="74">
        <f t="shared" si="28"/>
        <v>135109.53439999997</v>
      </c>
      <c r="H113" s="74">
        <f t="shared" si="28"/>
        <v>152484.91470000002</v>
      </c>
      <c r="I113" s="74">
        <f t="shared" si="28"/>
        <v>156847.08569999994</v>
      </c>
      <c r="J113" s="74">
        <f t="shared" si="28"/>
        <v>166723.85800000001</v>
      </c>
      <c r="K113" s="74">
        <f t="shared" si="28"/>
        <v>13617.664400000001</v>
      </c>
      <c r="L113" s="74">
        <f t="shared" si="28"/>
        <v>11687.734199999999</v>
      </c>
      <c r="M113" s="74">
        <f t="shared" si="28"/>
        <v>11745.415800000001</v>
      </c>
      <c r="N113" s="74">
        <f t="shared" si="28"/>
        <v>13651.311999999998</v>
      </c>
      <c r="O113" s="74">
        <f t="shared" si="28"/>
        <v>14224.522900000004</v>
      </c>
      <c r="P113" s="74">
        <f t="shared" si="28"/>
        <v>13046.856899999999</v>
      </c>
      <c r="Q113" s="74">
        <f t="shared" si="28"/>
        <v>13163.4218</v>
      </c>
      <c r="R113" s="74">
        <f t="shared" si="28"/>
        <v>852485.9800000001</v>
      </c>
      <c r="S113" s="74">
        <v>3506946</v>
      </c>
      <c r="T113" s="89">
        <f>R113/S113-1</f>
        <v>-0.75691499669513018</v>
      </c>
      <c r="U113" s="111">
        <f>R113-S113</f>
        <v>-2654460.02</v>
      </c>
    </row>
    <row r="114" spans="1:21" s="65" customFormat="1">
      <c r="A114" s="65" t="s">
        <v>18</v>
      </c>
      <c r="F114" s="118">
        <f>SUM(F111:F113)</f>
        <v>376850.58108099108</v>
      </c>
      <c r="G114" s="118">
        <f t="shared" ref="G114:R114" si="29">SUM(G111:G113)</f>
        <v>325688.76707159099</v>
      </c>
      <c r="H114" s="118">
        <f t="shared" si="29"/>
        <v>374189.2006134612</v>
      </c>
      <c r="I114" s="118">
        <f t="shared" si="29"/>
        <v>397296.88986643346</v>
      </c>
      <c r="J114" s="118">
        <f t="shared" si="29"/>
        <v>421381.86862329533</v>
      </c>
      <c r="K114" s="118">
        <f t="shared" si="29"/>
        <v>142780.60617861804</v>
      </c>
      <c r="L114" s="118">
        <f t="shared" si="29"/>
        <v>141749.91072156501</v>
      </c>
      <c r="M114" s="118">
        <f t="shared" si="29"/>
        <v>129102.33048858796</v>
      </c>
      <c r="N114" s="118">
        <f t="shared" si="29"/>
        <v>142739.74106609865</v>
      </c>
      <c r="O114" s="118">
        <f t="shared" si="29"/>
        <v>148520.64632331912</v>
      </c>
      <c r="P114" s="118">
        <f t="shared" si="29"/>
        <v>131738.4528273078</v>
      </c>
      <c r="Q114" s="118">
        <f t="shared" si="29"/>
        <v>144013.41503938407</v>
      </c>
      <c r="R114" s="118">
        <f t="shared" si="29"/>
        <v>2876052.4099006527</v>
      </c>
      <c r="S114" s="133"/>
      <c r="T114" s="134"/>
    </row>
    <row r="115" spans="1:21" s="77" customFormat="1" ht="12">
      <c r="A115" s="77" t="s">
        <v>59</v>
      </c>
      <c r="F115" s="135">
        <f t="shared" ref="F115:R115" si="30">F114-F108</f>
        <v>-48937.728919008921</v>
      </c>
      <c r="G115" s="135">
        <f t="shared" si="30"/>
        <v>-35287.312928409025</v>
      </c>
      <c r="H115" s="135">
        <f t="shared" si="30"/>
        <v>-51195.549386538798</v>
      </c>
      <c r="I115" s="135">
        <f t="shared" si="30"/>
        <v>-57351.390133566572</v>
      </c>
      <c r="J115" s="135">
        <f t="shared" si="30"/>
        <v>-66458.221376704634</v>
      </c>
      <c r="K115" s="135">
        <f t="shared" si="30"/>
        <v>-49811.97382138198</v>
      </c>
      <c r="L115" s="135">
        <f t="shared" si="30"/>
        <v>-45703.689278434991</v>
      </c>
      <c r="M115" s="135">
        <f t="shared" si="30"/>
        <v>-54143.979511412035</v>
      </c>
      <c r="N115" s="135">
        <f t="shared" si="30"/>
        <v>-49653.998933901341</v>
      </c>
      <c r="O115" s="135">
        <f t="shared" si="30"/>
        <v>-55607.383676680882</v>
      </c>
      <c r="P115" s="135">
        <f t="shared" si="30"/>
        <v>-46272.597172692185</v>
      </c>
      <c r="Q115" s="135">
        <f t="shared" si="30"/>
        <v>-47448.764960615925</v>
      </c>
      <c r="R115" s="135">
        <f t="shared" si="30"/>
        <v>-607872.59009934729</v>
      </c>
      <c r="S115" s="83"/>
    </row>
    <row r="116" spans="1:21">
      <c r="F116" s="83">
        <f>+F115/F108</f>
        <v>-0.11493441170099039</v>
      </c>
      <c r="G116" s="83">
        <f t="shared" ref="G116:R116" si="31">+G115/G108</f>
        <v>-9.7755266577245287E-2</v>
      </c>
      <c r="H116" s="83">
        <f t="shared" si="31"/>
        <v>-0.12035116300370147</v>
      </c>
      <c r="I116" s="83">
        <f t="shared" si="31"/>
        <v>-0.12614452238457069</v>
      </c>
      <c r="J116" s="83">
        <f t="shared" si="31"/>
        <v>-0.13622952016244635</v>
      </c>
      <c r="K116" s="83">
        <f t="shared" si="31"/>
        <v>-0.25863911175280985</v>
      </c>
      <c r="L116" s="83">
        <f t="shared" si="31"/>
        <v>-0.24381334516080241</v>
      </c>
      <c r="M116" s="83">
        <f t="shared" si="31"/>
        <v>-0.29547104938381591</v>
      </c>
      <c r="N116" s="83">
        <f t="shared" si="31"/>
        <v>-0.2580853146983958</v>
      </c>
      <c r="O116" s="83">
        <f t="shared" si="31"/>
        <v>-0.27241424745382042</v>
      </c>
      <c r="P116" s="83">
        <f t="shared" si="31"/>
        <v>-0.25994227421664096</v>
      </c>
      <c r="Q116" s="83">
        <f t="shared" si="31"/>
        <v>-0.2478231730183785</v>
      </c>
      <c r="R116" s="83">
        <f t="shared" si="31"/>
        <v>-0.17447924111436017</v>
      </c>
    </row>
    <row r="117" spans="1:21">
      <c r="E117" s="65"/>
      <c r="F117" s="65"/>
      <c r="G117" s="132"/>
      <c r="H117" s="132"/>
      <c r="I117" s="132"/>
      <c r="J117" s="132"/>
      <c r="K117" s="132"/>
      <c r="L117" s="132"/>
      <c r="M117" s="132"/>
      <c r="N117" s="132"/>
      <c r="O117" s="132"/>
      <c r="P117" s="132"/>
      <c r="Q117" s="132"/>
      <c r="R117" s="74"/>
    </row>
    <row r="118" spans="1:21">
      <c r="B118" s="65" t="s">
        <v>61</v>
      </c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</row>
    <row r="119" spans="1:21">
      <c r="C119" s="66" t="s">
        <v>119</v>
      </c>
      <c r="F119" s="91">
        <f>+F21*F78</f>
        <v>15885.831316363208</v>
      </c>
      <c r="G119" s="91">
        <f t="shared" ref="G119:Q119" si="32">+G21*G78</f>
        <v>14357.51252609256</v>
      </c>
      <c r="H119" s="91">
        <f t="shared" si="32"/>
        <v>16618.788447982981</v>
      </c>
      <c r="I119" s="91">
        <f t="shared" si="32"/>
        <v>15299.758402840847</v>
      </c>
      <c r="J119" s="91">
        <f t="shared" si="32"/>
        <v>17265.840126355688</v>
      </c>
      <c r="K119" s="91">
        <f t="shared" si="32"/>
        <v>16558.132412641851</v>
      </c>
      <c r="L119" s="91">
        <f t="shared" si="32"/>
        <v>16295.251874461463</v>
      </c>
      <c r="M119" s="91">
        <f t="shared" si="32"/>
        <v>15818.790553465695</v>
      </c>
      <c r="N119" s="91">
        <f t="shared" si="32"/>
        <v>19363.331266784437</v>
      </c>
      <c r="O119" s="91">
        <f t="shared" si="32"/>
        <v>21616.360069336206</v>
      </c>
      <c r="P119" s="91">
        <f t="shared" si="32"/>
        <v>19137.969209203686</v>
      </c>
      <c r="Q119" s="91">
        <f t="shared" si="32"/>
        <v>18774.110847750679</v>
      </c>
      <c r="R119" s="91">
        <f>SUM(F119:Q119)</f>
        <v>206991.6770532793</v>
      </c>
    </row>
    <row r="120" spans="1:21">
      <c r="C120" s="66" t="s">
        <v>120</v>
      </c>
      <c r="F120" s="91">
        <f t="shared" ref="F120:Q120" si="33">+F22*F79</f>
        <v>73384.208059670724</v>
      </c>
      <c r="G120" s="91">
        <f t="shared" si="33"/>
        <v>65384.419415514647</v>
      </c>
      <c r="H120" s="91">
        <f t="shared" si="33"/>
        <v>76352.521209735962</v>
      </c>
      <c r="I120" s="91">
        <f t="shared" si="33"/>
        <v>75454.1742954855</v>
      </c>
      <c r="J120" s="91">
        <f t="shared" si="33"/>
        <v>80191.282947125204</v>
      </c>
      <c r="K120" s="91">
        <f t="shared" si="33"/>
        <v>9032.3204105803325</v>
      </c>
      <c r="L120" s="91">
        <f t="shared" si="33"/>
        <v>9630.8172326590484</v>
      </c>
      <c r="M120" s="91">
        <f t="shared" si="33"/>
        <v>8469.4055506067652</v>
      </c>
      <c r="N120" s="91">
        <f t="shared" si="33"/>
        <v>11163.484322419972</v>
      </c>
      <c r="O120" s="91">
        <f t="shared" si="33"/>
        <v>10595.438944833913</v>
      </c>
      <c r="P120" s="91">
        <f t="shared" si="33"/>
        <v>9442.7144344266053</v>
      </c>
      <c r="Q120" s="91">
        <f t="shared" si="33"/>
        <v>10371.858893259776</v>
      </c>
      <c r="R120" s="91">
        <f>SUM(F120:Q120)</f>
        <v>439472.64571631845</v>
      </c>
    </row>
    <row r="121" spans="1:21">
      <c r="C121" s="66" t="s">
        <v>138</v>
      </c>
      <c r="F121" s="91">
        <f>+F25*F80</f>
        <v>275.16286392757524</v>
      </c>
      <c r="G121" s="91">
        <f t="shared" ref="G121:Q121" si="34">+G25*G80</f>
        <v>323.44926900722123</v>
      </c>
      <c r="H121" s="91">
        <f t="shared" si="34"/>
        <v>338.51772224059033</v>
      </c>
      <c r="I121" s="91">
        <f t="shared" si="34"/>
        <v>295.52136554184921</v>
      </c>
      <c r="J121" s="91">
        <f t="shared" si="34"/>
        <v>407.26175524441317</v>
      </c>
      <c r="K121" s="91">
        <f t="shared" si="34"/>
        <v>432.68355944393596</v>
      </c>
      <c r="L121" s="91">
        <f t="shared" si="34"/>
        <v>197.72922159808775</v>
      </c>
      <c r="M121" s="91">
        <f t="shared" si="34"/>
        <v>202.46349973098543</v>
      </c>
      <c r="N121" s="91">
        <f t="shared" si="34"/>
        <v>201.58529563365107</v>
      </c>
      <c r="O121" s="91">
        <f t="shared" si="34"/>
        <v>181.37061374157392</v>
      </c>
      <c r="P121" s="91">
        <f t="shared" si="34"/>
        <v>160.41670907879663</v>
      </c>
      <c r="Q121" s="91">
        <f t="shared" si="34"/>
        <v>189.10645444593072</v>
      </c>
      <c r="R121" s="91">
        <f>SUM(F121:Q121)</f>
        <v>3205.2683296346108</v>
      </c>
    </row>
    <row r="122" spans="1:21">
      <c r="C122" s="86" t="s">
        <v>112</v>
      </c>
      <c r="F122" s="91">
        <f t="shared" ref="F122:Q122" si="35">+F26*F82</f>
        <v>6282.0381955917928</v>
      </c>
      <c r="G122" s="91">
        <f t="shared" si="35"/>
        <v>6674.4403883092464</v>
      </c>
      <c r="H122" s="91">
        <f t="shared" si="35"/>
        <v>8432.6282810366683</v>
      </c>
      <c r="I122" s="91">
        <f t="shared" si="35"/>
        <v>9139.1664745618418</v>
      </c>
      <c r="J122" s="91">
        <f t="shared" si="35"/>
        <v>7212.8852671200075</v>
      </c>
      <c r="K122" s="91">
        <f t="shared" si="35"/>
        <v>5392.5650132809169</v>
      </c>
      <c r="L122" s="91">
        <f t="shared" si="35"/>
        <v>3664.6563330364843</v>
      </c>
      <c r="M122" s="91">
        <f t="shared" si="35"/>
        <v>3585.1158332050477</v>
      </c>
      <c r="N122" s="91">
        <f t="shared" si="35"/>
        <v>4429.4365817237094</v>
      </c>
      <c r="O122" s="91">
        <f t="shared" si="35"/>
        <v>3654.1303829342182</v>
      </c>
      <c r="P122" s="91">
        <f t="shared" si="35"/>
        <v>2969.4139276124629</v>
      </c>
      <c r="Q122" s="91">
        <f t="shared" si="35"/>
        <v>3709.1223903635901</v>
      </c>
      <c r="R122" s="91">
        <f>SUM(F122:Q122)</f>
        <v>65145.599068775991</v>
      </c>
    </row>
    <row r="123" spans="1:21">
      <c r="B123" s="65" t="s">
        <v>110</v>
      </c>
      <c r="C123" s="65"/>
      <c r="D123" s="65"/>
      <c r="E123" s="65"/>
      <c r="F123" s="118">
        <f t="shared" ref="F123:R123" si="36">SUM(F119:F122)</f>
        <v>95827.240435553307</v>
      </c>
      <c r="G123" s="118">
        <f t="shared" si="36"/>
        <v>86739.821598923678</v>
      </c>
      <c r="H123" s="118">
        <f t="shared" si="36"/>
        <v>101742.4556609962</v>
      </c>
      <c r="I123" s="118">
        <f t="shared" si="36"/>
        <v>100188.62053843004</v>
      </c>
      <c r="J123" s="118">
        <f t="shared" si="36"/>
        <v>105077.27009584531</v>
      </c>
      <c r="K123" s="118">
        <f t="shared" si="36"/>
        <v>31415.701395947039</v>
      </c>
      <c r="L123" s="118">
        <f t="shared" si="36"/>
        <v>29788.454661755084</v>
      </c>
      <c r="M123" s="118">
        <f t="shared" si="36"/>
        <v>28075.775437008491</v>
      </c>
      <c r="N123" s="118">
        <f t="shared" si="36"/>
        <v>35157.837466561767</v>
      </c>
      <c r="O123" s="118">
        <f t="shared" si="36"/>
        <v>36047.300010845916</v>
      </c>
      <c r="P123" s="118">
        <f t="shared" si="36"/>
        <v>31710.514280321549</v>
      </c>
      <c r="Q123" s="118">
        <f t="shared" si="36"/>
        <v>33044.198585819977</v>
      </c>
      <c r="R123" s="118">
        <f t="shared" si="36"/>
        <v>714815.19016800832</v>
      </c>
      <c r="T123" s="111"/>
    </row>
    <row r="124" spans="1:21">
      <c r="G124" s="74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</row>
    <row r="125" spans="1:21">
      <c r="B125" s="65" t="s">
        <v>41</v>
      </c>
      <c r="G125" s="74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</row>
    <row r="126" spans="1:21">
      <c r="C126" s="66" t="s">
        <v>118</v>
      </c>
      <c r="G126" s="74"/>
      <c r="H126" s="74"/>
      <c r="I126" s="74"/>
      <c r="J126" s="74"/>
      <c r="K126" s="74"/>
      <c r="L126" s="74"/>
      <c r="M126" s="74"/>
      <c r="N126" s="74"/>
      <c r="O126" s="74"/>
      <c r="P126" s="74"/>
      <c r="Q126" s="74"/>
      <c r="R126" s="74"/>
    </row>
    <row r="127" spans="1:21">
      <c r="D127" s="66" t="s">
        <v>124</v>
      </c>
      <c r="F127" s="91">
        <f t="shared" ref="F127:Q127" si="37">+F32*F87</f>
        <v>45374.273980780417</v>
      </c>
      <c r="G127" s="91">
        <f t="shared" si="37"/>
        <v>37635.80378097939</v>
      </c>
      <c r="H127" s="91">
        <f t="shared" si="37"/>
        <v>41452.533878957307</v>
      </c>
      <c r="I127" s="91">
        <f t="shared" si="37"/>
        <v>46793.574078213373</v>
      </c>
      <c r="J127" s="91">
        <f t="shared" si="37"/>
        <v>50250.696856007431</v>
      </c>
      <c r="K127" s="91">
        <f t="shared" si="37"/>
        <v>44280.911301577573</v>
      </c>
      <c r="L127" s="91">
        <f t="shared" si="37"/>
        <v>45698.248875630867</v>
      </c>
      <c r="M127" s="91">
        <f t="shared" si="37"/>
        <v>44251.68959662885</v>
      </c>
      <c r="N127" s="91">
        <f t="shared" si="37"/>
        <v>45105.717442795765</v>
      </c>
      <c r="O127" s="91">
        <f t="shared" si="37"/>
        <v>50821.709369377779</v>
      </c>
      <c r="P127" s="91">
        <f t="shared" si="37"/>
        <v>41951.78888099888</v>
      </c>
      <c r="Q127" s="91">
        <f t="shared" si="37"/>
        <v>46883.992901971804</v>
      </c>
      <c r="R127" s="91">
        <f>SUM(F127:Q127)</f>
        <v>540500.94094391936</v>
      </c>
    </row>
    <row r="128" spans="1:21">
      <c r="D128" s="66" t="s">
        <v>125</v>
      </c>
      <c r="F128" s="100">
        <f t="shared" ref="F128:Q128" si="38">+F33*F88</f>
        <v>49190.399633027126</v>
      </c>
      <c r="G128" s="100">
        <f t="shared" si="38"/>
        <v>39668.429524336432</v>
      </c>
      <c r="H128" s="100">
        <f t="shared" si="38"/>
        <v>41746.118049390934</v>
      </c>
      <c r="I128" s="100">
        <f t="shared" si="38"/>
        <v>46438.969697739929</v>
      </c>
      <c r="J128" s="100">
        <f t="shared" si="38"/>
        <v>44644.119694485402</v>
      </c>
      <c r="K128" s="100">
        <f t="shared" si="38"/>
        <v>14615.406048753819</v>
      </c>
      <c r="L128" s="100">
        <f t="shared" si="38"/>
        <v>20917.063964098943</v>
      </c>
      <c r="M128" s="100">
        <f t="shared" si="38"/>
        <v>16945.049251856388</v>
      </c>
      <c r="N128" s="100">
        <f t="shared" si="38"/>
        <v>20316.584021221617</v>
      </c>
      <c r="O128" s="100">
        <f t="shared" si="38"/>
        <v>17848.084081076056</v>
      </c>
      <c r="P128" s="100">
        <f t="shared" si="38"/>
        <v>16912.201408922319</v>
      </c>
      <c r="Q128" s="100">
        <f t="shared" si="38"/>
        <v>20089.777268763981</v>
      </c>
      <c r="R128" s="100">
        <f>SUM(F128:Q128)</f>
        <v>349332.20264367294</v>
      </c>
    </row>
    <row r="129" spans="2:20" s="65" customFormat="1">
      <c r="C129" s="65" t="s">
        <v>121</v>
      </c>
      <c r="F129" s="118">
        <f t="shared" ref="F129:R129" si="39">SUM(F127:F128)</f>
        <v>94564.673613807536</v>
      </c>
      <c r="G129" s="118">
        <f t="shared" si="39"/>
        <v>77304.233305315822</v>
      </c>
      <c r="H129" s="118">
        <f t="shared" si="39"/>
        <v>83198.651928348234</v>
      </c>
      <c r="I129" s="118">
        <f t="shared" si="39"/>
        <v>93232.543775953294</v>
      </c>
      <c r="J129" s="118">
        <f t="shared" si="39"/>
        <v>94894.816550492833</v>
      </c>
      <c r="K129" s="118">
        <f t="shared" si="39"/>
        <v>58896.317350331388</v>
      </c>
      <c r="L129" s="118">
        <f t="shared" si="39"/>
        <v>66615.312839729813</v>
      </c>
      <c r="M129" s="118">
        <f t="shared" si="39"/>
        <v>61196.738848485242</v>
      </c>
      <c r="N129" s="118">
        <f t="shared" si="39"/>
        <v>65422.301464017379</v>
      </c>
      <c r="O129" s="118">
        <f t="shared" si="39"/>
        <v>68669.793450453843</v>
      </c>
      <c r="P129" s="118">
        <f t="shared" si="39"/>
        <v>58863.990289921203</v>
      </c>
      <c r="Q129" s="118">
        <f t="shared" si="39"/>
        <v>66973.770170735777</v>
      </c>
      <c r="R129" s="118">
        <f t="shared" si="39"/>
        <v>889833.14358759229</v>
      </c>
    </row>
    <row r="130" spans="2:20" ht="7.5" customHeight="1">
      <c r="C130" s="65"/>
      <c r="D130" s="65"/>
      <c r="E130" s="65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</row>
    <row r="131" spans="2:20">
      <c r="C131" s="66" t="s">
        <v>111</v>
      </c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  <c r="Q131" s="74"/>
      <c r="R131" s="74"/>
    </row>
    <row r="132" spans="2:20">
      <c r="D132" s="66" t="s">
        <v>136</v>
      </c>
      <c r="F132" s="100">
        <f t="shared" ref="F132:Q132" si="40">+F36*F91</f>
        <v>14523.446963398099</v>
      </c>
      <c r="G132" s="100">
        <f t="shared" si="40"/>
        <v>10228.527920274115</v>
      </c>
      <c r="H132" s="100">
        <f t="shared" si="40"/>
        <v>10839.734147232013</v>
      </c>
      <c r="I132" s="100">
        <f t="shared" si="40"/>
        <v>9888.4711932815953</v>
      </c>
      <c r="J132" s="100">
        <f t="shared" si="40"/>
        <v>11790.004875034127</v>
      </c>
      <c r="K132" s="100">
        <f t="shared" si="40"/>
        <v>14864.000084118084</v>
      </c>
      <c r="L132" s="100">
        <f t="shared" si="40"/>
        <v>12184.853713336044</v>
      </c>
      <c r="M132" s="100">
        <f t="shared" si="40"/>
        <v>11807.505970143675</v>
      </c>
      <c r="N132" s="100">
        <f t="shared" si="40"/>
        <v>9439.9241034482657</v>
      </c>
      <c r="O132" s="100">
        <f t="shared" si="40"/>
        <v>9715.7082681598149</v>
      </c>
      <c r="P132" s="100">
        <f t="shared" si="40"/>
        <v>8778.6577670097267</v>
      </c>
      <c r="Q132" s="100">
        <f t="shared" si="40"/>
        <v>14941.905694170649</v>
      </c>
      <c r="R132" s="100">
        <f>SUM(F132:Q132)</f>
        <v>139002.74069960622</v>
      </c>
    </row>
    <row r="133" spans="2:20">
      <c r="D133" s="66" t="s">
        <v>125</v>
      </c>
      <c r="F133" s="100">
        <f t="shared" ref="F133:Q133" si="41">+F37*F92</f>
        <v>13014.661306620474</v>
      </c>
      <c r="G133" s="100">
        <f t="shared" si="41"/>
        <v>11397.897209840678</v>
      </c>
      <c r="H133" s="100">
        <f t="shared" si="41"/>
        <v>13097.62300304955</v>
      </c>
      <c r="I133" s="100">
        <f t="shared" si="41"/>
        <v>14938.49450027198</v>
      </c>
      <c r="J133" s="100">
        <f t="shared" si="41"/>
        <v>13660.91987947555</v>
      </c>
      <c r="K133" s="100">
        <f t="shared" si="41"/>
        <v>6196.7339428515997</v>
      </c>
      <c r="L133" s="100">
        <f t="shared" si="41"/>
        <v>7892.3947183669361</v>
      </c>
      <c r="M133" s="100">
        <f t="shared" si="41"/>
        <v>5176.8117094741447</v>
      </c>
      <c r="N133" s="100">
        <f t="shared" si="41"/>
        <v>5451.5975258885346</v>
      </c>
      <c r="O133" s="100">
        <f t="shared" si="41"/>
        <v>5024.5067550466583</v>
      </c>
      <c r="P133" s="100">
        <f t="shared" si="41"/>
        <v>5175.9149985801105</v>
      </c>
      <c r="Q133" s="100">
        <f t="shared" si="41"/>
        <v>8042.6906141824629</v>
      </c>
      <c r="R133" s="100">
        <f>SUM(F133:Q133)</f>
        <v>109070.24616364867</v>
      </c>
    </row>
    <row r="134" spans="2:20" s="65" customFormat="1">
      <c r="C134" s="65" t="s">
        <v>126</v>
      </c>
      <c r="F134" s="118">
        <f t="shared" ref="F134:R134" si="42">SUM(F132:F133)</f>
        <v>27538.108270018573</v>
      </c>
      <c r="G134" s="118">
        <f t="shared" si="42"/>
        <v>21626.425130114792</v>
      </c>
      <c r="H134" s="118">
        <f t="shared" si="42"/>
        <v>23937.357150281561</v>
      </c>
      <c r="I134" s="118">
        <f t="shared" si="42"/>
        <v>24826.965693553575</v>
      </c>
      <c r="J134" s="118">
        <f t="shared" si="42"/>
        <v>25450.924754509677</v>
      </c>
      <c r="K134" s="118">
        <f t="shared" si="42"/>
        <v>21060.734026969683</v>
      </c>
      <c r="L134" s="118">
        <f t="shared" si="42"/>
        <v>20077.248431702981</v>
      </c>
      <c r="M134" s="118">
        <f t="shared" si="42"/>
        <v>16984.31767961782</v>
      </c>
      <c r="N134" s="118">
        <f t="shared" si="42"/>
        <v>14891.521629336799</v>
      </c>
      <c r="O134" s="118">
        <f t="shared" si="42"/>
        <v>14740.215023206474</v>
      </c>
      <c r="P134" s="118">
        <f t="shared" si="42"/>
        <v>13954.572765589837</v>
      </c>
      <c r="Q134" s="118">
        <f t="shared" si="42"/>
        <v>22984.596308353113</v>
      </c>
      <c r="R134" s="118">
        <f t="shared" si="42"/>
        <v>248072.98686325489</v>
      </c>
    </row>
    <row r="135" spans="2:20" ht="7.5" customHeight="1">
      <c r="C135" s="65"/>
      <c r="D135" s="65"/>
      <c r="E135" s="65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</row>
    <row r="136" spans="2:20">
      <c r="C136" s="66" t="s">
        <v>60</v>
      </c>
      <c r="E136" s="127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  <c r="Q136" s="74"/>
      <c r="R136" s="74"/>
    </row>
    <row r="137" spans="2:20">
      <c r="D137" s="66" t="s">
        <v>124</v>
      </c>
      <c r="F137" s="91">
        <f t="shared" ref="F137:Q137" si="43">+F40*F95</f>
        <v>4430.8706855744313</v>
      </c>
      <c r="G137" s="91">
        <f t="shared" si="43"/>
        <v>2375.2272784678817</v>
      </c>
      <c r="H137" s="91">
        <f t="shared" si="43"/>
        <v>7328.2718944368562</v>
      </c>
      <c r="I137" s="91">
        <f t="shared" si="43"/>
        <v>13712.211822381098</v>
      </c>
      <c r="J137" s="91">
        <f t="shared" si="43"/>
        <v>16811.005100241535</v>
      </c>
      <c r="K137" s="91">
        <f t="shared" si="43"/>
        <v>12288.544108969758</v>
      </c>
      <c r="L137" s="91">
        <f t="shared" si="43"/>
        <v>9093.5648590130095</v>
      </c>
      <c r="M137" s="91">
        <f t="shared" si="43"/>
        <v>7349.5656009112017</v>
      </c>
      <c r="N137" s="91">
        <f t="shared" si="43"/>
        <v>8253.8382080084848</v>
      </c>
      <c r="O137" s="91">
        <f t="shared" si="43"/>
        <v>9693.8063958098337</v>
      </c>
      <c r="P137" s="91">
        <f t="shared" si="43"/>
        <v>8791.8703754789567</v>
      </c>
      <c r="Q137" s="91">
        <f t="shared" si="43"/>
        <v>4427.6832592008332</v>
      </c>
      <c r="R137" s="91">
        <f>SUM(F137:Q137)</f>
        <v>104556.45958849388</v>
      </c>
      <c r="S137" s="85"/>
    </row>
    <row r="138" spans="2:20">
      <c r="D138" s="66" t="s">
        <v>125</v>
      </c>
      <c r="F138" s="91">
        <f t="shared" ref="F138:Q138" si="44">+F41*F96</f>
        <v>4306.0288760372059</v>
      </c>
      <c r="G138" s="91">
        <f t="shared" si="44"/>
        <v>2533.5253587688003</v>
      </c>
      <c r="H138" s="91">
        <f t="shared" si="44"/>
        <v>5497.5492793982976</v>
      </c>
      <c r="I138" s="91">
        <f t="shared" si="44"/>
        <v>8489.46233611549</v>
      </c>
      <c r="J138" s="91">
        <f t="shared" si="44"/>
        <v>12423.99412220601</v>
      </c>
      <c r="K138" s="91">
        <f t="shared" si="44"/>
        <v>5501.6448964001802</v>
      </c>
      <c r="L138" s="91">
        <f t="shared" si="44"/>
        <v>4487.5957293641359</v>
      </c>
      <c r="M138" s="91">
        <f t="shared" si="44"/>
        <v>3750.5171225652166</v>
      </c>
      <c r="N138" s="91">
        <f t="shared" si="44"/>
        <v>5362.9302981742294</v>
      </c>
      <c r="O138" s="91">
        <f t="shared" si="44"/>
        <v>5145.0085430030476</v>
      </c>
      <c r="P138" s="91">
        <f t="shared" si="44"/>
        <v>5370.6482159962789</v>
      </c>
      <c r="Q138" s="91">
        <f t="shared" si="44"/>
        <v>3419.7449152743711</v>
      </c>
      <c r="R138" s="91">
        <f>SUM(F138:Q138)</f>
        <v>66288.649693303247</v>
      </c>
      <c r="S138" s="85"/>
    </row>
    <row r="139" spans="2:20" s="65" customFormat="1">
      <c r="C139" s="65" t="s">
        <v>127</v>
      </c>
      <c r="F139" s="118">
        <f t="shared" ref="F139:R139" si="45">SUM(F137:F138)</f>
        <v>8736.8995616116372</v>
      </c>
      <c r="G139" s="118">
        <f t="shared" si="45"/>
        <v>4908.7526372366819</v>
      </c>
      <c r="H139" s="118">
        <f t="shared" si="45"/>
        <v>12825.821173835153</v>
      </c>
      <c r="I139" s="118">
        <f t="shared" si="45"/>
        <v>22201.674158496586</v>
      </c>
      <c r="J139" s="118">
        <f t="shared" si="45"/>
        <v>29234.999222447543</v>
      </c>
      <c r="K139" s="118">
        <f t="shared" si="45"/>
        <v>17790.189005369939</v>
      </c>
      <c r="L139" s="118">
        <f t="shared" si="45"/>
        <v>13581.160588377144</v>
      </c>
      <c r="M139" s="118">
        <f t="shared" si="45"/>
        <v>11100.082723476418</v>
      </c>
      <c r="N139" s="118">
        <f t="shared" si="45"/>
        <v>13616.768506182714</v>
      </c>
      <c r="O139" s="118">
        <f t="shared" si="45"/>
        <v>14838.81493881288</v>
      </c>
      <c r="P139" s="118">
        <f t="shared" si="45"/>
        <v>14162.518591475236</v>
      </c>
      <c r="Q139" s="118">
        <f t="shared" si="45"/>
        <v>7847.4281744752043</v>
      </c>
      <c r="R139" s="118">
        <f t="shared" si="45"/>
        <v>170845.10928179714</v>
      </c>
    </row>
    <row r="140" spans="2:20" ht="7.5" customHeight="1">
      <c r="C140" s="65"/>
      <c r="D140" s="65"/>
      <c r="E140" s="65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</row>
    <row r="141" spans="2:20" s="65" customFormat="1">
      <c r="B141" s="65" t="s">
        <v>58</v>
      </c>
      <c r="F141" s="118">
        <f t="shared" ref="F141:R141" si="46">F129+F134+F139</f>
        <v>130839.68144543775</v>
      </c>
      <c r="G141" s="118">
        <f t="shared" si="46"/>
        <v>103839.4110726673</v>
      </c>
      <c r="H141" s="118">
        <f t="shared" si="46"/>
        <v>119961.83025246495</v>
      </c>
      <c r="I141" s="118">
        <f t="shared" si="46"/>
        <v>140261.18362800346</v>
      </c>
      <c r="J141" s="118">
        <f t="shared" si="46"/>
        <v>149580.74052745005</v>
      </c>
      <c r="K141" s="118">
        <f t="shared" si="46"/>
        <v>97747.240382671007</v>
      </c>
      <c r="L141" s="118">
        <f t="shared" si="46"/>
        <v>100273.72185980993</v>
      </c>
      <c r="M141" s="118">
        <f t="shared" si="46"/>
        <v>89281.139251579472</v>
      </c>
      <c r="N141" s="118">
        <f t="shared" si="46"/>
        <v>93930.591599536885</v>
      </c>
      <c r="O141" s="118">
        <f t="shared" si="46"/>
        <v>98248.823412473197</v>
      </c>
      <c r="P141" s="118">
        <f t="shared" si="46"/>
        <v>86981.081646986277</v>
      </c>
      <c r="Q141" s="118">
        <f t="shared" si="46"/>
        <v>97805.794653564095</v>
      </c>
      <c r="R141" s="118">
        <f t="shared" si="46"/>
        <v>1308751.2397326443</v>
      </c>
      <c r="S141" s="133"/>
      <c r="T141" s="134"/>
    </row>
    <row r="142" spans="2:20">
      <c r="G142" s="74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</row>
    <row r="143" spans="2:20">
      <c r="B143" s="65" t="s">
        <v>116</v>
      </c>
      <c r="G143" s="74"/>
      <c r="H143" s="74"/>
      <c r="I143" s="74"/>
      <c r="J143" s="74"/>
      <c r="K143" s="74"/>
      <c r="L143" s="74"/>
      <c r="M143" s="74"/>
      <c r="N143" s="74"/>
      <c r="O143" s="74"/>
      <c r="P143" s="74"/>
      <c r="Q143" s="74"/>
      <c r="R143" s="74"/>
    </row>
    <row r="144" spans="2:20">
      <c r="C144" s="66" t="s">
        <v>119</v>
      </c>
      <c r="F144" s="100">
        <f t="shared" ref="F144:Q144" si="47">+F46*F101</f>
        <v>9537.8929000000007</v>
      </c>
      <c r="G144" s="100">
        <f t="shared" si="47"/>
        <v>7768.990499999999</v>
      </c>
      <c r="H144" s="100">
        <f t="shared" si="47"/>
        <v>9611.1966000000011</v>
      </c>
      <c r="I144" s="100">
        <f t="shared" si="47"/>
        <v>10270.929899999999</v>
      </c>
      <c r="J144" s="100">
        <f t="shared" si="47"/>
        <v>10716.760600000001</v>
      </c>
      <c r="K144" s="100">
        <f t="shared" si="47"/>
        <v>10812.896600000002</v>
      </c>
      <c r="L144" s="100">
        <f t="shared" si="47"/>
        <v>7638.0052000000005</v>
      </c>
      <c r="M144" s="100">
        <f t="shared" si="47"/>
        <v>8027.3559999999998</v>
      </c>
      <c r="N144" s="100">
        <f t="shared" si="47"/>
        <v>8205.2076000000015</v>
      </c>
      <c r="O144" s="100">
        <f t="shared" si="47"/>
        <v>8723.1402999999991</v>
      </c>
      <c r="P144" s="100">
        <f t="shared" si="47"/>
        <v>7803.8397999999997</v>
      </c>
      <c r="Q144" s="100">
        <f t="shared" si="47"/>
        <v>8088.6427000000003</v>
      </c>
      <c r="R144" s="100">
        <f>SUM(F144:Q144)</f>
        <v>107204.8587</v>
      </c>
    </row>
    <row r="145" spans="2:20">
      <c r="C145" s="66" t="s">
        <v>120</v>
      </c>
      <c r="F145" s="100">
        <f t="shared" ref="F145:Q145" si="48">+F47*F102</f>
        <v>140645.76629999999</v>
      </c>
      <c r="G145" s="100">
        <f t="shared" si="48"/>
        <v>127340.54389999999</v>
      </c>
      <c r="H145" s="100">
        <f t="shared" si="48"/>
        <v>142873.71810000003</v>
      </c>
      <c r="I145" s="100">
        <f t="shared" si="48"/>
        <v>146576.15579999995</v>
      </c>
      <c r="J145" s="100">
        <f t="shared" si="48"/>
        <v>156007.0974</v>
      </c>
      <c r="K145" s="100">
        <f t="shared" si="48"/>
        <v>2804.7678000000005</v>
      </c>
      <c r="L145" s="100">
        <f t="shared" si="48"/>
        <v>4049.7289999999989</v>
      </c>
      <c r="M145" s="100">
        <f t="shared" si="48"/>
        <v>3718.0598000000014</v>
      </c>
      <c r="N145" s="100">
        <f t="shared" si="48"/>
        <v>5446.1043999999974</v>
      </c>
      <c r="O145" s="100">
        <f t="shared" si="48"/>
        <v>5501.3826000000035</v>
      </c>
      <c r="P145" s="100">
        <f t="shared" si="48"/>
        <v>5243.0170999999991</v>
      </c>
      <c r="Q145" s="100">
        <f t="shared" si="48"/>
        <v>5074.7790999999988</v>
      </c>
      <c r="R145" s="100">
        <f>SUM(F145:Q145)</f>
        <v>745281.12130000012</v>
      </c>
    </row>
    <row r="146" spans="2:20" s="65" customFormat="1">
      <c r="B146" s="65" t="s">
        <v>128</v>
      </c>
      <c r="F146" s="118">
        <f t="shared" ref="F146:R146" si="49">SUM(F144:F145)</f>
        <v>150183.65919999999</v>
      </c>
      <c r="G146" s="118">
        <f t="shared" si="49"/>
        <v>135109.53439999997</v>
      </c>
      <c r="H146" s="118">
        <f t="shared" si="49"/>
        <v>152484.91470000002</v>
      </c>
      <c r="I146" s="118">
        <f t="shared" si="49"/>
        <v>156847.08569999994</v>
      </c>
      <c r="J146" s="118">
        <f t="shared" si="49"/>
        <v>166723.85800000001</v>
      </c>
      <c r="K146" s="118">
        <f t="shared" si="49"/>
        <v>13617.664400000001</v>
      </c>
      <c r="L146" s="118">
        <f t="shared" si="49"/>
        <v>11687.734199999999</v>
      </c>
      <c r="M146" s="118">
        <f t="shared" si="49"/>
        <v>11745.415800000001</v>
      </c>
      <c r="N146" s="118">
        <f t="shared" si="49"/>
        <v>13651.311999999998</v>
      </c>
      <c r="O146" s="118">
        <f t="shared" si="49"/>
        <v>14224.522900000004</v>
      </c>
      <c r="P146" s="118">
        <f t="shared" si="49"/>
        <v>13046.856899999999</v>
      </c>
      <c r="Q146" s="118">
        <f t="shared" si="49"/>
        <v>13163.4218</v>
      </c>
      <c r="R146" s="118">
        <f t="shared" si="49"/>
        <v>852485.9800000001</v>
      </c>
      <c r="S146" s="133"/>
      <c r="T146" s="134"/>
    </row>
    <row r="149" spans="2:20">
      <c r="B149" s="65" t="s">
        <v>130</v>
      </c>
    </row>
    <row r="150" spans="2:20">
      <c r="C150" s="65" t="s">
        <v>61</v>
      </c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74"/>
      <c r="R150" s="74"/>
    </row>
    <row r="151" spans="2:20">
      <c r="D151" s="66" t="s">
        <v>118</v>
      </c>
      <c r="F151" s="74">
        <f t="shared" ref="F151:R151" si="50">F119</f>
        <v>15885.831316363208</v>
      </c>
      <c r="G151" s="74">
        <f t="shared" si="50"/>
        <v>14357.51252609256</v>
      </c>
      <c r="H151" s="74">
        <f t="shared" si="50"/>
        <v>16618.788447982981</v>
      </c>
      <c r="I151" s="74">
        <f t="shared" si="50"/>
        <v>15299.758402840847</v>
      </c>
      <c r="J151" s="74">
        <f t="shared" si="50"/>
        <v>17265.840126355688</v>
      </c>
      <c r="K151" s="74">
        <f t="shared" si="50"/>
        <v>16558.132412641851</v>
      </c>
      <c r="L151" s="74">
        <f t="shared" si="50"/>
        <v>16295.251874461463</v>
      </c>
      <c r="M151" s="74">
        <f t="shared" si="50"/>
        <v>15818.790553465695</v>
      </c>
      <c r="N151" s="74">
        <f t="shared" si="50"/>
        <v>19363.331266784437</v>
      </c>
      <c r="O151" s="74">
        <f t="shared" si="50"/>
        <v>21616.360069336206</v>
      </c>
      <c r="P151" s="74">
        <f t="shared" si="50"/>
        <v>19137.969209203686</v>
      </c>
      <c r="Q151" s="74">
        <f t="shared" si="50"/>
        <v>18774.110847750679</v>
      </c>
      <c r="R151" s="100">
        <f t="shared" si="50"/>
        <v>206991.6770532793</v>
      </c>
      <c r="S151" s="136">
        <f>+R151+R156+R162</f>
        <v>854697.47669719858</v>
      </c>
    </row>
    <row r="152" spans="2:20">
      <c r="D152" s="66" t="s">
        <v>131</v>
      </c>
      <c r="F152" s="74">
        <f t="shared" ref="F152:R152" si="51">F121</f>
        <v>275.16286392757524</v>
      </c>
      <c r="G152" s="74">
        <f t="shared" si="51"/>
        <v>323.44926900722123</v>
      </c>
      <c r="H152" s="74">
        <f t="shared" si="51"/>
        <v>338.51772224059033</v>
      </c>
      <c r="I152" s="74">
        <f t="shared" si="51"/>
        <v>295.52136554184921</v>
      </c>
      <c r="J152" s="74">
        <f t="shared" si="51"/>
        <v>407.26175524441317</v>
      </c>
      <c r="K152" s="74">
        <f t="shared" si="51"/>
        <v>432.68355944393596</v>
      </c>
      <c r="L152" s="74">
        <f t="shared" si="51"/>
        <v>197.72922159808775</v>
      </c>
      <c r="M152" s="74">
        <f t="shared" si="51"/>
        <v>202.46349973098543</v>
      </c>
      <c r="N152" s="74">
        <f t="shared" si="51"/>
        <v>201.58529563365107</v>
      </c>
      <c r="O152" s="74">
        <f t="shared" si="51"/>
        <v>181.37061374157392</v>
      </c>
      <c r="P152" s="74">
        <f t="shared" si="51"/>
        <v>160.41670907879663</v>
      </c>
      <c r="Q152" s="74">
        <f t="shared" si="51"/>
        <v>189.10645444593072</v>
      </c>
      <c r="R152" s="100">
        <f t="shared" si="51"/>
        <v>3205.2683296346108</v>
      </c>
      <c r="S152" s="96"/>
    </row>
    <row r="153" spans="2:20" s="65" customFormat="1">
      <c r="C153" s="65" t="s">
        <v>110</v>
      </c>
      <c r="F153" s="118">
        <f t="shared" ref="F153:R153" si="52">SUM(F151:F152)</f>
        <v>16160.994180290783</v>
      </c>
      <c r="G153" s="118">
        <f t="shared" si="52"/>
        <v>14680.961795099782</v>
      </c>
      <c r="H153" s="118">
        <f t="shared" si="52"/>
        <v>16957.306170223572</v>
      </c>
      <c r="I153" s="118">
        <f t="shared" si="52"/>
        <v>15595.279768382696</v>
      </c>
      <c r="J153" s="118">
        <f t="shared" si="52"/>
        <v>17673.101881600101</v>
      </c>
      <c r="K153" s="118">
        <f t="shared" si="52"/>
        <v>16990.815972085788</v>
      </c>
      <c r="L153" s="118">
        <f t="shared" si="52"/>
        <v>16492.98109605955</v>
      </c>
      <c r="M153" s="118">
        <f t="shared" si="52"/>
        <v>16021.254053196681</v>
      </c>
      <c r="N153" s="118">
        <f t="shared" si="52"/>
        <v>19564.916562418086</v>
      </c>
      <c r="O153" s="118">
        <f t="shared" si="52"/>
        <v>21797.730683077782</v>
      </c>
      <c r="P153" s="118">
        <f t="shared" si="52"/>
        <v>19298.385918282482</v>
      </c>
      <c r="Q153" s="118">
        <f t="shared" si="52"/>
        <v>18963.217302196608</v>
      </c>
      <c r="R153" s="118">
        <f t="shared" si="52"/>
        <v>210196.94538291392</v>
      </c>
    </row>
    <row r="154" spans="2:20" ht="7.5" customHeight="1">
      <c r="C154" s="65"/>
      <c r="D154" s="65"/>
      <c r="E154" s="65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</row>
    <row r="155" spans="2:20">
      <c r="C155" s="65" t="s">
        <v>41</v>
      </c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  <c r="Q155" s="74"/>
      <c r="R155" s="74"/>
    </row>
    <row r="156" spans="2:20">
      <c r="D156" s="66" t="s">
        <v>118</v>
      </c>
      <c r="F156" s="74">
        <f t="shared" ref="F156:R156" si="53">F127</f>
        <v>45374.273980780417</v>
      </c>
      <c r="G156" s="74">
        <f t="shared" si="53"/>
        <v>37635.80378097939</v>
      </c>
      <c r="H156" s="74">
        <f t="shared" si="53"/>
        <v>41452.533878957307</v>
      </c>
      <c r="I156" s="74">
        <f t="shared" si="53"/>
        <v>46793.574078213373</v>
      </c>
      <c r="J156" s="74">
        <f t="shared" si="53"/>
        <v>50250.696856007431</v>
      </c>
      <c r="K156" s="74">
        <f t="shared" si="53"/>
        <v>44280.911301577573</v>
      </c>
      <c r="L156" s="74">
        <f t="shared" si="53"/>
        <v>45698.248875630867</v>
      </c>
      <c r="M156" s="74">
        <f t="shared" si="53"/>
        <v>44251.68959662885</v>
      </c>
      <c r="N156" s="74">
        <f t="shared" si="53"/>
        <v>45105.717442795765</v>
      </c>
      <c r="O156" s="74">
        <f t="shared" si="53"/>
        <v>50821.709369377779</v>
      </c>
      <c r="P156" s="74">
        <f t="shared" si="53"/>
        <v>41951.78888099888</v>
      </c>
      <c r="Q156" s="74">
        <f t="shared" si="53"/>
        <v>46883.992901971804</v>
      </c>
      <c r="R156" s="100">
        <f t="shared" si="53"/>
        <v>540500.94094391936</v>
      </c>
    </row>
    <row r="157" spans="2:20">
      <c r="D157" s="66" t="s">
        <v>111</v>
      </c>
      <c r="F157" s="74">
        <f t="shared" ref="F157:R157" si="54">F132</f>
        <v>14523.446963398099</v>
      </c>
      <c r="G157" s="74">
        <f t="shared" si="54"/>
        <v>10228.527920274115</v>
      </c>
      <c r="H157" s="74">
        <f t="shared" si="54"/>
        <v>10839.734147232013</v>
      </c>
      <c r="I157" s="74">
        <f t="shared" si="54"/>
        <v>9888.4711932815953</v>
      </c>
      <c r="J157" s="74">
        <f t="shared" si="54"/>
        <v>11790.004875034127</v>
      </c>
      <c r="K157" s="74">
        <f t="shared" si="54"/>
        <v>14864.000084118084</v>
      </c>
      <c r="L157" s="74">
        <f t="shared" si="54"/>
        <v>12184.853713336044</v>
      </c>
      <c r="M157" s="74">
        <f t="shared" si="54"/>
        <v>11807.505970143675</v>
      </c>
      <c r="N157" s="74">
        <f t="shared" si="54"/>
        <v>9439.9241034482657</v>
      </c>
      <c r="O157" s="74">
        <f t="shared" si="54"/>
        <v>9715.7082681598149</v>
      </c>
      <c r="P157" s="74">
        <f t="shared" si="54"/>
        <v>8778.6577670097267</v>
      </c>
      <c r="Q157" s="74">
        <f t="shared" si="54"/>
        <v>14941.905694170649</v>
      </c>
      <c r="R157" s="100">
        <f t="shared" si="54"/>
        <v>139002.74069960622</v>
      </c>
    </row>
    <row r="158" spans="2:20">
      <c r="D158" s="66" t="s">
        <v>60</v>
      </c>
      <c r="F158" s="74">
        <f t="shared" ref="F158:R158" si="55">F137</f>
        <v>4430.8706855744313</v>
      </c>
      <c r="G158" s="74">
        <f t="shared" si="55"/>
        <v>2375.2272784678817</v>
      </c>
      <c r="H158" s="74">
        <f t="shared" si="55"/>
        <v>7328.2718944368562</v>
      </c>
      <c r="I158" s="74">
        <f t="shared" si="55"/>
        <v>13712.211822381098</v>
      </c>
      <c r="J158" s="74">
        <f t="shared" si="55"/>
        <v>16811.005100241535</v>
      </c>
      <c r="K158" s="74">
        <f t="shared" si="55"/>
        <v>12288.544108969758</v>
      </c>
      <c r="L158" s="74">
        <f t="shared" si="55"/>
        <v>9093.5648590130095</v>
      </c>
      <c r="M158" s="74">
        <f t="shared" si="55"/>
        <v>7349.5656009112017</v>
      </c>
      <c r="N158" s="74">
        <f t="shared" si="55"/>
        <v>8253.8382080084848</v>
      </c>
      <c r="O158" s="74">
        <f t="shared" si="55"/>
        <v>9693.8063958098337</v>
      </c>
      <c r="P158" s="74">
        <f t="shared" si="55"/>
        <v>8791.8703754789567</v>
      </c>
      <c r="Q158" s="74">
        <f t="shared" si="55"/>
        <v>4427.6832592008332</v>
      </c>
      <c r="R158" s="100">
        <f t="shared" si="55"/>
        <v>104556.45958849388</v>
      </c>
    </row>
    <row r="159" spans="2:20" s="65" customFormat="1">
      <c r="C159" s="65" t="s">
        <v>58</v>
      </c>
      <c r="F159" s="118">
        <f t="shared" ref="F159:R159" si="56">SUM(F156:F158)</f>
        <v>64328.591629752947</v>
      </c>
      <c r="G159" s="118">
        <f t="shared" si="56"/>
        <v>50239.558979721383</v>
      </c>
      <c r="H159" s="118">
        <f t="shared" si="56"/>
        <v>59620.539920626172</v>
      </c>
      <c r="I159" s="118">
        <f t="shared" si="56"/>
        <v>70394.257093876062</v>
      </c>
      <c r="J159" s="118">
        <f t="shared" si="56"/>
        <v>78851.706831283082</v>
      </c>
      <c r="K159" s="118">
        <f t="shared" si="56"/>
        <v>71433.45549466541</v>
      </c>
      <c r="L159" s="118">
        <f t="shared" si="56"/>
        <v>66976.667447979926</v>
      </c>
      <c r="M159" s="118">
        <f t="shared" si="56"/>
        <v>63408.761167683726</v>
      </c>
      <c r="N159" s="118">
        <f t="shared" si="56"/>
        <v>62799.479754252519</v>
      </c>
      <c r="O159" s="118">
        <f t="shared" si="56"/>
        <v>70231.224033347433</v>
      </c>
      <c r="P159" s="118">
        <f t="shared" si="56"/>
        <v>59522.317023487558</v>
      </c>
      <c r="Q159" s="118">
        <f t="shared" si="56"/>
        <v>66253.581855343291</v>
      </c>
      <c r="R159" s="118">
        <f t="shared" si="56"/>
        <v>784060.14123201952</v>
      </c>
    </row>
    <row r="160" spans="2:20" ht="7.5" customHeight="1">
      <c r="C160" s="65"/>
      <c r="D160" s="65"/>
      <c r="E160" s="65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</row>
    <row r="161" spans="2:19">
      <c r="C161" s="65" t="s">
        <v>116</v>
      </c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  <c r="Q161" s="74"/>
      <c r="R161" s="74"/>
    </row>
    <row r="162" spans="2:19">
      <c r="D162" s="66" t="s">
        <v>118</v>
      </c>
      <c r="F162" s="74">
        <f t="shared" ref="F162:R162" si="57">F144</f>
        <v>9537.8929000000007</v>
      </c>
      <c r="G162" s="74">
        <f t="shared" si="57"/>
        <v>7768.990499999999</v>
      </c>
      <c r="H162" s="74">
        <f t="shared" si="57"/>
        <v>9611.1966000000011</v>
      </c>
      <c r="I162" s="74">
        <f t="shared" si="57"/>
        <v>10270.929899999999</v>
      </c>
      <c r="J162" s="74">
        <f t="shared" si="57"/>
        <v>10716.760600000001</v>
      </c>
      <c r="K162" s="74">
        <f t="shared" si="57"/>
        <v>10812.896600000002</v>
      </c>
      <c r="L162" s="74">
        <f t="shared" si="57"/>
        <v>7638.0052000000005</v>
      </c>
      <c r="M162" s="74">
        <f t="shared" si="57"/>
        <v>8027.3559999999998</v>
      </c>
      <c r="N162" s="74">
        <f t="shared" si="57"/>
        <v>8205.2076000000015</v>
      </c>
      <c r="O162" s="74">
        <f t="shared" si="57"/>
        <v>8723.1402999999991</v>
      </c>
      <c r="P162" s="74">
        <f t="shared" si="57"/>
        <v>7803.8397999999997</v>
      </c>
      <c r="Q162" s="74">
        <f t="shared" si="57"/>
        <v>8088.6427000000003</v>
      </c>
      <c r="R162" s="100">
        <f t="shared" si="57"/>
        <v>107204.8587</v>
      </c>
    </row>
    <row r="163" spans="2:19">
      <c r="C163" s="65" t="s">
        <v>128</v>
      </c>
      <c r="F163" s="76">
        <f t="shared" ref="F163:R163" si="58">SUM(F162)</f>
        <v>9537.8929000000007</v>
      </c>
      <c r="G163" s="76">
        <f t="shared" si="58"/>
        <v>7768.990499999999</v>
      </c>
      <c r="H163" s="76">
        <f t="shared" si="58"/>
        <v>9611.1966000000011</v>
      </c>
      <c r="I163" s="76">
        <f t="shared" si="58"/>
        <v>10270.929899999999</v>
      </c>
      <c r="J163" s="76">
        <f t="shared" si="58"/>
        <v>10716.760600000001</v>
      </c>
      <c r="K163" s="76">
        <f t="shared" si="58"/>
        <v>10812.896600000002</v>
      </c>
      <c r="L163" s="76">
        <f t="shared" si="58"/>
        <v>7638.0052000000005</v>
      </c>
      <c r="M163" s="76">
        <f t="shared" si="58"/>
        <v>8027.3559999999998</v>
      </c>
      <c r="N163" s="76">
        <f t="shared" si="58"/>
        <v>8205.2076000000015</v>
      </c>
      <c r="O163" s="76">
        <f t="shared" si="58"/>
        <v>8723.1402999999991</v>
      </c>
      <c r="P163" s="76">
        <f t="shared" si="58"/>
        <v>7803.8397999999997</v>
      </c>
      <c r="Q163" s="76">
        <f t="shared" si="58"/>
        <v>8088.6427000000003</v>
      </c>
      <c r="R163" s="76">
        <f t="shared" si="58"/>
        <v>107204.8587</v>
      </c>
    </row>
    <row r="164" spans="2:19" ht="7.5" customHeight="1">
      <c r="C164" s="65"/>
      <c r="D164" s="65"/>
      <c r="E164" s="65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</row>
    <row r="165" spans="2:19" s="65" customFormat="1">
      <c r="B165" s="65" t="s">
        <v>130</v>
      </c>
      <c r="F165" s="118">
        <f t="shared" ref="F165:R165" si="59">F153+F159+F163</f>
        <v>90027.478710043739</v>
      </c>
      <c r="G165" s="118">
        <f t="shared" si="59"/>
        <v>72689.511274821169</v>
      </c>
      <c r="H165" s="118">
        <f t="shared" si="59"/>
        <v>86189.042690849747</v>
      </c>
      <c r="I165" s="118">
        <f t="shared" si="59"/>
        <v>96260.466762258759</v>
      </c>
      <c r="J165" s="118">
        <f t="shared" si="59"/>
        <v>107241.56931288319</v>
      </c>
      <c r="K165" s="118">
        <f t="shared" si="59"/>
        <v>99237.168066751212</v>
      </c>
      <c r="L165" s="118">
        <f t="shared" si="59"/>
        <v>91107.653744039475</v>
      </c>
      <c r="M165" s="118">
        <f t="shared" si="59"/>
        <v>87457.371220880406</v>
      </c>
      <c r="N165" s="118">
        <f t="shared" si="59"/>
        <v>90569.603916670603</v>
      </c>
      <c r="O165" s="118">
        <f t="shared" si="59"/>
        <v>100752.09501642521</v>
      </c>
      <c r="P165" s="118">
        <f t="shared" si="59"/>
        <v>86624.542741770041</v>
      </c>
      <c r="Q165" s="118">
        <f t="shared" si="59"/>
        <v>93305.441857539903</v>
      </c>
      <c r="R165" s="118">
        <f t="shared" si="59"/>
        <v>1101461.9453149335</v>
      </c>
      <c r="S165" s="133">
        <f>R165*(1-S115)</f>
        <v>1101461.9453149335</v>
      </c>
    </row>
    <row r="166" spans="2:19">
      <c r="S166" s="138">
        <f>R165/R114*R115</f>
        <v>-232801.22548864901</v>
      </c>
    </row>
    <row r="167" spans="2:19">
      <c r="R167" s="85"/>
    </row>
  </sheetData>
  <mergeCells count="1">
    <mergeCell ref="A3:D3"/>
  </mergeCells>
  <phoneticPr fontId="7" type="noConversion"/>
  <pageMargins left="0.75" right="0.75" top="1" bottom="1" header="0.5" footer="0.5"/>
  <pageSetup scale="66" fitToHeight="3" orientation="landscape" r:id="rId1"/>
  <headerFooter alignWithMargins="0"/>
  <rowBreaks count="2" manualBreakCount="2">
    <brk id="54" max="18" man="1"/>
    <brk id="10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58"/>
    <pageSetUpPr fitToPage="1"/>
  </sheetPr>
  <dimension ref="A1:O29"/>
  <sheetViews>
    <sheetView workbookViewId="0">
      <selection activeCell="M33" sqref="M33"/>
    </sheetView>
  </sheetViews>
  <sheetFormatPr defaultColWidth="10.6640625" defaultRowHeight="12.75"/>
  <cols>
    <col min="1" max="1" width="15.83203125" style="66" customWidth="1"/>
    <col min="2" max="2" width="13.33203125" style="66" bestFit="1" customWidth="1"/>
    <col min="3" max="6" width="13.1640625" style="66" bestFit="1" customWidth="1"/>
    <col min="7" max="7" width="12.83203125" style="66" bestFit="1" customWidth="1"/>
    <col min="8" max="8" width="13.1640625" style="66" bestFit="1" customWidth="1"/>
    <col min="9" max="9" width="13.83203125" style="66" customWidth="1"/>
    <col min="10" max="13" width="13.1640625" style="66" bestFit="1" customWidth="1"/>
    <col min="14" max="14" width="10.6640625" style="66" customWidth="1"/>
    <col min="15" max="15" width="15" style="66" bestFit="1" customWidth="1"/>
    <col min="16" max="16384" width="10.6640625" style="66"/>
  </cols>
  <sheetData>
    <row r="1" spans="1:15">
      <c r="A1" s="86" t="s">
        <v>194</v>
      </c>
    </row>
    <row r="2" spans="1:15">
      <c r="A2" s="66" t="s">
        <v>51</v>
      </c>
    </row>
    <row r="3" spans="1:15">
      <c r="A3" s="66" t="s">
        <v>139</v>
      </c>
    </row>
    <row r="5" spans="1:15">
      <c r="B5" s="139">
        <f>Disposal!F7</f>
        <v>41640</v>
      </c>
      <c r="C5" s="139">
        <f>Disposal!G7</f>
        <v>41698</v>
      </c>
      <c r="D5" s="139">
        <f>Disposal!H7</f>
        <v>41729</v>
      </c>
      <c r="E5" s="139">
        <f>Disposal!I7</f>
        <v>41759</v>
      </c>
      <c r="F5" s="139">
        <f>Disposal!J7</f>
        <v>41790</v>
      </c>
      <c r="G5" s="139">
        <f>Disposal!K7</f>
        <v>41820</v>
      </c>
      <c r="H5" s="139">
        <f>Disposal!L7</f>
        <v>41851</v>
      </c>
      <c r="I5" s="139">
        <f>Disposal!M7</f>
        <v>41882</v>
      </c>
      <c r="J5" s="139">
        <f>Disposal!N7</f>
        <v>41912</v>
      </c>
      <c r="K5" s="139">
        <f>Disposal!O7</f>
        <v>41943</v>
      </c>
      <c r="L5" s="139">
        <f>Disposal!P7</f>
        <v>41973</v>
      </c>
      <c r="M5" s="139">
        <f>Disposal!Q7</f>
        <v>42004</v>
      </c>
      <c r="O5" s="140" t="s">
        <v>18</v>
      </c>
    </row>
    <row r="6" spans="1:15">
      <c r="A6" s="66" t="s">
        <v>140</v>
      </c>
    </row>
    <row r="7" spans="1:15">
      <c r="A7" s="66" t="s">
        <v>30</v>
      </c>
      <c r="B7" s="141">
        <f>B22-B12</f>
        <v>189.29357009639955</v>
      </c>
      <c r="C7" s="141">
        <f t="shared" ref="C7:M7" si="0">C22-C12</f>
        <v>94.546500688838705</v>
      </c>
      <c r="D7" s="141">
        <f t="shared" si="0"/>
        <v>310.1858516397358</v>
      </c>
      <c r="E7" s="141">
        <f t="shared" si="0"/>
        <v>519.75909353810289</v>
      </c>
      <c r="F7" s="141">
        <f t="shared" si="0"/>
        <v>687.37782555507192</v>
      </c>
      <c r="G7" s="141">
        <f t="shared" si="0"/>
        <v>448.51890757131861</v>
      </c>
      <c r="H7" s="141">
        <f t="shared" si="0"/>
        <v>339.4990234794422</v>
      </c>
      <c r="I7" s="141">
        <f t="shared" si="0"/>
        <v>264.83046847436572</v>
      </c>
      <c r="J7" s="141">
        <f t="shared" si="0"/>
        <v>325.75957779925932</v>
      </c>
      <c r="K7" s="141">
        <f t="shared" si="0"/>
        <v>313.22616436046741</v>
      </c>
      <c r="L7" s="141">
        <f t="shared" si="0"/>
        <v>308.20205845916121</v>
      </c>
      <c r="M7" s="141">
        <f t="shared" si="0"/>
        <v>159.61808736659597</v>
      </c>
      <c r="N7" s="142"/>
      <c r="O7" s="142">
        <f>SUM(B7:N7)</f>
        <v>3960.8171290287596</v>
      </c>
    </row>
    <row r="8" spans="1:15">
      <c r="A8" s="66" t="s">
        <v>141</v>
      </c>
      <c r="B8" s="142">
        <v>39.54</v>
      </c>
      <c r="C8" s="142">
        <v>39.54</v>
      </c>
      <c r="D8" s="142">
        <v>39.54</v>
      </c>
      <c r="E8" s="142">
        <v>39.54</v>
      </c>
      <c r="F8" s="142">
        <v>39.54</v>
      </c>
      <c r="G8" s="142">
        <v>39.54</v>
      </c>
      <c r="H8" s="142">
        <v>39.54</v>
      </c>
      <c r="I8" s="142">
        <v>39.54</v>
      </c>
      <c r="J8" s="142">
        <v>39.54</v>
      </c>
      <c r="K8" s="142">
        <v>39.54</v>
      </c>
      <c r="L8" s="142">
        <v>39.54</v>
      </c>
      <c r="M8" s="142">
        <v>39.54</v>
      </c>
      <c r="N8" s="142"/>
      <c r="O8" s="142">
        <f>+O9/O7</f>
        <v>39.539999999999992</v>
      </c>
    </row>
    <row r="9" spans="1:15">
      <c r="A9" s="66" t="s">
        <v>142</v>
      </c>
      <c r="B9" s="142">
        <f t="shared" ref="B9:M9" si="1">+B7*B8</f>
        <v>7484.6677616116376</v>
      </c>
      <c r="C9" s="142">
        <f t="shared" si="1"/>
        <v>3738.3686372366824</v>
      </c>
      <c r="D9" s="142">
        <f t="shared" si="1"/>
        <v>12264.748573835153</v>
      </c>
      <c r="E9" s="142">
        <f t="shared" si="1"/>
        <v>20551.274558496589</v>
      </c>
      <c r="F9" s="142">
        <f t="shared" si="1"/>
        <v>27178.919222447545</v>
      </c>
      <c r="G9" s="142">
        <f t="shared" si="1"/>
        <v>17734.437605369938</v>
      </c>
      <c r="H9" s="142">
        <f t="shared" si="1"/>
        <v>13423.791388377143</v>
      </c>
      <c r="I9" s="142">
        <f t="shared" si="1"/>
        <v>10471.39672347642</v>
      </c>
      <c r="J9" s="142">
        <f t="shared" si="1"/>
        <v>12880.533706182714</v>
      </c>
      <c r="K9" s="142">
        <f t="shared" si="1"/>
        <v>12384.962538812881</v>
      </c>
      <c r="L9" s="142">
        <f t="shared" si="1"/>
        <v>12186.309391475233</v>
      </c>
      <c r="M9" s="142">
        <f t="shared" si="1"/>
        <v>6311.2991744752044</v>
      </c>
      <c r="N9" s="142"/>
      <c r="O9" s="142">
        <f>SUM(B9:N9)</f>
        <v>156610.70928179711</v>
      </c>
    </row>
    <row r="11" spans="1:15">
      <c r="A11" s="66" t="s">
        <v>143</v>
      </c>
    </row>
    <row r="12" spans="1:15">
      <c r="A12" s="66" t="s">
        <v>30</v>
      </c>
      <c r="B12" s="142">
        <v>31.67</v>
      </c>
      <c r="C12" s="142">
        <v>29.599999999999998</v>
      </c>
      <c r="D12" s="142">
        <v>14.190000000000001</v>
      </c>
      <c r="E12" s="120">
        <v>41.739999999999995</v>
      </c>
      <c r="F12" s="142">
        <v>52</v>
      </c>
      <c r="G12" s="120">
        <v>1.41</v>
      </c>
      <c r="H12" s="142">
        <v>3.9800000000000004</v>
      </c>
      <c r="I12" s="142">
        <v>15.9</v>
      </c>
      <c r="J12" s="142">
        <v>18.62</v>
      </c>
      <c r="K12" s="142">
        <v>62.060000000000009</v>
      </c>
      <c r="L12" s="142">
        <v>49.98</v>
      </c>
      <c r="M12" s="142">
        <v>38.849999999999994</v>
      </c>
      <c r="N12" s="142"/>
      <c r="O12" s="142">
        <f>SUM(B12:M12)</f>
        <v>360</v>
      </c>
    </row>
    <row r="13" spans="1:15">
      <c r="A13" s="66" t="s">
        <v>141</v>
      </c>
      <c r="B13" s="142">
        <v>58</v>
      </c>
      <c r="C13" s="142">
        <v>58</v>
      </c>
      <c r="D13" s="142">
        <v>58</v>
      </c>
      <c r="E13" s="142">
        <v>58</v>
      </c>
      <c r="F13" s="142">
        <v>58</v>
      </c>
      <c r="G13" s="142">
        <v>58</v>
      </c>
      <c r="H13" s="142">
        <v>58</v>
      </c>
      <c r="I13" s="142">
        <v>58</v>
      </c>
      <c r="J13" s="142">
        <v>58</v>
      </c>
      <c r="K13" s="142">
        <v>58</v>
      </c>
      <c r="L13" s="142">
        <v>58</v>
      </c>
      <c r="M13" s="142">
        <v>58</v>
      </c>
      <c r="N13" s="142"/>
      <c r="O13" s="142">
        <f>+O14/O12</f>
        <v>58</v>
      </c>
    </row>
    <row r="14" spans="1:15">
      <c r="A14" s="66" t="s">
        <v>142</v>
      </c>
      <c r="B14" s="142">
        <f t="shared" ref="B14:M14" si="2">+B12*B13</f>
        <v>1836.8600000000001</v>
      </c>
      <c r="C14" s="142">
        <f t="shared" si="2"/>
        <v>1716.8</v>
      </c>
      <c r="D14" s="142">
        <f t="shared" si="2"/>
        <v>823.0200000000001</v>
      </c>
      <c r="E14" s="142">
        <f t="shared" si="2"/>
        <v>2420.9199999999996</v>
      </c>
      <c r="F14" s="142">
        <f t="shared" si="2"/>
        <v>3016</v>
      </c>
      <c r="G14" s="142">
        <f t="shared" si="2"/>
        <v>81.78</v>
      </c>
      <c r="H14" s="142">
        <f t="shared" si="2"/>
        <v>230.84000000000003</v>
      </c>
      <c r="I14" s="142">
        <f t="shared" si="2"/>
        <v>922.2</v>
      </c>
      <c r="J14" s="142">
        <f t="shared" si="2"/>
        <v>1079.96</v>
      </c>
      <c r="K14" s="142">
        <f t="shared" si="2"/>
        <v>3599.4800000000005</v>
      </c>
      <c r="L14" s="142">
        <f t="shared" si="2"/>
        <v>2898.8399999999997</v>
      </c>
      <c r="M14" s="142">
        <f t="shared" si="2"/>
        <v>2253.2999999999997</v>
      </c>
      <c r="N14" s="142"/>
      <c r="O14" s="142">
        <f>SUM(B14:M14)</f>
        <v>20880</v>
      </c>
    </row>
    <row r="15" spans="1:15"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</row>
    <row r="16" spans="1:15">
      <c r="A16" s="86" t="s">
        <v>153</v>
      </c>
    </row>
    <row r="17" spans="1:15">
      <c r="A17" s="66" t="s">
        <v>30</v>
      </c>
      <c r="B17" s="142"/>
      <c r="C17" s="142"/>
      <c r="D17" s="142"/>
      <c r="E17" s="120"/>
      <c r="F17" s="142"/>
      <c r="G17" s="120"/>
      <c r="H17" s="142"/>
      <c r="I17" s="142"/>
      <c r="J17" s="142"/>
      <c r="K17" s="142"/>
      <c r="L17" s="142"/>
      <c r="M17" s="142"/>
      <c r="N17" s="142"/>
      <c r="O17" s="142">
        <f>SUM(B17:M17)</f>
        <v>0</v>
      </c>
    </row>
    <row r="18" spans="1:15">
      <c r="A18" s="66" t="s">
        <v>141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/>
      <c r="O18" s="142">
        <f>SUM(B18:M18)</f>
        <v>0</v>
      </c>
    </row>
    <row r="19" spans="1:15">
      <c r="A19" s="66" t="s">
        <v>142</v>
      </c>
      <c r="B19" s="142">
        <f t="shared" ref="B19:M19" si="3">+B17*B18</f>
        <v>0</v>
      </c>
      <c r="C19" s="142">
        <f t="shared" si="3"/>
        <v>0</v>
      </c>
      <c r="D19" s="142">
        <f t="shared" si="3"/>
        <v>0</v>
      </c>
      <c r="E19" s="142">
        <f t="shared" si="3"/>
        <v>0</v>
      </c>
      <c r="F19" s="142">
        <f t="shared" si="3"/>
        <v>0</v>
      </c>
      <c r="G19" s="142">
        <f t="shared" si="3"/>
        <v>0</v>
      </c>
      <c r="H19" s="142">
        <f t="shared" si="3"/>
        <v>0</v>
      </c>
      <c r="I19" s="142">
        <f t="shared" si="3"/>
        <v>0</v>
      </c>
      <c r="J19" s="142">
        <f t="shared" si="3"/>
        <v>0</v>
      </c>
      <c r="K19" s="142">
        <f t="shared" si="3"/>
        <v>0</v>
      </c>
      <c r="L19" s="142">
        <f t="shared" si="3"/>
        <v>0</v>
      </c>
      <c r="M19" s="142">
        <f t="shared" si="3"/>
        <v>0</v>
      </c>
      <c r="N19" s="142"/>
      <c r="O19" s="142">
        <f>SUM(B19:M19)</f>
        <v>0</v>
      </c>
    </row>
    <row r="20" spans="1:15"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</row>
    <row r="21" spans="1:15">
      <c r="A21" s="66" t="s">
        <v>18</v>
      </c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</row>
    <row r="22" spans="1:15">
      <c r="A22" s="66" t="s">
        <v>30</v>
      </c>
      <c r="B22" s="142">
        <v>220.96357009639954</v>
      </c>
      <c r="C22" s="142">
        <v>124.1465006888387</v>
      </c>
      <c r="D22" s="142">
        <v>324.3758516397358</v>
      </c>
      <c r="E22" s="142">
        <v>561.4990935381029</v>
      </c>
      <c r="F22" s="142">
        <v>739.37782555507192</v>
      </c>
      <c r="G22" s="142">
        <v>449.92890757131863</v>
      </c>
      <c r="H22" s="142">
        <v>343.47902347944222</v>
      </c>
      <c r="I22" s="142">
        <v>280.73046847436569</v>
      </c>
      <c r="J22" s="142">
        <v>344.37957779925932</v>
      </c>
      <c r="K22" s="142">
        <v>375.28616436046741</v>
      </c>
      <c r="L22" s="142">
        <v>358.18205845916123</v>
      </c>
      <c r="M22" s="142">
        <v>198.46808736659597</v>
      </c>
      <c r="N22" s="142"/>
      <c r="O22" s="142">
        <f>SUM(B22:M22)</f>
        <v>4320.8171290287592</v>
      </c>
    </row>
    <row r="23" spans="1:15">
      <c r="A23" s="66" t="s">
        <v>141</v>
      </c>
      <c r="B23" s="142">
        <f t="shared" ref="B23:M23" si="4">+B24/B22</f>
        <v>42.185812609494612</v>
      </c>
      <c r="C23" s="142">
        <f t="shared" si="4"/>
        <v>43.94138060249913</v>
      </c>
      <c r="D23" s="142">
        <f t="shared" si="4"/>
        <v>40.347542850911509</v>
      </c>
      <c r="E23" s="142">
        <f t="shared" si="4"/>
        <v>40.912255821723264</v>
      </c>
      <c r="F23" s="142">
        <f t="shared" si="4"/>
        <v>40.838280752846977</v>
      </c>
      <c r="G23" s="142">
        <f t="shared" si="4"/>
        <v>39.597850472734677</v>
      </c>
      <c r="H23" s="142">
        <f t="shared" si="4"/>
        <v>39.753901854196911</v>
      </c>
      <c r="I23" s="142">
        <f t="shared" si="4"/>
        <v>40.585536672934396</v>
      </c>
      <c r="J23" s="142">
        <f t="shared" si="4"/>
        <v>40.538099835642285</v>
      </c>
      <c r="K23" s="142">
        <f t="shared" si="4"/>
        <v>42.592677420049007</v>
      </c>
      <c r="L23" s="142">
        <f t="shared" si="4"/>
        <v>42.115871063919286</v>
      </c>
      <c r="M23" s="142">
        <f t="shared" si="4"/>
        <v>43.153533084920063</v>
      </c>
      <c r="N23" s="142"/>
      <c r="O23" s="142">
        <f>+O24/O22</f>
        <v>41.078042412244791</v>
      </c>
    </row>
    <row r="24" spans="1:15">
      <c r="A24" s="66" t="s">
        <v>142</v>
      </c>
      <c r="B24" s="142">
        <f>B14+B9+B19</f>
        <v>9321.5277616116382</v>
      </c>
      <c r="C24" s="142">
        <f t="shared" ref="C24:M24" si="5">C14+C9+C19</f>
        <v>5455.1686372366821</v>
      </c>
      <c r="D24" s="142">
        <f t="shared" si="5"/>
        <v>13087.768573835154</v>
      </c>
      <c r="E24" s="142">
        <f t="shared" si="5"/>
        <v>22972.194558496587</v>
      </c>
      <c r="F24" s="142">
        <f t="shared" si="5"/>
        <v>30194.919222447545</v>
      </c>
      <c r="G24" s="142">
        <f t="shared" si="5"/>
        <v>17816.217605369937</v>
      </c>
      <c r="H24" s="142">
        <f t="shared" si="5"/>
        <v>13654.631388377144</v>
      </c>
      <c r="I24" s="142">
        <f t="shared" si="5"/>
        <v>11393.596723476421</v>
      </c>
      <c r="J24" s="142">
        <f t="shared" si="5"/>
        <v>13960.493706182715</v>
      </c>
      <c r="K24" s="142">
        <f t="shared" si="5"/>
        <v>15984.44253881288</v>
      </c>
      <c r="L24" s="142">
        <f t="shared" si="5"/>
        <v>15085.149391475234</v>
      </c>
      <c r="M24" s="142">
        <f t="shared" si="5"/>
        <v>8564.5991744752046</v>
      </c>
      <c r="N24" s="142"/>
      <c r="O24" s="142">
        <f>SUM(B24:M24)</f>
        <v>177490.70928179714</v>
      </c>
    </row>
    <row r="25" spans="1:15"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</row>
    <row r="26" spans="1:15">
      <c r="B26" s="143">
        <f>Disposal!F42</f>
        <v>220.96357009639954</v>
      </c>
      <c r="C26" s="143">
        <f>+Disposal!G42</f>
        <v>124.1465006888387</v>
      </c>
      <c r="D26" s="143">
        <f>+Disposal!H42</f>
        <v>324.3758516397358</v>
      </c>
      <c r="E26" s="143">
        <f>+Disposal!I42</f>
        <v>561.4990935381029</v>
      </c>
      <c r="F26" s="143">
        <f>+Disposal!J42</f>
        <v>739.37782555507192</v>
      </c>
      <c r="G26" s="143">
        <f>+Disposal!K42</f>
        <v>449.92890757131863</v>
      </c>
      <c r="H26" s="143">
        <f>+Disposal!L42</f>
        <v>343.47902347944222</v>
      </c>
      <c r="I26" s="143">
        <f>+Disposal!M42</f>
        <v>280.73046847436569</v>
      </c>
      <c r="J26" s="143">
        <f>+Disposal!N42</f>
        <v>344.37957779925932</v>
      </c>
      <c r="K26" s="143">
        <f>+Disposal!O42</f>
        <v>375.28616436046741</v>
      </c>
      <c r="L26" s="143">
        <f>+Disposal!P42</f>
        <v>358.18205845916123</v>
      </c>
      <c r="M26" s="143">
        <f>+Disposal!Q42</f>
        <v>198.46808736659597</v>
      </c>
      <c r="N26" s="142"/>
      <c r="O26" s="142"/>
    </row>
    <row r="27" spans="1:15">
      <c r="B27" s="144">
        <f>+B22-B26</f>
        <v>0</v>
      </c>
      <c r="C27" s="144">
        <f t="shared" ref="C27:M27" si="6">+C22-C26</f>
        <v>0</v>
      </c>
      <c r="D27" s="144">
        <f t="shared" si="6"/>
        <v>0</v>
      </c>
      <c r="E27" s="144">
        <f t="shared" si="6"/>
        <v>0</v>
      </c>
      <c r="F27" s="144">
        <f t="shared" si="6"/>
        <v>0</v>
      </c>
      <c r="G27" s="144">
        <f t="shared" si="6"/>
        <v>0</v>
      </c>
      <c r="H27" s="144">
        <f t="shared" si="6"/>
        <v>0</v>
      </c>
      <c r="I27" s="144">
        <f t="shared" si="6"/>
        <v>0</v>
      </c>
      <c r="J27" s="144">
        <f t="shared" si="6"/>
        <v>0</v>
      </c>
      <c r="K27" s="144">
        <f t="shared" si="6"/>
        <v>0</v>
      </c>
      <c r="L27" s="144">
        <f t="shared" si="6"/>
        <v>0</v>
      </c>
      <c r="M27" s="144">
        <f t="shared" si="6"/>
        <v>0</v>
      </c>
      <c r="N27" s="142"/>
      <c r="O27" s="142"/>
    </row>
    <row r="28" spans="1:15">
      <c r="B28" s="145">
        <f t="shared" ref="B28:M28" si="7">+B27/B22</f>
        <v>0</v>
      </c>
      <c r="C28" s="145">
        <f t="shared" si="7"/>
        <v>0</v>
      </c>
      <c r="D28" s="145">
        <f t="shared" si="7"/>
        <v>0</v>
      </c>
      <c r="E28" s="145">
        <f t="shared" si="7"/>
        <v>0</v>
      </c>
      <c r="F28" s="145">
        <f t="shared" si="7"/>
        <v>0</v>
      </c>
      <c r="G28" s="145">
        <f t="shared" si="7"/>
        <v>0</v>
      </c>
      <c r="H28" s="145">
        <f t="shared" si="7"/>
        <v>0</v>
      </c>
      <c r="I28" s="145">
        <f t="shared" si="7"/>
        <v>0</v>
      </c>
      <c r="J28" s="145">
        <f t="shared" si="7"/>
        <v>0</v>
      </c>
      <c r="K28" s="145">
        <f t="shared" si="7"/>
        <v>0</v>
      </c>
      <c r="L28" s="145">
        <f t="shared" si="7"/>
        <v>0</v>
      </c>
      <c r="M28" s="145">
        <f t="shared" si="7"/>
        <v>0</v>
      </c>
      <c r="N28" s="142"/>
      <c r="O28" s="142"/>
    </row>
    <row r="29" spans="1:15"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</row>
  </sheetData>
  <phoneticPr fontId="7" type="noConversion"/>
  <pageMargins left="0.75" right="0.75" top="1" bottom="1" header="0.5" footer="0.5"/>
  <pageSetup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indexed="58"/>
    <pageSetUpPr fitToPage="1"/>
  </sheetPr>
  <dimension ref="A1:M17"/>
  <sheetViews>
    <sheetView showGridLines="0" workbookViewId="0">
      <selection activeCell="L37" sqref="L37"/>
    </sheetView>
  </sheetViews>
  <sheetFormatPr defaultColWidth="10.6640625" defaultRowHeight="12.75"/>
  <cols>
    <col min="1" max="1" width="31.6640625" style="66" bestFit="1" customWidth="1"/>
    <col min="2" max="13" width="12.5" style="66" customWidth="1"/>
    <col min="14" max="16384" width="10.6640625" style="66"/>
  </cols>
  <sheetData>
    <row r="1" spans="1:13">
      <c r="A1" s="66" t="s">
        <v>144</v>
      </c>
    </row>
    <row r="4" spans="1:13">
      <c r="B4" s="146">
        <f>Disposal!F7</f>
        <v>41640</v>
      </c>
      <c r="C4" s="146">
        <f>Disposal!G7</f>
        <v>41698</v>
      </c>
      <c r="D4" s="146">
        <f>Disposal!H7</f>
        <v>41729</v>
      </c>
      <c r="E4" s="146">
        <f>Disposal!I7</f>
        <v>41759</v>
      </c>
      <c r="F4" s="146">
        <f>Disposal!J7</f>
        <v>41790</v>
      </c>
      <c r="G4" s="146">
        <f>Disposal!K7</f>
        <v>41820</v>
      </c>
      <c r="H4" s="146">
        <f>Disposal!L7</f>
        <v>41851</v>
      </c>
      <c r="I4" s="146">
        <f>Disposal!M7</f>
        <v>41882</v>
      </c>
      <c r="J4" s="146">
        <f>Disposal!N7</f>
        <v>41912</v>
      </c>
      <c r="K4" s="146">
        <f>Disposal!O7</f>
        <v>41943</v>
      </c>
      <c r="L4" s="146">
        <f>Disposal!P7</f>
        <v>41973</v>
      </c>
      <c r="M4" s="146">
        <f>Disposal!Q7</f>
        <v>42004</v>
      </c>
    </row>
    <row r="6" spans="1:13">
      <c r="A6" s="67" t="s">
        <v>145</v>
      </c>
      <c r="B6" s="147">
        <v>1836.5948424999997</v>
      </c>
      <c r="C6" s="147">
        <v>1604.5248424999995</v>
      </c>
      <c r="D6" s="147">
        <v>1925.2648424999998</v>
      </c>
      <c r="E6" s="147">
        <v>1992.1148425000006</v>
      </c>
      <c r="F6" s="147">
        <v>2168.4548424999994</v>
      </c>
      <c r="G6" s="147">
        <v>723.56484250000005</v>
      </c>
      <c r="H6" s="147">
        <v>744.6348425000001</v>
      </c>
      <c r="I6" s="147">
        <v>767.48484249999979</v>
      </c>
      <c r="J6" s="147">
        <v>685.66484250000008</v>
      </c>
      <c r="K6" s="147">
        <v>778.6148424999999</v>
      </c>
      <c r="L6" s="147">
        <v>646.42484250000007</v>
      </c>
      <c r="M6" s="147">
        <v>655.75484249999988</v>
      </c>
    </row>
    <row r="7" spans="1:13">
      <c r="A7" s="67" t="s">
        <v>146</v>
      </c>
      <c r="B7" s="147">
        <f>Disposal!F46</f>
        <v>79.37</v>
      </c>
      <c r="C7" s="147">
        <f>Disposal!G46</f>
        <v>64.649999999999991</v>
      </c>
      <c r="D7" s="147">
        <f>Disposal!H46</f>
        <v>79.98</v>
      </c>
      <c r="E7" s="147">
        <f>Disposal!I46</f>
        <v>85.47</v>
      </c>
      <c r="F7" s="147">
        <f>Disposal!J46</f>
        <v>89.18</v>
      </c>
      <c r="G7" s="147">
        <f>Disposal!K46</f>
        <v>89.980000000000018</v>
      </c>
      <c r="H7" s="147">
        <f>Disposal!L46</f>
        <v>63.56</v>
      </c>
      <c r="I7" s="147">
        <f>Disposal!M46</f>
        <v>66.8</v>
      </c>
      <c r="J7" s="147">
        <f>Disposal!N46</f>
        <v>68.280000000000015</v>
      </c>
      <c r="K7" s="147">
        <f>Disposal!O46</f>
        <v>72.589999999999989</v>
      </c>
      <c r="L7" s="147">
        <f>Disposal!P46</f>
        <v>64.94</v>
      </c>
      <c r="M7" s="147">
        <f>Disposal!Q46</f>
        <v>67.31</v>
      </c>
    </row>
    <row r="8" spans="1:13">
      <c r="A8" s="67" t="s">
        <v>147</v>
      </c>
      <c r="B8" s="147">
        <f>Disposal!F47</f>
        <v>1170.3899999999999</v>
      </c>
      <c r="C8" s="147">
        <f>Disposal!G47</f>
        <v>1059.6699999999998</v>
      </c>
      <c r="D8" s="147">
        <f>Disposal!H47</f>
        <v>1188.9300000000003</v>
      </c>
      <c r="E8" s="147">
        <f>Disposal!I47</f>
        <v>1219.7399999999996</v>
      </c>
      <c r="F8" s="147">
        <f>Disposal!J47</f>
        <v>1298.22</v>
      </c>
      <c r="G8" s="147">
        <f>Disposal!K47</f>
        <v>23.340000000000003</v>
      </c>
      <c r="H8" s="147">
        <f>Disposal!L47</f>
        <v>33.699999999999989</v>
      </c>
      <c r="I8" s="147">
        <f>Disposal!M47</f>
        <v>30.940000000000012</v>
      </c>
      <c r="J8" s="147">
        <f>Disposal!N47</f>
        <v>45.319999999999979</v>
      </c>
      <c r="K8" s="147">
        <f>Disposal!O47</f>
        <v>45.78000000000003</v>
      </c>
      <c r="L8" s="147">
        <f>Disposal!P47</f>
        <v>43.629999999999995</v>
      </c>
      <c r="M8" s="147">
        <f>Disposal!Q47</f>
        <v>42.22999999999999</v>
      </c>
    </row>
    <row r="9" spans="1:13">
      <c r="A9" s="67"/>
    </row>
    <row r="10" spans="1:13">
      <c r="A10" s="67" t="s">
        <v>129</v>
      </c>
      <c r="B10" s="138">
        <v>353745.38</v>
      </c>
      <c r="C10" s="138">
        <v>301900.37</v>
      </c>
      <c r="D10" s="138">
        <v>349773.4</v>
      </c>
      <c r="E10" s="138">
        <v>377644.19</v>
      </c>
      <c r="F10" s="138">
        <v>411437.37</v>
      </c>
      <c r="G10" s="138">
        <v>131248.94</v>
      </c>
      <c r="H10" s="138">
        <v>124527.85</v>
      </c>
      <c r="I10" s="138">
        <v>115993.48</v>
      </c>
      <c r="J10" s="138">
        <v>128157.43</v>
      </c>
      <c r="K10" s="138">
        <v>137859.56</v>
      </c>
      <c r="L10" s="138">
        <v>119325.59</v>
      </c>
      <c r="M10" s="138">
        <v>122505.99</v>
      </c>
    </row>
    <row r="11" spans="1:13">
      <c r="A11" s="148" t="s">
        <v>148</v>
      </c>
      <c r="B11" s="149">
        <v>72042.929999999993</v>
      </c>
      <c r="C11" s="149">
        <v>59075.71</v>
      </c>
      <c r="D11" s="149">
        <v>75611.350000000006</v>
      </c>
      <c r="E11" s="149">
        <v>77004.09</v>
      </c>
      <c r="F11" s="149">
        <v>76402.720000000001</v>
      </c>
      <c r="G11" s="149">
        <v>61343.64</v>
      </c>
      <c r="H11" s="149">
        <v>62925.75</v>
      </c>
      <c r="I11" s="149">
        <v>67252.83</v>
      </c>
      <c r="J11" s="149">
        <v>64236.31</v>
      </c>
      <c r="K11" s="149">
        <v>66268.47</v>
      </c>
      <c r="L11" s="149">
        <v>58685.46</v>
      </c>
      <c r="M11" s="149">
        <v>68956.19</v>
      </c>
    </row>
    <row r="12" spans="1:13">
      <c r="A12" s="150" t="s">
        <v>148</v>
      </c>
      <c r="B12" s="151">
        <v>0</v>
      </c>
      <c r="C12" s="151">
        <v>0</v>
      </c>
      <c r="D12" s="151">
        <v>0</v>
      </c>
      <c r="E12" s="151">
        <v>0</v>
      </c>
      <c r="F12" s="151">
        <v>0</v>
      </c>
      <c r="G12" s="151">
        <v>0</v>
      </c>
      <c r="H12" s="151">
        <v>0</v>
      </c>
      <c r="I12" s="151">
        <v>0</v>
      </c>
      <c r="J12" s="151">
        <v>0</v>
      </c>
      <c r="K12" s="151">
        <v>0</v>
      </c>
      <c r="L12" s="151">
        <v>0</v>
      </c>
      <c r="M12" s="151">
        <v>0</v>
      </c>
    </row>
    <row r="13" spans="1:13">
      <c r="A13" s="67" t="s">
        <v>149</v>
      </c>
      <c r="B13" s="138">
        <v>90027.478710043739</v>
      </c>
      <c r="C13" s="138">
        <v>72689.511274821154</v>
      </c>
      <c r="D13" s="138">
        <v>86189.042690849747</v>
      </c>
      <c r="E13" s="138">
        <v>96260.466762258773</v>
      </c>
      <c r="F13" s="138">
        <v>107241.56931288319</v>
      </c>
      <c r="G13" s="138">
        <v>99237.168066751212</v>
      </c>
      <c r="H13" s="138">
        <v>91107.653744039475</v>
      </c>
      <c r="I13" s="138">
        <v>87457.371220880392</v>
      </c>
      <c r="J13" s="138">
        <v>90569.603916670603</v>
      </c>
      <c r="K13" s="138">
        <v>100752.0950164252</v>
      </c>
      <c r="L13" s="138">
        <v>86624.542741770056</v>
      </c>
      <c r="M13" s="138">
        <v>93305.441857539889</v>
      </c>
    </row>
    <row r="14" spans="1:13">
      <c r="A14" s="67" t="s">
        <v>150</v>
      </c>
      <c r="B14" s="138">
        <f t="shared" ref="B14:M14" si="0">B10+B11+B12-B13</f>
        <v>335760.83128995623</v>
      </c>
      <c r="C14" s="138">
        <f t="shared" si="0"/>
        <v>288286.56872517883</v>
      </c>
      <c r="D14" s="138">
        <f t="shared" si="0"/>
        <v>339195.70730915025</v>
      </c>
      <c r="E14" s="138">
        <f t="shared" si="0"/>
        <v>358387.81323774124</v>
      </c>
      <c r="F14" s="138">
        <f t="shared" si="0"/>
        <v>380598.52068711678</v>
      </c>
      <c r="G14" s="138">
        <f t="shared" si="0"/>
        <v>93355.411933248804</v>
      </c>
      <c r="H14" s="138">
        <f t="shared" si="0"/>
        <v>96345.946255960531</v>
      </c>
      <c r="I14" s="138">
        <f t="shared" si="0"/>
        <v>95788.938779119606</v>
      </c>
      <c r="J14" s="138">
        <f t="shared" si="0"/>
        <v>101824.13608332939</v>
      </c>
      <c r="K14" s="138">
        <f t="shared" si="0"/>
        <v>103375.9349835748</v>
      </c>
      <c r="L14" s="138">
        <f t="shared" si="0"/>
        <v>91386.507258229933</v>
      </c>
      <c r="M14" s="138">
        <f t="shared" si="0"/>
        <v>98156.738142460104</v>
      </c>
    </row>
    <row r="15" spans="1:13">
      <c r="A15" s="67"/>
    </row>
    <row r="16" spans="1:13">
      <c r="A16" s="67" t="s">
        <v>151</v>
      </c>
      <c r="B16" s="152">
        <v>710.18344462643302</v>
      </c>
      <c r="C16" s="152">
        <v>925.57880897138443</v>
      </c>
      <c r="D16" s="152">
        <v>384.76031507876974</v>
      </c>
      <c r="E16" s="152">
        <v>224.82169182169181</v>
      </c>
      <c r="F16" s="152">
        <v>254.30982283023096</v>
      </c>
      <c r="G16" s="152">
        <v>18.039230940208931</v>
      </c>
      <c r="H16" s="152">
        <v>121.91456891126492</v>
      </c>
      <c r="I16" s="152">
        <v>78.236377245508976</v>
      </c>
      <c r="J16" s="152">
        <v>96.37756297598122</v>
      </c>
      <c r="K16" s="152">
        <v>84.017495522799294</v>
      </c>
      <c r="L16" s="152">
        <v>99.730982445334149</v>
      </c>
      <c r="M16" s="152">
        <v>81.89407220323875</v>
      </c>
    </row>
    <row r="17" spans="1:13">
      <c r="A17" s="67" t="s">
        <v>152</v>
      </c>
      <c r="B17" s="126">
        <v>78.40566802136037</v>
      </c>
      <c r="C17" s="126">
        <v>71.799653752440165</v>
      </c>
      <c r="D17" s="126">
        <v>94.273821308874929</v>
      </c>
      <c r="E17" s="126">
        <v>102.00589536172886</v>
      </c>
      <c r="F17" s="126">
        <v>101.1079771595962</v>
      </c>
      <c r="G17" s="126">
        <v>109.15741444866921</v>
      </c>
      <c r="H17" s="126">
        <v>84.595571805809442</v>
      </c>
      <c r="I17" s="126">
        <v>91.501152659592492</v>
      </c>
      <c r="J17" s="126">
        <v>90.866116751269033</v>
      </c>
      <c r="K17" s="126">
        <v>82.153421810041593</v>
      </c>
      <c r="L17" s="126">
        <v>82.450718323127646</v>
      </c>
      <c r="M17" s="126">
        <v>93.15182692503204</v>
      </c>
    </row>
  </sheetData>
  <phoneticPr fontId="7" type="noConversion"/>
  <pageMargins left="0.75" right="0.75" top="1" bottom="1" header="0.5" footer="0.5"/>
  <pageSetup scale="84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8E56945F0532C4FA40BE936413FFE79" ma:contentTypeVersion="104" ma:contentTypeDescription="" ma:contentTypeScope="" ma:versionID="1b23e019c675c5fdbbe30ace040819c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RABANCO LTD</CaseCompanyNames>
    <DocketNumber xmlns="dc463f71-b30c-4ab2-9473-d307f9d35888">161216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96541E86-9D9D-4457-8689-BFA7142C8806}"/>
</file>

<file path=customXml/itemProps2.xml><?xml version="1.0" encoding="utf-8"?>
<ds:datastoreItem xmlns:ds="http://schemas.openxmlformats.org/officeDocument/2006/customXml" ds:itemID="{B4D2F886-DE85-4388-B09E-90CD1AAE03F5}"/>
</file>

<file path=customXml/itemProps3.xml><?xml version="1.0" encoding="utf-8"?>
<ds:datastoreItem xmlns:ds="http://schemas.openxmlformats.org/officeDocument/2006/customXml" ds:itemID="{3382C87E-99BB-445B-BBF2-087AD071D279}"/>
</file>

<file path=customXml/itemProps4.xml><?xml version="1.0" encoding="utf-8"?>
<ds:datastoreItem xmlns:ds="http://schemas.openxmlformats.org/officeDocument/2006/customXml" ds:itemID="{597A972C-D788-4A57-8922-9275D4521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</vt:lpstr>
      <vt:lpstr>Disposal</vt:lpstr>
      <vt:lpstr>Yardwaste Analysis</vt:lpstr>
      <vt:lpstr>Roll Off Average Cost</vt:lpstr>
      <vt:lpstr>COS!Print_Area</vt:lpstr>
      <vt:lpstr>COS!Print_Titles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</dc:creator>
  <cp:lastModifiedBy>Brenner, Alex</cp:lastModifiedBy>
  <cp:lastPrinted>2011-11-16T19:21:34Z</cp:lastPrinted>
  <dcterms:created xsi:type="dcterms:W3CDTF">2011-11-09T20:37:44Z</dcterms:created>
  <dcterms:modified xsi:type="dcterms:W3CDTF">2016-11-15T19:42:07Z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0x0101006E56B4D1795A2E4DB2F0B01679ED314A0098E56945F0532C4FA40BE936413FFE79</vt:lpwstr>
  </property>
  <property fmtid="{D5CDD505-2E9C-101B-9397-08002B2CF9AE}" pid="3" name="_docset_NoMedatataSyncRequired">
    <vt:lpwstr>False</vt:lpwstr>
  </property>
</Properties>
</file>