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HARED\FILINGS\WA\2016 Dockets\UE-161067 Petition for Accounting Order (9-9-16)\Compliance Filing (4-14-17)\Filed Docs\"/>
    </mc:Choice>
  </mc:AlternateContent>
  <bookViews>
    <workbookView xWindow="0" yWindow="0" windowWidth="28800" windowHeight="11835"/>
  </bookViews>
  <sheets>
    <sheet name="Table A" sheetId="1" r:id="rId1"/>
    <sheet name="Residential Impact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hidden="1">{#N/A,#N/A,FALSE,"CRPT";#N/A,#N/A,FALSE,"TREND";#N/A,#N/A,FALSE,"%Curve"}</definedName>
    <definedName name="_______www1" hidden="1">{#N/A,#N/A,FALSE,"schA"}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hidden="1">{#N/A,#N/A,FALSE,"CRPT";#N/A,#N/A,FALSE,"TREND";#N/A,#N/A,FALSE,"%Curve"}</definedName>
    <definedName name="______www1" hidden="1">{#N/A,#N/A,FALSE,"schA"}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hidden="1">{#N/A,#N/A,FALSE,"CRPT";#N/A,#N/A,FALSE,"TREND";#N/A,#N/A,FALSE,"%Curve"}</definedName>
    <definedName name="_____www1" hidden="1">{#N/A,#N/A,FALSE,"schA"}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hidden="1">{#N/A,#N/A,FALSE,"CRPT";#N/A,#N/A,FALSE,"TREND";#N/A,#N/A,FALSE,"%Curve"}</definedName>
    <definedName name="____www1" hidden="1">{#N/A,#N/A,FALSE,"schA"}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hidden="1">{#N/A,#N/A,FALSE,"CRPT";#N/A,#N/A,FALSE,"TREND";#N/A,#N/A,FALSE,"%Curve"}</definedName>
    <definedName name="___www1" hidden="1">{#N/A,#N/A,FALSE,"schA"}</definedName>
    <definedName name="__123Graph_A" localSheetId="1" hidden="1">[1]Inputs!#REF!</definedName>
    <definedName name="__123Graph_A" localSheetId="0" hidden="1">[2]Inputs!#REF!</definedName>
    <definedName name="__123Graph_A" hidden="1">[3]Inputs!#REF!</definedName>
    <definedName name="__123Graph_B" localSheetId="1" hidden="1">[1]Inputs!#REF!</definedName>
    <definedName name="__123Graph_B" localSheetId="0" hidden="1">[2]Inputs!#REF!</definedName>
    <definedName name="__123Graph_B" hidden="1">[3]Inputs!#REF!</definedName>
    <definedName name="__123Graph_D" localSheetId="1" hidden="1">[1]Inputs!#REF!</definedName>
    <definedName name="__123Graph_D" localSheetId="0" hidden="1">[2]Inputs!#REF!</definedName>
    <definedName name="__123Graph_D" hidden="1">[3]Inputs!#REF!</definedName>
    <definedName name="__123Graph_E" hidden="1">[4]Input!$E$22:$E$37</definedName>
    <definedName name="__123Graph_ECURRENT" hidden="1">[5]ConsolidatingPL!#REF!</definedName>
    <definedName name="__123Graph_F" hidden="1">[4]Input!$D$22:$D$37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localSheetId="1" hidden="1">#REF!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new1" hidden="1">{#N/A,#N/A,FALSE,"Summ";#N/A,#N/A,FALSE,"General"}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0</definedName>
    <definedName name="_Order2" hidden="1">0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ix6" hidden="1">{#N/A,#N/A,FALSE,"CRPT";#N/A,#N/A,FALSE,"TREND";#N/A,#N/A,FALSE,"%Curve"}</definedName>
    <definedName name="_Sort" localSheetId="1" hidden="1">#REF!</definedName>
    <definedName name="_Sort" hidden="1">#REF!</definedName>
    <definedName name="_www1" hidden="1">{#N/A,#N/A,FALSE,"schA"}</definedName>
    <definedName name="a" localSheetId="1" hidden="1">#REF!</definedName>
    <definedName name="a" localSheetId="0" hidden="1">#REF!</definedName>
    <definedName name="a" hidden="1">'[3]DSM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2DocOpenMode" hidden="1">"AS2DocumentEdit"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opy" hidden="1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sd" hidden="1">[3]Inputs!#REF!</definedName>
    <definedName name="DUDE" localSheetId="1" hidden="1">#REF!</definedName>
    <definedName name="DUDE" hidden="1">#REF!</definedName>
    <definedName name="ee" hidden="1">{#N/A,#N/A,FALSE,"Month ";#N/A,#N/A,FALSE,"YTD";#N/A,#N/A,FALSE,"12 mo ended"}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hidden="1">{#N/A,#N/A,FALSE,"Coversheet";#N/A,#N/A,FALSE,"QA"}</definedName>
    <definedName name="Master" hidden="1">{#N/A,#N/A,FALSE,"Actual";#N/A,#N/A,FALSE,"Normalized";#N/A,#N/A,FALSE,"Electric Actual";#N/A,#N/A,FALSE,"Electric Normalized"}</definedName>
    <definedName name="Miller" hidden="1">{#N/A,#N/A,FALSE,"Expenditures";#N/A,#N/A,FALSE,"Property Placed In-Service";#N/A,#N/A,FALSE,"CWIP Balances"}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{#N/A,#N/A,FALSE,"Summ";#N/A,#N/A,FALSE,"General"}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[6]Inputs!#REF!</definedName>
    <definedName name="_xlnm.Print_Area" localSheetId="1">'Residential Impact'!$A$1:$T$38</definedName>
    <definedName name="_xlnm.Print_Area" localSheetId="0">'Table A'!$A$1:$Z$49</definedName>
    <definedName name="q" hidden="1">{#N/A,#N/A,FALSE,"Coversheet";#N/A,#N/A,FALSE,"QA"}</definedName>
    <definedName name="qqq" hidden="1">{#N/A,#N/A,FALSE,"schA"}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"44KU92Q9LH2VK4DK86GZ93AXN"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hidden="1">{#N/A,#N/A,FALSE,"Drill Sites";"WP 212",#N/A,FALSE,"MWAG EOR";"WP 213",#N/A,FALSE,"MWAG EOR";#N/A,#N/A,FALSE,"Misc. Facility";#N/A,#N/A,FALSE,"WWTP"}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[7]Inputs!#REF!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hidden="1">{#N/A,#N/A,FALSE,"CESTSUM";#N/A,#N/A,FALSE,"est sum A";#N/A,#N/A,FALSE,"est detail A"}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hidden="1">{#N/A,#N/A,FALSE,"BASE";#N/A,#N/A,FALSE,"LOOPS";#N/A,#N/A,FALSE,"PLC"}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hidden="1">{#N/A,#N/A,FALSE,"7617 Fab";#N/A,#N/A,FALSE,"7617 NSK"}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hidden="1">{#N/A,#N/A,FALSE,"schA"}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#REF!</definedName>
    <definedName name="y" localSheetId="0" hidden="1">#REF!</definedName>
    <definedName name="y" hidden="1">'[3]DSM Output'!$B$21:$B$23</definedName>
    <definedName name="yuf" hidden="1">{#N/A,#N/A,FALSE,"Summ";#N/A,#N/A,FALSE,"General"}</definedName>
    <definedName name="z" localSheetId="1" hidden="1">#REF!</definedName>
    <definedName name="z" localSheetId="0" hidden="1">#REF!</definedName>
    <definedName name="z" hidden="1">'[3]DSM Output'!$G$21:$G$23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J31" i="2"/>
  <c r="D30" i="2"/>
  <c r="J28" i="2"/>
  <c r="D27" i="2"/>
  <c r="J26" i="2"/>
  <c r="D25" i="2"/>
  <c r="J24" i="2"/>
  <c r="F24" i="2"/>
  <c r="D22" i="2"/>
  <c r="D21" i="2"/>
  <c r="J20" i="2"/>
  <c r="J19" i="2"/>
  <c r="D18" i="2"/>
  <c r="D16" i="2"/>
  <c r="Y16" i="2"/>
  <c r="D15" i="2"/>
  <c r="J14" i="2"/>
  <c r="D13" i="2"/>
  <c r="J11" i="2"/>
  <c r="F11" i="2"/>
  <c r="D10" i="2"/>
  <c r="W9" i="2"/>
  <c r="D9" i="2"/>
  <c r="W8" i="2"/>
  <c r="J32" i="2" s="1"/>
  <c r="Y7" i="2"/>
  <c r="F28" i="2" s="1"/>
  <c r="D31" i="2"/>
  <c r="P40" i="1"/>
  <c r="R40" i="1"/>
  <c r="T40" i="1" s="1"/>
  <c r="V40" i="1" s="1"/>
  <c r="X40" i="1" s="1"/>
  <c r="P39" i="1"/>
  <c r="P43" i="1" s="1"/>
  <c r="P38" i="1"/>
  <c r="P37" i="1"/>
  <c r="J43" i="1"/>
  <c r="P36" i="1"/>
  <c r="L43" i="1"/>
  <c r="L45" i="1" s="1"/>
  <c r="L49" i="1" s="1"/>
  <c r="P30" i="1"/>
  <c r="T29" i="1"/>
  <c r="P29" i="1"/>
  <c r="V29" i="1" s="1"/>
  <c r="X29" i="1" s="1"/>
  <c r="T28" i="1"/>
  <c r="P28" i="1"/>
  <c r="V28" i="1" s="1"/>
  <c r="X28" i="1" s="1"/>
  <c r="T27" i="1"/>
  <c r="P27" i="1"/>
  <c r="V27" i="1" s="1"/>
  <c r="X27" i="1" s="1"/>
  <c r="T26" i="1"/>
  <c r="P26" i="1"/>
  <c r="V26" i="1" s="1"/>
  <c r="X26" i="1" s="1"/>
  <c r="T25" i="1"/>
  <c r="P25" i="1"/>
  <c r="V25" i="1" s="1"/>
  <c r="X25" i="1" s="1"/>
  <c r="T24" i="1"/>
  <c r="V24" i="1" s="1"/>
  <c r="P24" i="1"/>
  <c r="T23" i="1"/>
  <c r="L33" i="1"/>
  <c r="P23" i="1"/>
  <c r="H33" i="1"/>
  <c r="T20" i="1"/>
  <c r="L20" i="1"/>
  <c r="B20" i="1"/>
  <c r="T17" i="1"/>
  <c r="J20" i="1"/>
  <c r="H20" i="1"/>
  <c r="H28" i="2" l="1"/>
  <c r="P33" i="1"/>
  <c r="P45" i="1" s="1"/>
  <c r="P49" i="1" s="1"/>
  <c r="Z25" i="1"/>
  <c r="Z29" i="1"/>
  <c r="AC29" i="1" s="1"/>
  <c r="F14" i="2"/>
  <c r="F19" i="2"/>
  <c r="F26" i="2"/>
  <c r="Z23" i="1"/>
  <c r="AC23" i="1" s="1"/>
  <c r="V23" i="1"/>
  <c r="H43" i="1"/>
  <c r="H45" i="1" s="1"/>
  <c r="H49" i="1" s="1"/>
  <c r="R36" i="1"/>
  <c r="T36" i="1" s="1"/>
  <c r="R39" i="1"/>
  <c r="T39" i="1" s="1"/>
  <c r="V39" i="1" s="1"/>
  <c r="X39" i="1" s="1"/>
  <c r="F20" i="2"/>
  <c r="R38" i="1"/>
  <c r="T38" i="1" s="1"/>
  <c r="V38" i="1" s="1"/>
  <c r="X38" i="1" s="1"/>
  <c r="H24" i="2"/>
  <c r="Z26" i="1"/>
  <c r="AC26" i="1" s="1"/>
  <c r="Z28" i="1"/>
  <c r="R37" i="1"/>
  <c r="T37" i="1" s="1"/>
  <c r="V37" i="1" s="1"/>
  <c r="X37" i="1" s="1"/>
  <c r="F30" i="2"/>
  <c r="F25" i="2"/>
  <c r="F21" i="2"/>
  <c r="F18" i="2"/>
  <c r="F15" i="2"/>
  <c r="F10" i="2"/>
  <c r="F9" i="2"/>
  <c r="F32" i="2"/>
  <c r="F27" i="2"/>
  <c r="F22" i="2"/>
  <c r="F16" i="2"/>
  <c r="F13" i="2"/>
  <c r="F31" i="2"/>
  <c r="Z17" i="1"/>
  <c r="P17" i="1"/>
  <c r="P20" i="1" s="1"/>
  <c r="B24" i="1"/>
  <c r="R30" i="1"/>
  <c r="T30" i="1" s="1"/>
  <c r="V30" i="1" s="1"/>
  <c r="X30" i="1" s="1"/>
  <c r="J33" i="1"/>
  <c r="J45" i="1" s="1"/>
  <c r="J49" i="1" s="1"/>
  <c r="J9" i="2"/>
  <c r="J10" i="2"/>
  <c r="D14" i="2"/>
  <c r="J15" i="2"/>
  <c r="J18" i="2"/>
  <c r="D20" i="2"/>
  <c r="J21" i="2"/>
  <c r="D24" i="2"/>
  <c r="J25" i="2"/>
  <c r="D28" i="2"/>
  <c r="J30" i="2"/>
  <c r="B23" i="1"/>
  <c r="D11" i="2"/>
  <c r="H11" i="2" s="1"/>
  <c r="J13" i="2"/>
  <c r="J16" i="2"/>
  <c r="D19" i="2"/>
  <c r="J22" i="2"/>
  <c r="D26" i="2"/>
  <c r="J27" i="2"/>
  <c r="H22" i="2" l="1"/>
  <c r="H10" i="2"/>
  <c r="H25" i="2"/>
  <c r="T43" i="1"/>
  <c r="V36" i="1"/>
  <c r="H26" i="2"/>
  <c r="AC25" i="1"/>
  <c r="Z24" i="1"/>
  <c r="AC24" i="1" s="1"/>
  <c r="H31" i="2"/>
  <c r="H27" i="2"/>
  <c r="H15" i="2"/>
  <c r="H30" i="2"/>
  <c r="H19" i="2"/>
  <c r="T33" i="1"/>
  <c r="AC17" i="1"/>
  <c r="AC20" i="1" s="1"/>
  <c r="Y19" i="2"/>
  <c r="H13" i="2"/>
  <c r="H32" i="2"/>
  <c r="H18" i="2"/>
  <c r="H20" i="2"/>
  <c r="V33" i="1"/>
  <c r="X23" i="1"/>
  <c r="H14" i="2"/>
  <c r="B26" i="1"/>
  <c r="B27" i="1"/>
  <c r="B25" i="1"/>
  <c r="V17" i="1"/>
  <c r="H16" i="2"/>
  <c r="H9" i="2"/>
  <c r="H21" i="2"/>
  <c r="AC28" i="1"/>
  <c r="Z27" i="1"/>
  <c r="AC27" i="1" s="1"/>
  <c r="B28" i="1" l="1"/>
  <c r="B29" i="1"/>
  <c r="V20" i="1"/>
  <c r="X17" i="1"/>
  <c r="W21" i="2" s="1"/>
  <c r="Y8" i="2"/>
  <c r="Y9" i="2"/>
  <c r="AA9" i="2" s="1"/>
  <c r="Z43" i="1"/>
  <c r="T45" i="1"/>
  <c r="T49" i="1" s="1"/>
  <c r="B30" i="1"/>
  <c r="X36" i="1"/>
  <c r="V43" i="1"/>
  <c r="Z37" i="1" l="1"/>
  <c r="AC37" i="1" s="1"/>
  <c r="Z39" i="1"/>
  <c r="AC39" i="1" s="1"/>
  <c r="Z30" i="1"/>
  <c r="AC30" i="1" s="1"/>
  <c r="AC33" i="1" s="1"/>
  <c r="Z38" i="1"/>
  <c r="AC38" i="1" s="1"/>
  <c r="Z40" i="1"/>
  <c r="AC40" i="1" s="1"/>
  <c r="Z36" i="1"/>
  <c r="AC36" i="1" s="1"/>
  <c r="V45" i="1"/>
  <c r="B33" i="1"/>
  <c r="L31" i="2"/>
  <c r="L26" i="2"/>
  <c r="L19" i="2"/>
  <c r="L11" i="2"/>
  <c r="L28" i="2"/>
  <c r="L24" i="2"/>
  <c r="L20" i="2"/>
  <c r="L14" i="2"/>
  <c r="AA8" i="2"/>
  <c r="L32" i="2"/>
  <c r="L27" i="2"/>
  <c r="L15" i="2"/>
  <c r="L10" i="2"/>
  <c r="L21" i="2"/>
  <c r="L25" i="2"/>
  <c r="L18" i="2"/>
  <c r="L13" i="2"/>
  <c r="L9" i="2"/>
  <c r="L22" i="2"/>
  <c r="L16" i="2"/>
  <c r="L30" i="2"/>
  <c r="N22" i="2" l="1"/>
  <c r="P22" i="2"/>
  <c r="R22" i="2"/>
  <c r="T22" i="2"/>
  <c r="N25" i="2"/>
  <c r="P25" i="2"/>
  <c r="R25" i="2"/>
  <c r="T25" i="2"/>
  <c r="N27" i="2"/>
  <c r="P27" i="2"/>
  <c r="T27" i="2"/>
  <c r="R27" i="2"/>
  <c r="P20" i="2"/>
  <c r="N20" i="2"/>
  <c r="R20" i="2"/>
  <c r="T20" i="2"/>
  <c r="P19" i="2"/>
  <c r="N19" i="2"/>
  <c r="R19" i="2"/>
  <c r="T19" i="2"/>
  <c r="V49" i="1"/>
  <c r="X49" i="1" s="1"/>
  <c r="X45" i="1"/>
  <c r="N9" i="2"/>
  <c r="P9" i="2"/>
  <c r="T9" i="2"/>
  <c r="R9" i="2"/>
  <c r="N21" i="2"/>
  <c r="P21" i="2"/>
  <c r="T21" i="2"/>
  <c r="R21" i="2"/>
  <c r="P32" i="2"/>
  <c r="N32" i="2"/>
  <c r="T32" i="2"/>
  <c r="R32" i="2"/>
  <c r="P24" i="2"/>
  <c r="N24" i="2"/>
  <c r="T24" i="2"/>
  <c r="R24" i="2"/>
  <c r="P26" i="2"/>
  <c r="N26" i="2"/>
  <c r="T26" i="2"/>
  <c r="R26" i="2"/>
  <c r="B36" i="1"/>
  <c r="N30" i="2"/>
  <c r="P30" i="2"/>
  <c r="T30" i="2"/>
  <c r="R30" i="2"/>
  <c r="N13" i="2"/>
  <c r="P13" i="2"/>
  <c r="R13" i="2"/>
  <c r="T13" i="2"/>
  <c r="N10" i="2"/>
  <c r="P10" i="2"/>
  <c r="R10" i="2"/>
  <c r="T10" i="2"/>
  <c r="P28" i="2"/>
  <c r="N28" i="2"/>
  <c r="T28" i="2"/>
  <c r="R28" i="2"/>
  <c r="P31" i="2"/>
  <c r="N31" i="2"/>
  <c r="T31" i="2"/>
  <c r="R31" i="2"/>
  <c r="N16" i="2"/>
  <c r="P16" i="2"/>
  <c r="R16" i="2"/>
  <c r="T16" i="2"/>
  <c r="N18" i="2"/>
  <c r="P18" i="2"/>
  <c r="T18" i="2"/>
  <c r="R18" i="2"/>
  <c r="N15" i="2"/>
  <c r="P15" i="2"/>
  <c r="R15" i="2"/>
  <c r="T15" i="2"/>
  <c r="P14" i="2"/>
  <c r="N14" i="2"/>
  <c r="R14" i="2"/>
  <c r="T14" i="2"/>
  <c r="P11" i="2"/>
  <c r="N11" i="2"/>
  <c r="R11" i="2"/>
  <c r="T11" i="2"/>
  <c r="AC43" i="1"/>
  <c r="AC45" i="1" s="1"/>
  <c r="AC49" i="1" s="1"/>
  <c r="B37" i="1" l="1"/>
  <c r="B38" i="1" s="1"/>
  <c r="B39" i="1" l="1"/>
  <c r="B40" i="1" s="1"/>
  <c r="B43" i="1" s="1"/>
  <c r="B45" i="1" s="1"/>
</calcChain>
</file>

<file path=xl/sharedStrings.xml><?xml version="1.0" encoding="utf-8"?>
<sst xmlns="http://schemas.openxmlformats.org/spreadsheetml/2006/main" count="136" uniqueCount="93">
  <si>
    <t>TABLE A. PRESENT AND PROPOSED RATES</t>
  </si>
  <si>
    <t>PACIFIC POWER &amp; LIGHT COMPANY</t>
  </si>
  <si>
    <t>ESTIMATED EFFECT OF PROPOSED CHANGE TO SCHEDULE 95</t>
  </si>
  <si>
    <t>ON REVENUES FROM ELECTRIC SALES TO ULTIMATE CONSUMERS</t>
  </si>
  <si>
    <t>IN WASHINGTON</t>
  </si>
  <si>
    <t>12 MONTHS ENDED JUNE 2015</t>
  </si>
  <si>
    <t>Present</t>
  </si>
  <si>
    <t xml:space="preserve"> </t>
  </si>
  <si>
    <t>Curr.</t>
  </si>
  <si>
    <t>Base</t>
  </si>
  <si>
    <t>Current</t>
  </si>
  <si>
    <t>Proposed</t>
  </si>
  <si>
    <t>Line</t>
  </si>
  <si>
    <t>Sch.</t>
  </si>
  <si>
    <t>Avg.</t>
  </si>
  <si>
    <t>Revenues</t>
  </si>
  <si>
    <t>Rate</t>
  </si>
  <si>
    <t>Factor 10</t>
  </si>
  <si>
    <t>Change</t>
  </si>
  <si>
    <t>No.</t>
  </si>
  <si>
    <t>Description</t>
  </si>
  <si>
    <t>Cust.</t>
  </si>
  <si>
    <t>MWH</t>
  </si>
  <si>
    <t>($000)</t>
  </si>
  <si>
    <t>Cents/kWh</t>
  </si>
  <si>
    <t>Allocator</t>
  </si>
  <si>
    <t>%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</si>
  <si>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</si>
  <si>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</si>
  <si>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</si>
  <si>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</si>
  <si>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</si>
  <si>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</si>
  <si>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</si>
  <si>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</si>
  <si>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</si>
  <si>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</si>
  <si>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</si>
  <si>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</si>
  <si>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(4)*(6)</t>
  </si>
  <si>
    <t>(9)-(7)</t>
  </si>
  <si>
    <t>(10)/(5)</t>
  </si>
  <si>
    <t>(9)/(4)</t>
  </si>
  <si>
    <t>Residential</t>
  </si>
  <si>
    <t>Residential Service</t>
  </si>
  <si>
    <t>16/17/18</t>
  </si>
  <si>
    <t xml:space="preserve">  Total Residential</t>
  </si>
  <si>
    <t>Commercial &amp; Industrial</t>
  </si>
  <si>
    <t>Small General Service</t>
  </si>
  <si>
    <t>Partial Requirements Service</t>
  </si>
  <si>
    <t>Large General Service &lt;1,000 kW</t>
  </si>
  <si>
    <t>Agricultural Pumping Service</t>
  </si>
  <si>
    <t>40</t>
  </si>
  <si>
    <t>Partial Requirements Service =&gt; 1,000 kW</t>
  </si>
  <si>
    <t>Large General Service =&gt; 1,000 kW</t>
  </si>
  <si>
    <t>Large General Service =&gt; 30,000 kW</t>
  </si>
  <si>
    <t>48</t>
  </si>
  <si>
    <t>Recreational Field Lighting</t>
  </si>
  <si>
    <t>54</t>
  </si>
  <si>
    <t xml:space="preserve">  Total Commercial &amp; Industrial</t>
  </si>
  <si>
    <t>Public Street Lighting</t>
  </si>
  <si>
    <t>Outdoor Area Lighting Service</t>
  </si>
  <si>
    <t>15</t>
  </si>
  <si>
    <t>Street Lighting Service</t>
  </si>
  <si>
    <t>51</t>
  </si>
  <si>
    <t xml:space="preserve">  Total Public Street Lighting</t>
  </si>
  <si>
    <t>Total Sales to Standard Tariff Customers</t>
  </si>
  <si>
    <t>Total AGA</t>
  </si>
  <si>
    <t>Total Sales to Ultimate Consumers</t>
  </si>
  <si>
    <t>Pacific Power &amp; Light Company</t>
  </si>
  <si>
    <t>Monthly Billing Comparison</t>
  </si>
  <si>
    <t>Schedule 16 - Residential Service</t>
  </si>
  <si>
    <r>
      <t xml:space="preserve">Monthly Energy Charge </t>
    </r>
    <r>
      <rPr>
        <vertAlign val="superscript"/>
        <sz val="11"/>
        <rFont val="Times New Roman"/>
        <family val="1"/>
      </rPr>
      <t>1</t>
    </r>
  </si>
  <si>
    <t>Monthly Basic Charge</t>
  </si>
  <si>
    <t>Total Change</t>
  </si>
  <si>
    <t>Present Price</t>
  </si>
  <si>
    <t>Proposed Price</t>
  </si>
  <si>
    <t>kWh</t>
  </si>
  <si>
    <t>$</t>
  </si>
  <si>
    <t>Basic</t>
  </si>
  <si>
    <t>Energy - 1st 600</t>
  </si>
  <si>
    <t>Energy</t>
  </si>
  <si>
    <t>SBC</t>
  </si>
  <si>
    <t>BPA Credit</t>
  </si>
  <si>
    <t>Low Income-Current</t>
  </si>
  <si>
    <t>Low Income-Proposed</t>
  </si>
  <si>
    <t>Deferral-Current</t>
  </si>
  <si>
    <t>Deferral-Proposed</t>
  </si>
  <si>
    <t>Residential Overall:</t>
  </si>
  <si>
    <t>*</t>
  </si>
  <si>
    <t>Notes:</t>
  </si>
  <si>
    <t>* Average Washington Customer</t>
  </si>
  <si>
    <r>
      <t xml:space="preserve">    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SBC Charge, Low Income Charge, Deferral Surcharge and BPA Credit.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</si>
</sst>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3" formatCode="_(* #,##0.00_);_(* \(#,##0.00\);_(* &quot;-&quot;??_);_(@_)"/>
    <numFmt numFmtId="164" formatCode="#,##0.000_);\(#,##0.000\)"/>
    <numFmt numFmtId="165" formatCode="0.000_)"/>
    <numFmt numFmtId="166" formatCode="0.0%"/>
    <numFmt numFmtId="167" formatCode="0.000"/>
    <numFmt numFmtId="168" formatCode="_(* #,##0.000_);_(* \(#,##0.000\);_(* &quot;-&quot;??_);_(@_)"/>
    <numFmt numFmtId="169" formatCode="0.00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sz val="11"/>
      <color indexed="8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vertAlign val="superscript"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u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</cellStyleXfs>
  <cellXfs count="120">
    <xf numFmtId="0" fontId="0" fillId="0" borderId="0" xfId="0"/>
    <xf numFmtId="0" fontId="2" fillId="0" borderId="0" xfId="3" applyFill="1"/>
    <xf numFmtId="0" fontId="3" fillId="0" borderId="0" xfId="3" applyFont="1" applyFill="1"/>
    <xf numFmtId="0" fontId="4" fillId="0" borderId="0" xfId="3" applyFont="1" applyFill="1"/>
    <xf numFmtId="0" fontId="5" fillId="0" borderId="0" xfId="3" applyFont="1" applyFill="1"/>
    <xf numFmtId="0" fontId="6" fillId="0" borderId="0" xfId="3" applyFont="1" applyFill="1" applyAlignment="1"/>
    <xf numFmtId="0" fontId="6" fillId="0" borderId="0" xfId="3" quotePrefix="1" applyFont="1" applyFill="1" applyAlignment="1"/>
    <xf numFmtId="0" fontId="6" fillId="0" borderId="0" xfId="3" quotePrefix="1" applyFont="1" applyFill="1" applyAlignment="1">
      <alignment horizontal="center"/>
    </xf>
    <xf numFmtId="0" fontId="2" fillId="0" borderId="0" xfId="3" applyFill="1" applyBorder="1"/>
    <xf numFmtId="0" fontId="6" fillId="0" borderId="0" xfId="3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2" fillId="0" borderId="0" xfId="3" applyFont="1" applyFill="1" applyAlignment="1">
      <alignment horizontal="center"/>
    </xf>
    <xf numFmtId="0" fontId="2" fillId="0" borderId="0" xfId="3" applyFont="1" applyFill="1" applyBorder="1" applyAlignment="1">
      <alignment horizontal="left"/>
    </xf>
    <xf numFmtId="0" fontId="5" fillId="0" borderId="0" xfId="3" applyFont="1" applyFill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0" xfId="3" quotePrefix="1" applyFont="1" applyFill="1" applyBorder="1" applyAlignment="1">
      <alignment horizontal="center"/>
    </xf>
    <xf numFmtId="0" fontId="2" fillId="0" borderId="1" xfId="3" quotePrefix="1" applyFont="1" applyFill="1" applyBorder="1" applyAlignment="1">
      <alignment horizontal="centerContinuous"/>
    </xf>
    <xf numFmtId="0" fontId="2" fillId="0" borderId="1" xfId="3" applyFill="1" applyBorder="1" applyAlignment="1">
      <alignment horizontal="centerContinuous"/>
    </xf>
    <xf numFmtId="0" fontId="2" fillId="0" borderId="0" xfId="3" applyFont="1" applyFill="1" applyBorder="1" applyAlignment="1"/>
    <xf numFmtId="0" fontId="2" fillId="0" borderId="0" xfId="3" applyFill="1" applyAlignment="1">
      <alignment horizontal="center"/>
    </xf>
    <xf numFmtId="0" fontId="2" fillId="0" borderId="0" xfId="3" applyFill="1" applyBorder="1" applyAlignment="1">
      <alignment horizontal="center"/>
    </xf>
    <xf numFmtId="0" fontId="2" fillId="0" borderId="2" xfId="3" applyFill="1" applyBorder="1" applyAlignment="1">
      <alignment horizontal="center"/>
    </xf>
    <xf numFmtId="0" fontId="5" fillId="0" borderId="2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6" fontId="2" fillId="0" borderId="2" xfId="3" quotePrefix="1" applyNumberFormat="1" applyFont="1" applyFill="1" applyBorder="1" applyAlignment="1">
      <alignment horizontal="center"/>
    </xf>
    <xf numFmtId="0" fontId="2" fillId="0" borderId="1" xfId="3" applyFill="1" applyBorder="1" applyAlignment="1">
      <alignment horizontal="center"/>
    </xf>
    <xf numFmtId="0" fontId="2" fillId="0" borderId="0" xfId="3" quotePrefix="1" applyFont="1" applyFill="1"/>
    <xf numFmtId="0" fontId="2" fillId="0" borderId="0" xfId="3" quotePrefix="1" applyFont="1" applyFill="1" applyAlignment="1">
      <alignment horizontal="center"/>
    </xf>
    <xf numFmtId="0" fontId="8" fillId="0" borderId="0" xfId="3" applyFont="1" applyFill="1"/>
    <xf numFmtId="0" fontId="5" fillId="0" borderId="0" xfId="3" quotePrefix="1" applyFont="1" applyFill="1" applyAlignment="1">
      <alignment horizontal="center"/>
    </xf>
    <xf numFmtId="37" fontId="2" fillId="0" borderId="0" xfId="3" applyNumberFormat="1" applyFont="1" applyFill="1" applyProtection="1"/>
    <xf numFmtId="0" fontId="2" fillId="0" borderId="0" xfId="3" applyFont="1" applyFill="1"/>
    <xf numFmtId="5" fontId="5" fillId="0" borderId="0" xfId="3" applyNumberFormat="1" applyFont="1" applyFill="1" applyProtection="1">
      <protection locked="0"/>
    </xf>
    <xf numFmtId="10" fontId="5" fillId="0" borderId="0" xfId="4" applyNumberFormat="1" applyFont="1" applyFill="1" applyProtection="1">
      <protection locked="0"/>
    </xf>
    <xf numFmtId="164" fontId="5" fillId="0" borderId="0" xfId="4" applyNumberFormat="1" applyFont="1" applyFill="1" applyProtection="1">
      <protection locked="0"/>
    </xf>
    <xf numFmtId="10" fontId="2" fillId="0" borderId="0" xfId="2" applyNumberFormat="1" applyFont="1" applyFill="1" applyProtection="1"/>
    <xf numFmtId="5" fontId="5" fillId="0" borderId="0" xfId="4" applyNumberFormat="1" applyFont="1" applyFill="1" applyProtection="1">
      <protection locked="0"/>
    </xf>
    <xf numFmtId="164" fontId="2" fillId="0" borderId="0" xfId="3" applyNumberFormat="1" applyFill="1"/>
    <xf numFmtId="0" fontId="2" fillId="0" borderId="0" xfId="3" applyFont="1" applyFill="1" applyBorder="1"/>
    <xf numFmtId="10" fontId="5" fillId="0" borderId="0" xfId="4" applyNumberFormat="1" applyFont="1" applyFill="1" applyBorder="1" applyProtection="1">
      <protection locked="0"/>
    </xf>
    <xf numFmtId="0" fontId="2" fillId="0" borderId="2" xfId="3" applyFill="1" applyBorder="1"/>
    <xf numFmtId="0" fontId="2" fillId="0" borderId="1" xfId="3" applyFill="1" applyBorder="1"/>
    <xf numFmtId="0" fontId="2" fillId="0" borderId="0" xfId="5" applyFill="1" applyBorder="1"/>
    <xf numFmtId="0" fontId="10" fillId="0" borderId="0" xfId="6" applyFont="1" applyFill="1" applyAlignment="1">
      <alignment horizontal="center"/>
    </xf>
    <xf numFmtId="37" fontId="2" fillId="0" borderId="0" xfId="3" applyNumberFormat="1" applyFill="1" applyProtection="1"/>
    <xf numFmtId="5" fontId="2" fillId="0" borderId="0" xfId="3" applyNumberFormat="1" applyFill="1" applyProtection="1"/>
    <xf numFmtId="0" fontId="5" fillId="0" borderId="0" xfId="4" applyNumberFormat="1" applyFont="1" applyFill="1" applyProtection="1">
      <protection locked="0"/>
    </xf>
    <xf numFmtId="165" fontId="2" fillId="0" borderId="0" xfId="5" applyNumberFormat="1" applyFill="1" applyBorder="1" applyProtection="1"/>
    <xf numFmtId="37" fontId="2" fillId="0" borderId="0" xfId="3" applyNumberFormat="1" applyFill="1"/>
    <xf numFmtId="5" fontId="2" fillId="0" borderId="0" xfId="3" applyNumberFormat="1" applyFill="1"/>
    <xf numFmtId="166" fontId="2" fillId="0" borderId="0" xfId="4" applyNumberFormat="1" applyFont="1" applyFill="1"/>
    <xf numFmtId="0" fontId="10" fillId="0" borderId="0" xfId="6" applyFont="1" applyFill="1"/>
    <xf numFmtId="10" fontId="2" fillId="0" borderId="1" xfId="2" applyNumberFormat="1" applyFont="1" applyFill="1" applyBorder="1" applyProtection="1"/>
    <xf numFmtId="37" fontId="2" fillId="0" borderId="2" xfId="3" applyNumberFormat="1" applyFill="1" applyBorder="1" applyProtection="1"/>
    <xf numFmtId="5" fontId="2" fillId="0" borderId="2" xfId="3" applyNumberFormat="1" applyFill="1" applyBorder="1" applyProtection="1"/>
    <xf numFmtId="164" fontId="5" fillId="0" borderId="0" xfId="4" applyNumberFormat="1" applyFont="1" applyFill="1" applyBorder="1" applyProtection="1">
      <protection locked="0"/>
    </xf>
    <xf numFmtId="10" fontId="5" fillId="0" borderId="1" xfId="4" applyNumberFormat="1" applyFont="1" applyFill="1" applyBorder="1" applyProtection="1">
      <protection locked="0"/>
    </xf>
    <xf numFmtId="165" fontId="2" fillId="0" borderId="0" xfId="5" applyNumberFormat="1" applyFont="1" applyFill="1" applyBorder="1" applyProtection="1"/>
    <xf numFmtId="37" fontId="2" fillId="0" borderId="0" xfId="3" applyNumberFormat="1" applyFill="1" applyBorder="1" applyProtection="1"/>
    <xf numFmtId="5" fontId="2" fillId="0" borderId="0" xfId="3" applyNumberFormat="1" applyFill="1" applyBorder="1" applyProtection="1"/>
    <xf numFmtId="0" fontId="11" fillId="0" borderId="0" xfId="3" applyFont="1" applyFill="1"/>
    <xf numFmtId="37" fontId="2" fillId="0" borderId="3" xfId="3" applyNumberFormat="1" applyFill="1" applyBorder="1"/>
    <xf numFmtId="5" fontId="2" fillId="0" borderId="3" xfId="3" applyNumberFormat="1" applyFill="1" applyBorder="1"/>
    <xf numFmtId="10" fontId="2" fillId="0" borderId="3" xfId="2" applyNumberFormat="1" applyFont="1" applyFill="1" applyBorder="1" applyProtection="1"/>
    <xf numFmtId="10" fontId="2" fillId="0" borderId="3" xfId="2" applyNumberFormat="1" applyFont="1" applyFill="1" applyBorder="1"/>
    <xf numFmtId="37" fontId="2" fillId="0" borderId="0" xfId="3" applyNumberFormat="1" applyFill="1" applyBorder="1"/>
    <xf numFmtId="5" fontId="2" fillId="0" borderId="0" xfId="3" applyNumberFormat="1" applyFill="1" applyBorder="1"/>
    <xf numFmtId="10" fontId="5" fillId="0" borderId="0" xfId="4" quotePrefix="1" applyNumberFormat="1" applyFont="1" applyFill="1" applyBorder="1" applyProtection="1">
      <protection locked="0"/>
    </xf>
    <xf numFmtId="0" fontId="12" fillId="0" borderId="0" xfId="6" applyFont="1" applyFill="1"/>
    <xf numFmtId="37" fontId="2" fillId="0" borderId="3" xfId="3" applyNumberFormat="1" applyFont="1" applyFill="1" applyBorder="1" applyProtection="1"/>
    <xf numFmtId="10" fontId="2" fillId="0" borderId="0" xfId="2" applyNumberFormat="1" applyFont="1" applyFill="1" applyBorder="1" applyProtection="1"/>
    <xf numFmtId="0" fontId="2" fillId="0" borderId="0" xfId="3" applyFont="1" applyFill="1" applyAlignment="1">
      <alignment horizontal="right"/>
    </xf>
    <xf numFmtId="0" fontId="10" fillId="0" borderId="0" xfId="7" applyFont="1" applyFill="1"/>
    <xf numFmtId="0" fontId="10" fillId="0" borderId="0" xfId="7" applyFont="1" applyFill="1" applyAlignment="1">
      <alignment horizontal="centerContinuous"/>
    </xf>
    <xf numFmtId="0" fontId="10" fillId="0" borderId="0" xfId="7" applyFont="1" applyFill="1" applyBorder="1" applyAlignment="1">
      <alignment horizontal="center"/>
    </xf>
    <xf numFmtId="0" fontId="10" fillId="0" borderId="0" xfId="7" applyFill="1"/>
    <xf numFmtId="0" fontId="10" fillId="0" borderId="0" xfId="7" applyFont="1" applyFill="1" applyBorder="1" applyAlignment="1">
      <alignment horizontal="centerContinuous"/>
    </xf>
    <xf numFmtId="0" fontId="14" fillId="0" borderId="4" xfId="7" applyFont="1" applyFill="1" applyBorder="1"/>
    <xf numFmtId="0" fontId="14" fillId="0" borderId="5" xfId="7" applyFont="1" applyFill="1" applyBorder="1"/>
    <xf numFmtId="0" fontId="10" fillId="0" borderId="1" xfId="7" applyFont="1" applyFill="1" applyBorder="1" applyAlignment="1">
      <alignment horizontal="center"/>
    </xf>
    <xf numFmtId="0" fontId="10" fillId="0" borderId="2" xfId="7" applyFont="1" applyFill="1" applyBorder="1" applyAlignment="1">
      <alignment horizontal="centerContinuous"/>
    </xf>
    <xf numFmtId="0" fontId="13" fillId="0" borderId="0" xfId="7" applyFont="1" applyFill="1"/>
    <xf numFmtId="0" fontId="10" fillId="0" borderId="2" xfId="7" applyFont="1" applyFill="1" applyBorder="1" applyAlignment="1">
      <alignment horizontal="center"/>
    </xf>
    <xf numFmtId="0" fontId="10" fillId="0" borderId="6" xfId="7" applyFont="1" applyFill="1" applyBorder="1" applyAlignment="1">
      <alignment horizontal="center"/>
    </xf>
    <xf numFmtId="0" fontId="14" fillId="0" borderId="7" xfId="7" applyFont="1" applyFill="1" applyBorder="1"/>
    <xf numFmtId="7" fontId="15" fillId="0" borderId="8" xfId="7" applyNumberFormat="1" applyFont="1" applyFill="1" applyBorder="1"/>
    <xf numFmtId="0" fontId="16" fillId="0" borderId="0" xfId="7" applyFont="1" applyFill="1"/>
    <xf numFmtId="167" fontId="15" fillId="0" borderId="8" xfId="7" applyNumberFormat="1" applyFont="1" applyFill="1" applyBorder="1"/>
    <xf numFmtId="168" fontId="15" fillId="0" borderId="8" xfId="1" applyNumberFormat="1" applyFont="1" applyFill="1" applyBorder="1" applyAlignment="1">
      <alignment horizontal="right"/>
    </xf>
    <xf numFmtId="43" fontId="10" fillId="0" borderId="0" xfId="7" applyNumberFormat="1" applyFont="1" applyFill="1"/>
    <xf numFmtId="166" fontId="10" fillId="0" borderId="0" xfId="4" applyNumberFormat="1" applyFont="1" applyFill="1"/>
    <xf numFmtId="37" fontId="10" fillId="0" borderId="0" xfId="7" applyNumberFormat="1" applyFont="1" applyFill="1" applyProtection="1"/>
    <xf numFmtId="7" fontId="10" fillId="0" borderId="0" xfId="7" applyNumberFormat="1" applyFill="1"/>
    <xf numFmtId="7" fontId="10" fillId="0" borderId="0" xfId="7" applyNumberFormat="1" applyFont="1" applyFill="1"/>
    <xf numFmtId="10" fontId="10" fillId="0" borderId="0" xfId="7" applyNumberFormat="1" applyFont="1" applyFill="1" applyProtection="1"/>
    <xf numFmtId="7" fontId="10" fillId="0" borderId="0" xfId="7" applyNumberFormat="1" applyFont="1" applyFill="1" applyProtection="1"/>
    <xf numFmtId="0" fontId="14" fillId="0" borderId="9" xfId="7" applyFont="1" applyFill="1" applyBorder="1"/>
    <xf numFmtId="167" fontId="15" fillId="0" borderId="10" xfId="7" applyNumberFormat="1" applyFont="1" applyFill="1" applyBorder="1"/>
    <xf numFmtId="0" fontId="14" fillId="0" borderId="0" xfId="7" applyFont="1" applyFill="1"/>
    <xf numFmtId="167" fontId="14" fillId="0" borderId="0" xfId="7" applyNumberFormat="1" applyFont="1" applyFill="1"/>
    <xf numFmtId="0" fontId="10" fillId="0" borderId="0" xfId="7" applyFont="1" applyFill="1" applyBorder="1"/>
    <xf numFmtId="166" fontId="14" fillId="0" borderId="0" xfId="7" applyNumberFormat="1" applyFont="1" applyFill="1"/>
    <xf numFmtId="167" fontId="10" fillId="0" borderId="0" xfId="7" applyNumberFormat="1" applyFont="1" applyFill="1"/>
    <xf numFmtId="0" fontId="10" fillId="0" borderId="0" xfId="7" applyFont="1" applyFill="1" applyAlignment="1">
      <alignment horizontal="right"/>
    </xf>
    <xf numFmtId="10" fontId="10" fillId="0" borderId="0" xfId="4" applyNumberFormat="1" applyFont="1" applyFill="1" applyAlignment="1">
      <alignment horizontal="right"/>
    </xf>
    <xf numFmtId="5" fontId="10" fillId="0" borderId="0" xfId="7" applyNumberFormat="1" applyFont="1" applyFill="1"/>
    <xf numFmtId="169" fontId="10" fillId="0" borderId="0" xfId="7" applyNumberFormat="1" applyFont="1" applyFill="1" applyProtection="1"/>
    <xf numFmtId="37" fontId="10" fillId="0" borderId="1" xfId="7" applyNumberFormat="1" applyFont="1" applyFill="1" applyBorder="1" applyProtection="1"/>
    <xf numFmtId="0" fontId="10" fillId="0" borderId="1" xfId="7" applyFont="1" applyFill="1" applyBorder="1"/>
    <xf numFmtId="7" fontId="10" fillId="0" borderId="1" xfId="7" applyNumberFormat="1" applyFont="1" applyFill="1" applyBorder="1" applyProtection="1"/>
    <xf numFmtId="169" fontId="10" fillId="0" borderId="1" xfId="7" applyNumberFormat="1" applyFont="1" applyFill="1" applyBorder="1" applyProtection="1"/>
    <xf numFmtId="0" fontId="17" fillId="0" borderId="0" xfId="7" applyFont="1" applyFill="1"/>
    <xf numFmtId="0" fontId="17" fillId="0" borderId="0" xfId="7" quotePrefix="1" applyFont="1" applyFill="1" applyBorder="1" applyAlignment="1">
      <alignment horizontal="left"/>
    </xf>
    <xf numFmtId="0" fontId="2" fillId="0" borderId="0" xfId="3" applyFont="1" applyFill="1" applyAlignment="1">
      <alignment horizontal="left"/>
    </xf>
    <xf numFmtId="0" fontId="2" fillId="0" borderId="0" xfId="3" quotePrefix="1" applyFont="1" applyFill="1" applyAlignment="1">
      <alignment horizontal="left"/>
    </xf>
    <xf numFmtId="0" fontId="6" fillId="0" borderId="0" xfId="3" quotePrefix="1" applyFont="1" applyFill="1" applyAlignment="1">
      <alignment horizontal="center"/>
    </xf>
    <xf numFmtId="0" fontId="6" fillId="0" borderId="0" xfId="3" applyFont="1" applyFill="1" applyAlignment="1">
      <alignment horizontal="center"/>
    </xf>
    <xf numFmtId="0" fontId="3" fillId="0" borderId="0" xfId="7" applyFont="1" applyFill="1" applyAlignment="1">
      <alignment horizontal="center"/>
    </xf>
    <xf numFmtId="0" fontId="10" fillId="0" borderId="1" xfId="7" applyFont="1" applyFill="1" applyBorder="1" applyAlignment="1">
      <alignment horizontal="center"/>
    </xf>
  </cellXfs>
  <cellStyles count="8">
    <cellStyle name="Comma" xfId="1" builtinId="3"/>
    <cellStyle name="Normal" xfId="0" builtinId="0"/>
    <cellStyle name="Normal 16" xfId="5"/>
    <cellStyle name="Normal_OR Blocking 04" xfId="6"/>
    <cellStyle name="Normal_OR Blocking 98 No Forecast" xfId="7"/>
    <cellStyle name="Normal_WA98" xfId="3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01\Year%202%20of%20stipulation%201-1-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%2002\Year%203%20of%20stipulation%201-1-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ar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A Yr 2003 Change"/>
      <sheetName val="Blocking Yr 2003"/>
      <sheetName val="Sch16 Yr 2003 Net"/>
      <sheetName val="Sch24 Yr 2003 Net"/>
      <sheetName val="Sch36 Yr 2003 Net"/>
      <sheetName val="Sch40 Yr 2003 Net"/>
      <sheetName val="Sch48 Yr 2003 Net"/>
      <sheetName val="Tab A Yr 2003 incl SBC change"/>
      <sheetName val="Shee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B1:AE53"/>
  <sheetViews>
    <sheetView tabSelected="1" view="pageBreakPreview" topLeftCell="B1" zoomScale="70" zoomScaleNormal="55" zoomScaleSheetLayoutView="70" workbookViewId="0">
      <selection activeCell="B1" sqref="B1"/>
    </sheetView>
  </sheetViews>
  <sheetFormatPr defaultColWidth="11.7109375" defaultRowHeight="15.75"/>
  <cols>
    <col min="1" max="1" width="0" style="1" hidden="1" customWidth="1"/>
    <col min="2" max="2" width="5.28515625" style="1" customWidth="1"/>
    <col min="3" max="3" width="2.42578125" style="1" customWidth="1"/>
    <col min="4" max="4" width="41" style="4" customWidth="1"/>
    <col min="5" max="5" width="2.42578125" style="4" customWidth="1"/>
    <col min="6" max="6" width="6.42578125" style="4" bestFit="1" customWidth="1"/>
    <col min="7" max="7" width="2.42578125" style="4" customWidth="1"/>
    <col min="8" max="8" width="10.140625" style="1" bestFit="1" customWidth="1"/>
    <col min="9" max="9" width="2.28515625" style="1" customWidth="1"/>
    <col min="10" max="10" width="12" style="1" bestFit="1" customWidth="1"/>
    <col min="11" max="11" width="3.28515625" style="1" customWidth="1"/>
    <col min="12" max="12" width="11.42578125" style="1" bestFit="1" customWidth="1"/>
    <col min="13" max="13" width="3.140625" style="1" customWidth="1"/>
    <col min="14" max="14" width="12" style="1" bestFit="1" customWidth="1"/>
    <col min="15" max="15" width="3.140625" style="1" customWidth="1"/>
    <col min="16" max="16" width="10.140625" style="1" bestFit="1" customWidth="1"/>
    <col min="17" max="17" width="3.140625" style="1" customWidth="1"/>
    <col min="18" max="18" width="12.140625" style="1" customWidth="1"/>
    <col min="19" max="19" width="2.5703125" style="1" customWidth="1"/>
    <col min="20" max="20" width="11.28515625" style="1" customWidth="1"/>
    <col min="21" max="21" width="2.85546875" style="1" customWidth="1"/>
    <col min="22" max="22" width="9.7109375" style="1" bestFit="1" customWidth="1"/>
    <col min="23" max="23" width="2.7109375" style="1" customWidth="1"/>
    <col min="24" max="24" width="8.28515625" style="1" bestFit="1" customWidth="1"/>
    <col min="25" max="25" width="2.7109375" style="1" customWidth="1"/>
    <col min="26" max="26" width="12" style="1" bestFit="1" customWidth="1"/>
    <col min="27" max="27" width="8.28515625" style="1" customWidth="1"/>
    <col min="28" max="28" width="0.140625" style="1" customWidth="1"/>
    <col min="29" max="29" width="11.7109375" style="1" customWidth="1"/>
    <col min="30" max="30" width="15.42578125" style="1" bestFit="1" customWidth="1"/>
    <col min="31" max="16384" width="11.7109375" style="1"/>
  </cols>
  <sheetData>
    <row r="1" spans="2:31" ht="18.75">
      <c r="C1" s="2"/>
      <c r="D1" s="3"/>
    </row>
    <row r="2" spans="2:31">
      <c r="B2" s="116" t="s">
        <v>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2:31">
      <c r="B3" s="117" t="s">
        <v>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5"/>
      <c r="AB3" s="5"/>
    </row>
    <row r="4" spans="2:31">
      <c r="B4" s="117" t="s">
        <v>2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5"/>
      <c r="AB4" s="5"/>
    </row>
    <row r="5" spans="2:31">
      <c r="B5" s="117" t="s">
        <v>3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5"/>
      <c r="AB5" s="5"/>
    </row>
    <row r="6" spans="2:31">
      <c r="B6" s="117" t="s">
        <v>4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5"/>
      <c r="AB6" s="5"/>
    </row>
    <row r="7" spans="2:31">
      <c r="B7" s="116" t="s">
        <v>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6"/>
      <c r="AB7" s="6"/>
    </row>
    <row r="8" spans="2:3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6"/>
      <c r="AB8" s="6"/>
    </row>
    <row r="9" spans="2:31">
      <c r="K9" s="8"/>
      <c r="L9" s="9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8"/>
      <c r="AD9" s="8"/>
      <c r="AE9" s="8"/>
    </row>
    <row r="10" spans="2:31">
      <c r="L10" s="11" t="s">
        <v>6</v>
      </c>
      <c r="M10" s="12"/>
      <c r="N10" s="12" t="s">
        <v>7</v>
      </c>
      <c r="O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2:31">
      <c r="F11" s="13" t="s">
        <v>8</v>
      </c>
      <c r="G11" s="13"/>
      <c r="L11" s="14" t="s">
        <v>9</v>
      </c>
      <c r="M11" s="15"/>
      <c r="N11" s="16" t="s">
        <v>10</v>
      </c>
      <c r="O11" s="16"/>
      <c r="P11" s="17"/>
      <c r="Q11" s="15"/>
      <c r="R11" s="16" t="s">
        <v>11</v>
      </c>
      <c r="S11" s="16"/>
      <c r="T11" s="17"/>
      <c r="U11" s="15"/>
      <c r="V11" s="15"/>
      <c r="W11" s="15"/>
      <c r="X11" s="15"/>
      <c r="Y11" s="15"/>
      <c r="Z11" s="15"/>
      <c r="AA11" s="18"/>
      <c r="AB11" s="19"/>
    </row>
    <row r="12" spans="2:31">
      <c r="B12" s="19" t="s">
        <v>12</v>
      </c>
      <c r="F12" s="13" t="s">
        <v>13</v>
      </c>
      <c r="G12" s="13"/>
      <c r="H12" s="11" t="s">
        <v>14</v>
      </c>
      <c r="L12" s="11" t="s">
        <v>15</v>
      </c>
      <c r="M12" s="19"/>
      <c r="N12" s="19" t="s">
        <v>16</v>
      </c>
      <c r="O12" s="19"/>
      <c r="P12" s="19" t="s">
        <v>15</v>
      </c>
      <c r="Q12" s="19"/>
      <c r="R12" s="19" t="s">
        <v>17</v>
      </c>
      <c r="S12" s="19"/>
      <c r="T12" s="19" t="s">
        <v>15</v>
      </c>
      <c r="U12" s="19"/>
      <c r="V12" s="17" t="s">
        <v>18</v>
      </c>
      <c r="W12" s="17"/>
      <c r="X12" s="17"/>
      <c r="Y12" s="19"/>
      <c r="Z12" s="19" t="s">
        <v>16</v>
      </c>
      <c r="AA12" s="14"/>
      <c r="AB12" s="20"/>
      <c r="AC12" s="8"/>
    </row>
    <row r="13" spans="2:31">
      <c r="B13" s="21" t="s">
        <v>19</v>
      </c>
      <c r="D13" s="22" t="s">
        <v>20</v>
      </c>
      <c r="F13" s="22" t="s">
        <v>19</v>
      </c>
      <c r="G13" s="23"/>
      <c r="H13" s="24" t="s">
        <v>21</v>
      </c>
      <c r="J13" s="24" t="s">
        <v>22</v>
      </c>
      <c r="L13" s="25" t="s">
        <v>23</v>
      </c>
      <c r="M13" s="14"/>
      <c r="N13" s="24" t="s">
        <v>24</v>
      </c>
      <c r="O13" s="14"/>
      <c r="P13" s="25" t="s">
        <v>23</v>
      </c>
      <c r="Q13" s="14"/>
      <c r="R13" s="24" t="s">
        <v>25</v>
      </c>
      <c r="S13" s="14"/>
      <c r="T13" s="25" t="s">
        <v>23</v>
      </c>
      <c r="U13" s="14"/>
      <c r="V13" s="25" t="s">
        <v>23</v>
      </c>
      <c r="W13" s="14"/>
      <c r="X13" s="26" t="s">
        <v>26</v>
      </c>
      <c r="Y13" s="14"/>
      <c r="Z13" s="26" t="s">
        <v>24</v>
      </c>
      <c r="AA13" s="14"/>
      <c r="AB13" s="20"/>
      <c r="AC13" s="8"/>
    </row>
    <row r="14" spans="2:31">
      <c r="B14" s="27"/>
      <c r="D14" s="28" t="s">
        <v>27</v>
      </c>
      <c r="F14" s="28" t="s">
        <v>28</v>
      </c>
      <c r="G14" s="13"/>
      <c r="H14" s="28" t="s">
        <v>29</v>
      </c>
      <c r="J14" s="28" t="s">
        <v>30</v>
      </c>
      <c r="L14" s="28" t="s">
        <v>31</v>
      </c>
      <c r="M14" s="28"/>
      <c r="N14" s="28" t="s">
        <v>32</v>
      </c>
      <c r="O14" s="28"/>
      <c r="P14" s="28" t="s">
        <v>33</v>
      </c>
      <c r="Q14" s="28"/>
      <c r="R14" s="28" t="s">
        <v>34</v>
      </c>
      <c r="S14" s="28"/>
      <c r="T14" s="28" t="s">
        <v>35</v>
      </c>
      <c r="U14" s="28"/>
      <c r="V14" s="28" t="s">
        <v>36</v>
      </c>
      <c r="W14" s="28"/>
      <c r="X14" s="28" t="s">
        <v>37</v>
      </c>
      <c r="Y14" s="28"/>
      <c r="Z14" s="28" t="s">
        <v>38</v>
      </c>
      <c r="AA14" s="15"/>
      <c r="AB14" s="15"/>
      <c r="AC14" s="8"/>
    </row>
    <row r="15" spans="2:31">
      <c r="M15" s="28"/>
      <c r="N15" s="28"/>
      <c r="O15" s="28"/>
      <c r="P15" s="28" t="s">
        <v>39</v>
      </c>
      <c r="Q15" s="28"/>
      <c r="S15" s="28"/>
      <c r="T15" s="28"/>
      <c r="U15" s="28"/>
      <c r="V15" s="28" t="s">
        <v>40</v>
      </c>
      <c r="W15" s="28"/>
      <c r="X15" s="28" t="s">
        <v>41</v>
      </c>
      <c r="Y15" s="28"/>
      <c r="Z15" s="28" t="s">
        <v>42</v>
      </c>
      <c r="AA15" s="8"/>
      <c r="AB15" s="8"/>
      <c r="AC15" s="8"/>
    </row>
    <row r="16" spans="2:31">
      <c r="D16" s="29" t="s">
        <v>43</v>
      </c>
      <c r="AA16" s="8"/>
      <c r="AB16" s="8"/>
      <c r="AC16" s="8"/>
    </row>
    <row r="17" spans="2:31">
      <c r="B17" s="19">
        <v>1</v>
      </c>
      <c r="D17" s="4" t="s">
        <v>44</v>
      </c>
      <c r="F17" s="30" t="s">
        <v>45</v>
      </c>
      <c r="G17" s="30"/>
      <c r="H17" s="31">
        <v>105258.64978493931</v>
      </c>
      <c r="I17" s="32"/>
      <c r="J17" s="31">
        <v>1569786.6374891768</v>
      </c>
      <c r="L17" s="33">
        <v>145355.24003273333</v>
      </c>
      <c r="M17" s="34"/>
      <c r="N17" s="35">
        <v>6.6000000000000003E-2</v>
      </c>
      <c r="O17" s="34"/>
      <c r="P17" s="33">
        <f>J17*N17/100</f>
        <v>1036.0591807428566</v>
      </c>
      <c r="Q17" s="34"/>
      <c r="R17" s="36">
        <v>0.42427502206463619</v>
      </c>
      <c r="S17" s="34"/>
      <c r="T17" s="33">
        <f>R17*$T$51</f>
        <v>67.884003530341786</v>
      </c>
      <c r="U17" s="34"/>
      <c r="V17" s="37">
        <f>T17-P17</f>
        <v>-968.17517721251477</v>
      </c>
      <c r="W17" s="34"/>
      <c r="X17" s="34">
        <f>V17/L17</f>
        <v>-6.6607518036122136E-3</v>
      </c>
      <c r="Y17" s="34"/>
      <c r="Z17" s="38">
        <f>ROUND(T17/J17*100,3)</f>
        <v>4.0000000000000001E-3</v>
      </c>
      <c r="AA17" s="39" t="s">
        <v>7</v>
      </c>
      <c r="AB17" s="40"/>
      <c r="AC17" s="33">
        <f>Z17*J17/100</f>
        <v>62.791465499567074</v>
      </c>
      <c r="AD17" s="32" t="s">
        <v>7</v>
      </c>
    </row>
    <row r="18" spans="2:31">
      <c r="H18" s="41"/>
      <c r="J18" s="41"/>
      <c r="L18" s="41"/>
      <c r="M18" s="8"/>
      <c r="N18" s="8"/>
      <c r="O18" s="8"/>
      <c r="P18" s="41"/>
      <c r="Q18" s="8"/>
      <c r="R18" s="42"/>
      <c r="S18" s="8"/>
      <c r="T18" s="41"/>
      <c r="U18" s="8"/>
      <c r="V18" s="42"/>
      <c r="W18" s="8"/>
      <c r="X18" s="42"/>
      <c r="Y18" s="8"/>
      <c r="Z18" s="42"/>
      <c r="AA18" s="43"/>
      <c r="AB18" s="8"/>
      <c r="AC18" s="41"/>
    </row>
    <row r="19" spans="2:31">
      <c r="AA19" s="43"/>
      <c r="AB19" s="8"/>
    </row>
    <row r="20" spans="2:31">
      <c r="B20" s="44">
        <f>MAX(B$14:B19)+1</f>
        <v>2</v>
      </c>
      <c r="D20" s="29" t="s">
        <v>46</v>
      </c>
      <c r="H20" s="45">
        <f>SUM(H17:H17)</f>
        <v>105258.64978493931</v>
      </c>
      <c r="J20" s="45">
        <f>SUM(J17:J17)</f>
        <v>1569786.6374891768</v>
      </c>
      <c r="K20" s="45"/>
      <c r="L20" s="46">
        <f>SUM(L17:L17)</f>
        <v>145355.24003273333</v>
      </c>
      <c r="M20" s="34"/>
      <c r="N20" s="47"/>
      <c r="O20" s="34"/>
      <c r="P20" s="46">
        <f>SUM(P17:P19)</f>
        <v>1036.0591807428566</v>
      </c>
      <c r="Q20" s="34"/>
      <c r="R20" s="45"/>
      <c r="S20" s="34"/>
      <c r="T20" s="46">
        <f>SUM(T17:T19)</f>
        <v>67.884003530341786</v>
      </c>
      <c r="U20" s="34"/>
      <c r="V20" s="46">
        <f>SUM(V17:V19)</f>
        <v>-968.17517721251477</v>
      </c>
      <c r="W20" s="34"/>
      <c r="X20" s="34"/>
      <c r="Y20" s="34"/>
      <c r="AA20" s="48"/>
      <c r="AB20" s="40"/>
      <c r="AC20" s="46">
        <f>SUM(AC17:AC19)</f>
        <v>62.791465499567074</v>
      </c>
    </row>
    <row r="21" spans="2:31">
      <c r="J21" s="32" t="s">
        <v>7</v>
      </c>
      <c r="R21" s="32"/>
      <c r="AA21" s="43"/>
      <c r="AB21" s="8"/>
    </row>
    <row r="22" spans="2:31">
      <c r="D22" s="29" t="s">
        <v>47</v>
      </c>
      <c r="H22" s="49"/>
      <c r="AA22" s="43"/>
      <c r="AB22" s="8"/>
    </row>
    <row r="23" spans="2:31">
      <c r="B23" s="44">
        <f>MAX(B$14:B22)+1</f>
        <v>3</v>
      </c>
      <c r="D23" s="4" t="s">
        <v>48</v>
      </c>
      <c r="F23" s="13">
        <v>24</v>
      </c>
      <c r="G23" s="13"/>
      <c r="H23" s="31">
        <v>19046.041792326934</v>
      </c>
      <c r="J23" s="31">
        <v>536266.600352215</v>
      </c>
      <c r="L23" s="33">
        <v>49430.454891159163</v>
      </c>
      <c r="M23" s="34"/>
      <c r="N23" s="35">
        <v>6.0999999999999999E-2</v>
      </c>
      <c r="O23" s="34"/>
      <c r="P23" s="33">
        <f t="shared" ref="P23:P30" si="0">J23*N23/100</f>
        <v>327.12262621485115</v>
      </c>
      <c r="Q23" s="34"/>
      <c r="R23" s="36">
        <v>0.13495083866985857</v>
      </c>
      <c r="S23" s="34"/>
      <c r="T23" s="33">
        <f t="shared" ref="T23:T30" si="1">R23*$T$51</f>
        <v>21.592134187177372</v>
      </c>
      <c r="U23" s="34"/>
      <c r="V23" s="37">
        <f t="shared" ref="V23:V30" si="2">T23-P23</f>
        <v>-305.5304920276738</v>
      </c>
      <c r="W23" s="34"/>
      <c r="X23" s="34">
        <f t="shared" ref="X23:X30" si="3">V23/L23</f>
        <v>-6.1810172028645277E-3</v>
      </c>
      <c r="Y23" s="34"/>
      <c r="Z23" s="38">
        <f t="shared" ref="Z23:Z29" si="4">ROUND(T23/J23*100,3)</f>
        <v>4.0000000000000001E-3</v>
      </c>
      <c r="AA23" s="48"/>
      <c r="AB23" s="40"/>
      <c r="AC23" s="33">
        <f t="shared" ref="AC23:AC30" si="5">Z23*J23/100</f>
        <v>21.450664014088602</v>
      </c>
      <c r="AD23" s="50"/>
      <c r="AE23" s="51"/>
    </row>
    <row r="24" spans="2:31">
      <c r="B24" s="44">
        <f>MAX(B$14:B23)+1</f>
        <v>4</v>
      </c>
      <c r="D24" s="4" t="s">
        <v>49</v>
      </c>
      <c r="E24" s="52"/>
      <c r="F24" s="13">
        <v>33</v>
      </c>
      <c r="G24" s="13"/>
      <c r="H24" s="31">
        <v>0</v>
      </c>
      <c r="J24" s="31">
        <v>0</v>
      </c>
      <c r="L24" s="33">
        <v>0</v>
      </c>
      <c r="M24" s="34"/>
      <c r="N24" s="35">
        <v>5.8999999999999997E-2</v>
      </c>
      <c r="O24" s="34"/>
      <c r="P24" s="33">
        <f t="shared" si="0"/>
        <v>0</v>
      </c>
      <c r="Q24" s="34"/>
      <c r="R24" s="36"/>
      <c r="S24" s="34"/>
      <c r="T24" s="33">
        <f t="shared" si="1"/>
        <v>0</v>
      </c>
      <c r="U24" s="34"/>
      <c r="V24" s="37">
        <f t="shared" si="2"/>
        <v>0</v>
      </c>
      <c r="W24" s="34"/>
      <c r="X24" s="34" t="s">
        <v>7</v>
      </c>
      <c r="Y24" s="34"/>
      <c r="Z24" s="38">
        <f>Z25</f>
        <v>4.0000000000000001E-3</v>
      </c>
      <c r="AA24" s="48"/>
      <c r="AB24" s="40"/>
      <c r="AC24" s="33">
        <f t="shared" si="5"/>
        <v>0</v>
      </c>
      <c r="AD24" s="50"/>
      <c r="AE24" s="51"/>
    </row>
    <row r="25" spans="2:31">
      <c r="B25" s="44">
        <f>MAX(B$14:B24)+1</f>
        <v>5</v>
      </c>
      <c r="D25" s="4" t="s">
        <v>50</v>
      </c>
      <c r="F25" s="13">
        <v>36</v>
      </c>
      <c r="G25" s="13"/>
      <c r="H25" s="31">
        <v>1085.852777777774</v>
      </c>
      <c r="J25" s="31">
        <v>928614.07790582778</v>
      </c>
      <c r="L25" s="33">
        <v>73313.049390272819</v>
      </c>
      <c r="M25" s="34"/>
      <c r="N25" s="35">
        <v>5.8999999999999997E-2</v>
      </c>
      <c r="O25" s="34"/>
      <c r="P25" s="33">
        <f t="shared" si="0"/>
        <v>547.88230596443839</v>
      </c>
      <c r="Q25" s="34"/>
      <c r="R25" s="36">
        <v>0.21381795330374381</v>
      </c>
      <c r="S25" s="34"/>
      <c r="T25" s="33">
        <f t="shared" si="1"/>
        <v>34.210872528599012</v>
      </c>
      <c r="U25" s="34"/>
      <c r="V25" s="37">
        <f t="shared" si="2"/>
        <v>-513.67143343583939</v>
      </c>
      <c r="W25" s="34"/>
      <c r="X25" s="34">
        <f t="shared" si="3"/>
        <v>-7.0065484618075831E-3</v>
      </c>
      <c r="Y25" s="34"/>
      <c r="Z25" s="38">
        <f t="shared" si="4"/>
        <v>4.0000000000000001E-3</v>
      </c>
      <c r="AA25" s="48"/>
      <c r="AB25" s="40"/>
      <c r="AC25" s="33">
        <f t="shared" si="5"/>
        <v>37.144563116233115</v>
      </c>
      <c r="AD25" s="50"/>
      <c r="AE25" s="51"/>
    </row>
    <row r="26" spans="2:31">
      <c r="B26" s="44">
        <f>MAX(B$14:B25)+1</f>
        <v>6</v>
      </c>
      <c r="D26" s="4" t="s">
        <v>51</v>
      </c>
      <c r="F26" s="13" t="s">
        <v>52</v>
      </c>
      <c r="G26" s="13"/>
      <c r="H26" s="31">
        <v>5224.9278642093977</v>
      </c>
      <c r="J26" s="31">
        <v>160874.871894949</v>
      </c>
      <c r="L26" s="33">
        <v>14013.388999999999</v>
      </c>
      <c r="M26" s="34"/>
      <c r="N26" s="35">
        <v>5.8999999999999997E-2</v>
      </c>
      <c r="O26" s="34"/>
      <c r="P26" s="33">
        <f t="shared" si="0"/>
        <v>94.916174418019907</v>
      </c>
      <c r="Q26" s="34"/>
      <c r="R26" s="36">
        <v>3.5600085140002832E-2</v>
      </c>
      <c r="S26" s="34"/>
      <c r="T26" s="33">
        <f t="shared" si="1"/>
        <v>5.6960136224004536</v>
      </c>
      <c r="U26" s="34"/>
      <c r="V26" s="37">
        <f t="shared" si="2"/>
        <v>-89.220160795619449</v>
      </c>
      <c r="W26" s="34"/>
      <c r="X26" s="34">
        <f t="shared" si="3"/>
        <v>-6.3667797130030042E-3</v>
      </c>
      <c r="Y26" s="34"/>
      <c r="Z26" s="38">
        <f t="shared" si="4"/>
        <v>4.0000000000000001E-3</v>
      </c>
      <c r="AA26" s="48"/>
      <c r="AB26" s="40"/>
      <c r="AC26" s="33">
        <f t="shared" si="5"/>
        <v>6.43499487579796</v>
      </c>
    </row>
    <row r="27" spans="2:31">
      <c r="B27" s="44">
        <f>MAX(B$14:B26)+1</f>
        <v>7</v>
      </c>
      <c r="D27" s="4" t="s">
        <v>53</v>
      </c>
      <c r="F27" s="13">
        <v>47</v>
      </c>
      <c r="G27" s="13"/>
      <c r="H27" s="31">
        <v>1</v>
      </c>
      <c r="J27" s="31">
        <v>2252.8077291342674</v>
      </c>
      <c r="L27" s="33">
        <v>325.8169054190115</v>
      </c>
      <c r="M27" s="34"/>
      <c r="N27" s="35">
        <v>5.2999999999999999E-2</v>
      </c>
      <c r="O27" s="34"/>
      <c r="P27" s="33">
        <f t="shared" si="0"/>
        <v>1.1939880964411618</v>
      </c>
      <c r="Q27" s="34"/>
      <c r="R27" s="36"/>
      <c r="S27" s="34"/>
      <c r="T27" s="33">
        <f t="shared" si="1"/>
        <v>0</v>
      </c>
      <c r="U27" s="34"/>
      <c r="V27" s="37">
        <f t="shared" si="2"/>
        <v>-1.1939880964411618</v>
      </c>
      <c r="W27" s="34"/>
      <c r="X27" s="34">
        <f t="shared" si="3"/>
        <v>-3.6645983574905448E-3</v>
      </c>
      <c r="Y27" s="34"/>
      <c r="Z27" s="38">
        <f>Z28</f>
        <v>3.0000000000000001E-3</v>
      </c>
      <c r="AA27" s="48"/>
      <c r="AB27" s="40"/>
      <c r="AC27" s="33">
        <f t="shared" si="5"/>
        <v>6.7584231874028025E-2</v>
      </c>
    </row>
    <row r="28" spans="2:31">
      <c r="B28" s="44">
        <f>MAX(B$14:B27)+1</f>
        <v>8</v>
      </c>
      <c r="D28" s="4" t="s">
        <v>54</v>
      </c>
      <c r="F28" s="13">
        <v>48</v>
      </c>
      <c r="G28" s="13"/>
      <c r="H28" s="31">
        <v>65.154040404040458</v>
      </c>
      <c r="J28" s="31">
        <v>413290.81798306474</v>
      </c>
      <c r="L28" s="33">
        <v>29436.674579258906</v>
      </c>
      <c r="M28" s="34"/>
      <c r="N28" s="35">
        <v>5.2999999999999999E-2</v>
      </c>
      <c r="O28" s="34"/>
      <c r="P28" s="33">
        <f t="shared" si="0"/>
        <v>219.0441335310243</v>
      </c>
      <c r="Q28" s="34"/>
      <c r="R28" s="36">
        <v>8.4492543233334161E-2</v>
      </c>
      <c r="S28" s="34"/>
      <c r="T28" s="33">
        <f t="shared" si="1"/>
        <v>13.518806917333466</v>
      </c>
      <c r="U28" s="34"/>
      <c r="V28" s="37">
        <f t="shared" si="2"/>
        <v>-205.52532661369082</v>
      </c>
      <c r="W28" s="34"/>
      <c r="X28" s="34">
        <f t="shared" si="3"/>
        <v>-6.9819478440171379E-3</v>
      </c>
      <c r="Y28" s="34"/>
      <c r="Z28" s="38">
        <f t="shared" si="4"/>
        <v>3.0000000000000001E-3</v>
      </c>
      <c r="AA28" s="48"/>
      <c r="AB28" s="40"/>
      <c r="AC28" s="33">
        <f t="shared" si="5"/>
        <v>12.398724539491944</v>
      </c>
      <c r="AD28" s="32" t="s">
        <v>7</v>
      </c>
    </row>
    <row r="29" spans="2:31">
      <c r="B29" s="44">
        <f>MAX(B$14:B27)+1</f>
        <v>8</v>
      </c>
      <c r="D29" s="4" t="s">
        <v>55</v>
      </c>
      <c r="F29" s="30" t="s">
        <v>56</v>
      </c>
      <c r="G29" s="13"/>
      <c r="H29" s="31">
        <v>1.0027777777777749</v>
      </c>
      <c r="J29" s="31">
        <v>459903.50184810511</v>
      </c>
      <c r="L29" s="33">
        <v>27004.252864840946</v>
      </c>
      <c r="M29" s="34"/>
      <c r="N29" s="35">
        <v>5.7000000000000002E-2</v>
      </c>
      <c r="O29" s="34"/>
      <c r="P29" s="33">
        <f t="shared" si="0"/>
        <v>262.1449960534199</v>
      </c>
      <c r="Q29" s="34"/>
      <c r="R29" s="36">
        <v>0.10446451143427474</v>
      </c>
      <c r="S29" s="34"/>
      <c r="T29" s="33">
        <f t="shared" si="1"/>
        <v>16.714321829483957</v>
      </c>
      <c r="U29" s="34"/>
      <c r="V29" s="37">
        <f t="shared" si="2"/>
        <v>-245.43067422393594</v>
      </c>
      <c r="W29" s="34"/>
      <c r="X29" s="34">
        <f t="shared" si="3"/>
        <v>-9.0885933949863985E-3</v>
      </c>
      <c r="Y29" s="34"/>
      <c r="Z29" s="38">
        <f t="shared" si="4"/>
        <v>4.0000000000000001E-3</v>
      </c>
      <c r="AA29" s="48"/>
      <c r="AB29" s="40"/>
      <c r="AC29" s="33">
        <f t="shared" si="5"/>
        <v>18.396140073924204</v>
      </c>
    </row>
    <row r="30" spans="2:31">
      <c r="B30" s="44">
        <f>MAX(B$14:B29)+1</f>
        <v>9</v>
      </c>
      <c r="D30" s="4" t="s">
        <v>57</v>
      </c>
      <c r="F30" s="13" t="s">
        <v>58</v>
      </c>
      <c r="G30" s="13"/>
      <c r="H30" s="31">
        <v>29.122222222222252</v>
      </c>
      <c r="J30" s="31">
        <v>269.62791580171842</v>
      </c>
      <c r="L30" s="33">
        <v>24.51727294776936</v>
      </c>
      <c r="M30" s="34"/>
      <c r="N30" s="35">
        <v>4.5999999999999999E-2</v>
      </c>
      <c r="O30" s="34"/>
      <c r="P30" s="33">
        <f t="shared" si="0"/>
        <v>0.12402884126879046</v>
      </c>
      <c r="Q30" s="34"/>
      <c r="R30" s="36">
        <f>L30/($L$30+$L$43)*$R$43</f>
        <v>3.1355431347781936E-5</v>
      </c>
      <c r="S30" s="34"/>
      <c r="T30" s="33">
        <f t="shared" si="1"/>
        <v>5.0168690156451095E-3</v>
      </c>
      <c r="U30" s="34"/>
      <c r="V30" s="37">
        <f t="shared" si="2"/>
        <v>-0.11901197225314536</v>
      </c>
      <c r="W30" s="34"/>
      <c r="X30" s="34">
        <f t="shared" si="3"/>
        <v>-4.8542092143234617E-3</v>
      </c>
      <c r="Y30" s="34"/>
      <c r="Z30" s="38">
        <f>$Z$43</f>
        <v>3.0000000000000001E-3</v>
      </c>
      <c r="AA30" s="48"/>
      <c r="AB30" s="40"/>
      <c r="AC30" s="33">
        <f t="shared" si="5"/>
        <v>8.088837474051553E-3</v>
      </c>
      <c r="AD30" s="32" t="s">
        <v>7</v>
      </c>
    </row>
    <row r="31" spans="2:31">
      <c r="B31" s="19"/>
      <c r="F31" s="13"/>
      <c r="G31" s="13"/>
      <c r="H31" s="41"/>
      <c r="J31" s="41"/>
      <c r="L31" s="41"/>
      <c r="M31" s="8"/>
      <c r="N31" s="8"/>
      <c r="O31" s="8"/>
      <c r="P31" s="41"/>
      <c r="Q31" s="8"/>
      <c r="R31" s="53"/>
      <c r="S31" s="8"/>
      <c r="T31" s="41"/>
      <c r="U31" s="8"/>
      <c r="V31" s="42"/>
      <c r="W31" s="8"/>
      <c r="X31" s="42"/>
      <c r="Y31" s="8"/>
      <c r="Z31" s="42"/>
      <c r="AA31" s="43"/>
      <c r="AB31" s="8"/>
      <c r="AC31" s="41" t="s">
        <v>7</v>
      </c>
    </row>
    <row r="32" spans="2:31">
      <c r="B32" s="19"/>
      <c r="R32" s="36"/>
      <c r="AA32" s="43"/>
      <c r="AB32" s="8"/>
    </row>
    <row r="33" spans="2:30">
      <c r="B33" s="44">
        <f>MAX(B$14:B32)+1</f>
        <v>10</v>
      </c>
      <c r="D33" s="29" t="s">
        <v>59</v>
      </c>
      <c r="H33" s="45">
        <f>SUM(H23:H30)</f>
        <v>25453.101474718143</v>
      </c>
      <c r="J33" s="45">
        <f>SUM(J23:J30)</f>
        <v>2501472.3056290983</v>
      </c>
      <c r="K33" s="45"/>
      <c r="L33" s="33">
        <f>SUM(L23:L30)</f>
        <v>193548.15490389863</v>
      </c>
      <c r="M33" s="34"/>
      <c r="N33" s="47"/>
      <c r="O33" s="34"/>
      <c r="P33" s="33">
        <f>SUM(P23:P32)</f>
        <v>1452.4282531194635</v>
      </c>
      <c r="Q33" s="34"/>
      <c r="R33" s="36"/>
      <c r="S33" s="34"/>
      <c r="T33" s="33">
        <f>SUM(T23:T32)</f>
        <v>91.73716595400991</v>
      </c>
      <c r="U33" s="34"/>
      <c r="V33" s="33">
        <f>SUM(V23:V32)</f>
        <v>-1360.6910871654538</v>
      </c>
      <c r="W33" s="34"/>
      <c r="X33" s="34"/>
      <c r="Y33" s="34"/>
      <c r="AA33" s="48"/>
      <c r="AB33" s="40"/>
      <c r="AC33" s="33">
        <f>SUM(AC23:AC32)</f>
        <v>95.900759688883895</v>
      </c>
    </row>
    <row r="34" spans="2:30">
      <c r="B34" s="19"/>
      <c r="R34" s="36"/>
      <c r="AA34" s="43"/>
      <c r="AB34" s="8"/>
    </row>
    <row r="35" spans="2:30">
      <c r="B35" s="19"/>
      <c r="D35" s="29" t="s">
        <v>60</v>
      </c>
      <c r="R35" s="36"/>
      <c r="AA35" s="43"/>
      <c r="AB35" s="8"/>
    </row>
    <row r="36" spans="2:30">
      <c r="B36" s="44">
        <f>MAX(B$14:B35)+1</f>
        <v>11</v>
      </c>
      <c r="D36" s="4" t="s">
        <v>61</v>
      </c>
      <c r="F36" s="13" t="s">
        <v>62</v>
      </c>
      <c r="G36" s="13"/>
      <c r="H36" s="31">
        <v>2460.6166666666663</v>
      </c>
      <c r="J36" s="31">
        <v>3285.7464134232382</v>
      </c>
      <c r="L36" s="33">
        <v>477.39711350964478</v>
      </c>
      <c r="M36" s="34"/>
      <c r="N36" s="35">
        <v>4.5999999999999999E-2</v>
      </c>
      <c r="O36" s="34"/>
      <c r="P36" s="33">
        <f>J36*N36/100</f>
        <v>1.5114433501746896</v>
      </c>
      <c r="Q36" s="34"/>
      <c r="R36" s="36">
        <f>L36/($L$30+$L$43)*$R$43</f>
        <v>6.1054883429206342E-4</v>
      </c>
      <c r="S36" s="34"/>
      <c r="T36" s="33">
        <f>R36*$T$51</f>
        <v>9.7687813486730141E-2</v>
      </c>
      <c r="U36" s="34"/>
      <c r="V36" s="37">
        <f>T36-P36</f>
        <v>-1.4137555366879595</v>
      </c>
      <c r="W36" s="34"/>
      <c r="X36" s="34">
        <f>V36/L36</f>
        <v>-2.9613826658786398E-3</v>
      </c>
      <c r="Y36" s="34"/>
      <c r="Z36" s="38">
        <f>$Z$43</f>
        <v>3.0000000000000001E-3</v>
      </c>
      <c r="AA36" s="48"/>
      <c r="AB36" s="40"/>
      <c r="AC36" s="33">
        <f>Z36*J36/100</f>
        <v>9.8572392402697148E-2</v>
      </c>
    </row>
    <row r="37" spans="2:30">
      <c r="B37" s="44">
        <f>MAX(B$14:B36)+1</f>
        <v>12</v>
      </c>
      <c r="D37" s="4" t="s">
        <v>63</v>
      </c>
      <c r="F37" s="13" t="s">
        <v>64</v>
      </c>
      <c r="G37" s="13"/>
      <c r="H37" s="31">
        <v>177</v>
      </c>
      <c r="J37" s="31">
        <v>3932.5577854698172</v>
      </c>
      <c r="L37" s="33">
        <v>782.10020538016261</v>
      </c>
      <c r="M37" s="34"/>
      <c r="N37" s="35">
        <v>4.5999999999999999E-2</v>
      </c>
      <c r="O37" s="34"/>
      <c r="P37" s="33">
        <f>J37*N37/100</f>
        <v>1.8089765813161158</v>
      </c>
      <c r="Q37" s="34"/>
      <c r="R37" s="36">
        <f>L37/($L$30+$L$43)*$R$43</f>
        <v>1.0002372347498382E-3</v>
      </c>
      <c r="S37" s="34"/>
      <c r="T37" s="33">
        <f>R37*$T$51</f>
        <v>0.16003795755997413</v>
      </c>
      <c r="U37" s="34"/>
      <c r="V37" s="37">
        <f>T37-P37</f>
        <v>-1.6489386237561416</v>
      </c>
      <c r="W37" s="34"/>
      <c r="X37" s="34">
        <f>V37/L37</f>
        <v>-2.1083470026128262E-3</v>
      </c>
      <c r="Y37" s="34"/>
      <c r="Z37" s="38">
        <f>$Z$43</f>
        <v>3.0000000000000001E-3</v>
      </c>
      <c r="AA37" s="48"/>
      <c r="AB37" s="40"/>
      <c r="AC37" s="33">
        <f>Z37*J37/100</f>
        <v>0.11797673356409452</v>
      </c>
    </row>
    <row r="38" spans="2:30">
      <c r="B38" s="44">
        <f>MAX(B$14:B37)+1</f>
        <v>13</v>
      </c>
      <c r="D38" s="4" t="s">
        <v>63</v>
      </c>
      <c r="F38" s="13">
        <v>52</v>
      </c>
      <c r="G38" s="13"/>
      <c r="H38" s="31">
        <v>1.1666666666666667</v>
      </c>
      <c r="J38" s="31">
        <v>212.19525038227087</v>
      </c>
      <c r="L38" s="33">
        <v>37.12014195369148</v>
      </c>
      <c r="M38" s="34"/>
      <c r="N38" s="35">
        <v>4.5999999999999999E-2</v>
      </c>
      <c r="O38" s="34"/>
      <c r="P38" s="33">
        <f>J38*N38/100</f>
        <v>9.7609815175844605E-2</v>
      </c>
      <c r="Q38" s="34"/>
      <c r="R38" s="36">
        <f>L38/($L$30+$L$43)*$R$43</f>
        <v>4.7473390092301808E-5</v>
      </c>
      <c r="S38" s="34"/>
      <c r="T38" s="33">
        <f>R38*$T$51</f>
        <v>7.5957424147682891E-3</v>
      </c>
      <c r="U38" s="34"/>
      <c r="V38" s="37">
        <f>T38-P38</f>
        <v>-9.0014072761076314E-2</v>
      </c>
      <c r="W38" s="34"/>
      <c r="X38" s="34">
        <f>V38/L38</f>
        <v>-2.4249388074369877E-3</v>
      </c>
      <c r="Y38" s="34"/>
      <c r="Z38" s="38">
        <f>$Z$43</f>
        <v>3.0000000000000001E-3</v>
      </c>
      <c r="AA38" s="48"/>
      <c r="AB38" s="40"/>
      <c r="AC38" s="33">
        <f>Z38*J38/100</f>
        <v>6.3658575114681256E-3</v>
      </c>
    </row>
    <row r="39" spans="2:30">
      <c r="B39" s="44">
        <f>MAX(B$14:B38)+1</f>
        <v>14</v>
      </c>
      <c r="D39" s="4" t="s">
        <v>63</v>
      </c>
      <c r="F39" s="13">
        <v>53</v>
      </c>
      <c r="G39" s="13"/>
      <c r="H39" s="31">
        <v>6.7847222222222223</v>
      </c>
      <c r="J39" s="31">
        <v>4656.9131691638522</v>
      </c>
      <c r="L39" s="33">
        <v>331.29827748414397</v>
      </c>
      <c r="M39" s="34"/>
      <c r="N39" s="35">
        <v>4.5999999999999999E-2</v>
      </c>
      <c r="O39" s="34"/>
      <c r="P39" s="33">
        <f>J39*N39/100</f>
        <v>2.1421800578153718</v>
      </c>
      <c r="Q39" s="34"/>
      <c r="R39" s="36">
        <f>L39/($L$30+$L$43)*$R$43</f>
        <v>4.2370129897491759E-4</v>
      </c>
      <c r="S39" s="34"/>
      <c r="T39" s="33">
        <f>R39*$T$51</f>
        <v>6.7792207835986815E-2</v>
      </c>
      <c r="U39" s="34"/>
      <c r="V39" s="37">
        <f>T39-P39</f>
        <v>-2.0743878499793849</v>
      </c>
      <c r="W39" s="34"/>
      <c r="X39" s="34">
        <f>V39/L39</f>
        <v>-6.2613903873335579E-3</v>
      </c>
      <c r="Y39" s="34"/>
      <c r="Z39" s="38">
        <f>$Z$43</f>
        <v>3.0000000000000001E-3</v>
      </c>
      <c r="AA39" s="48"/>
      <c r="AB39" s="40"/>
      <c r="AC39" s="33">
        <f>Z39*J39/100</f>
        <v>0.13970739507491556</v>
      </c>
      <c r="AD39" s="32" t="s">
        <v>7</v>
      </c>
    </row>
    <row r="40" spans="2:30">
      <c r="B40" s="44">
        <f>MAX(B$14:B39)+1</f>
        <v>15</v>
      </c>
      <c r="D40" s="4" t="s">
        <v>63</v>
      </c>
      <c r="F40" s="13">
        <v>57</v>
      </c>
      <c r="G40" s="13"/>
      <c r="H40" s="31">
        <v>34.833333333333336</v>
      </c>
      <c r="J40" s="31">
        <v>1753.793178375513</v>
      </c>
      <c r="L40" s="33">
        <v>223.41646192102368</v>
      </c>
      <c r="M40" s="34"/>
      <c r="N40" s="35">
        <v>4.5999999999999999E-2</v>
      </c>
      <c r="O40" s="34"/>
      <c r="P40" s="33">
        <f>J40*N40/100</f>
        <v>0.80674486205273599</v>
      </c>
      <c r="Q40" s="34"/>
      <c r="R40" s="36">
        <f>L40/($L$30+$L$43)*$R$43</f>
        <v>2.8572996469276391E-4</v>
      </c>
      <c r="S40" s="34"/>
      <c r="T40" s="33">
        <f>R40*$T$51</f>
        <v>4.5716794350842221E-2</v>
      </c>
      <c r="U40" s="34"/>
      <c r="V40" s="37">
        <f>T40-P40</f>
        <v>-0.7610280677018938</v>
      </c>
      <c r="W40" s="34"/>
      <c r="X40" s="34">
        <f>V40/L40</f>
        <v>-3.4063204705609938E-3</v>
      </c>
      <c r="Y40" s="34"/>
      <c r="Z40" s="38">
        <f>$Z$43</f>
        <v>3.0000000000000001E-3</v>
      </c>
      <c r="AA40" s="48"/>
      <c r="AB40" s="40"/>
      <c r="AC40" s="33">
        <f>Z40*J40/100</f>
        <v>5.2613795351265397E-2</v>
      </c>
    </row>
    <row r="41" spans="2:30">
      <c r="B41" s="19"/>
      <c r="H41" s="41"/>
      <c r="J41" s="41"/>
      <c r="L41" s="41"/>
      <c r="M41" s="8"/>
      <c r="N41" s="8"/>
      <c r="O41" s="8"/>
      <c r="P41" s="41"/>
      <c r="Q41" s="8"/>
      <c r="R41" s="53"/>
      <c r="S41" s="8"/>
      <c r="T41" s="41"/>
      <c r="U41" s="8"/>
      <c r="V41" s="42"/>
      <c r="W41" s="8"/>
      <c r="X41" s="42"/>
      <c r="Y41" s="8"/>
      <c r="Z41" s="42"/>
      <c r="AA41" s="43"/>
      <c r="AB41" s="8"/>
      <c r="AC41" s="41"/>
    </row>
    <row r="42" spans="2:30">
      <c r="B42" s="19"/>
      <c r="R42" s="36"/>
      <c r="AA42" s="43"/>
      <c r="AB42" s="8"/>
    </row>
    <row r="43" spans="2:30">
      <c r="B43" s="44">
        <f>MAX(B$14:B42)+1</f>
        <v>16</v>
      </c>
      <c r="D43" s="29" t="s">
        <v>65</v>
      </c>
      <c r="H43" s="54">
        <f>SUM(H36:H40)</f>
        <v>2680.4013888888885</v>
      </c>
      <c r="J43" s="54">
        <f>SUM(J36:J40)</f>
        <v>13841.205796814691</v>
      </c>
      <c r="K43" s="45"/>
      <c r="L43" s="55">
        <f>SUM(L36:L40)</f>
        <v>1851.3322002486666</v>
      </c>
      <c r="M43" s="40"/>
      <c r="N43" s="56">
        <v>4.5999999999999999E-2</v>
      </c>
      <c r="O43" s="40"/>
      <c r="P43" s="55">
        <f>SUM(P36:P42)</f>
        <v>6.3669546665347578</v>
      </c>
      <c r="Q43" s="40"/>
      <c r="R43" s="53">
        <v>2.3990461541496672E-3</v>
      </c>
      <c r="S43" s="40"/>
      <c r="T43" s="55">
        <f>SUM(T36:T42)</f>
        <v>0.37883051564830161</v>
      </c>
      <c r="U43" s="40"/>
      <c r="V43" s="55">
        <f>SUM(V36:V42)</f>
        <v>-5.9881241508864562</v>
      </c>
      <c r="W43" s="40"/>
      <c r="X43" s="57"/>
      <c r="Y43" s="40"/>
      <c r="Z43" s="38">
        <f>ROUND(T43/J43*100,3)</f>
        <v>3.0000000000000001E-3</v>
      </c>
      <c r="AA43" s="58"/>
      <c r="AB43" s="40"/>
      <c r="AC43" s="55">
        <f>SUM(AC36:AC42)</f>
        <v>0.41523617390444079</v>
      </c>
    </row>
    <row r="44" spans="2:30">
      <c r="B44" s="19"/>
      <c r="D44" s="29"/>
      <c r="H44" s="59"/>
      <c r="J44" s="59"/>
      <c r="K44" s="45"/>
      <c r="L44" s="60"/>
      <c r="M44" s="60"/>
      <c r="N44" s="60"/>
      <c r="O44" s="60"/>
      <c r="P44" s="60"/>
      <c r="Q44" s="60"/>
      <c r="R44" s="36"/>
      <c r="S44" s="60"/>
      <c r="T44" s="60"/>
      <c r="U44" s="60"/>
      <c r="V44" s="60"/>
      <c r="W44" s="60"/>
      <c r="X44" s="60"/>
      <c r="Y44" s="60"/>
      <c r="AA44" s="43"/>
      <c r="AB44" s="60"/>
      <c r="AC44" s="60"/>
    </row>
    <row r="45" spans="2:30" ht="16.5" thickBot="1">
      <c r="B45" s="44">
        <f>MAX(B$14:B44)+1</f>
        <v>17</v>
      </c>
      <c r="D45" s="61" t="s">
        <v>66</v>
      </c>
      <c r="H45" s="62">
        <f>H43+H33+H20</f>
        <v>133392.15264854633</v>
      </c>
      <c r="J45" s="62">
        <f>J43+J33+J20</f>
        <v>4085100.1489150897</v>
      </c>
      <c r="L45" s="63">
        <f>L43+L33+L20</f>
        <v>340754.72713688063</v>
      </c>
      <c r="M45" s="40"/>
      <c r="N45" s="40"/>
      <c r="O45" s="40"/>
      <c r="P45" s="63">
        <f>P43+P33+P20</f>
        <v>2494.854388528855</v>
      </c>
      <c r="Q45" s="40"/>
      <c r="R45" s="64"/>
      <c r="S45" s="40"/>
      <c r="T45" s="63">
        <f>T43+T33+T20</f>
        <v>160</v>
      </c>
      <c r="U45" s="40"/>
      <c r="V45" s="63">
        <f>V43+V33+V20</f>
        <v>-2334.854388528855</v>
      </c>
      <c r="W45" s="40"/>
      <c r="X45" s="65">
        <f>V45/L45</f>
        <v>-6.8520087986657565E-3</v>
      </c>
      <c r="Y45" s="40"/>
      <c r="AA45" s="39" t="s">
        <v>7</v>
      </c>
      <c r="AB45" s="40"/>
      <c r="AC45" s="63">
        <f>AC43+AC33+AC20</f>
        <v>159.10746136235542</v>
      </c>
    </row>
    <row r="46" spans="2:30" ht="16.5" thickTop="1">
      <c r="B46" s="114" t="s">
        <v>7</v>
      </c>
      <c r="C46" s="115"/>
      <c r="D46" s="115"/>
      <c r="H46" s="66"/>
      <c r="J46" s="66"/>
      <c r="L46" s="67"/>
      <c r="M46" s="40"/>
      <c r="N46" s="40"/>
      <c r="O46" s="40"/>
      <c r="P46" s="67"/>
      <c r="Q46" s="40"/>
      <c r="R46" s="36"/>
      <c r="S46" s="40"/>
      <c r="T46" s="67"/>
      <c r="U46" s="40"/>
      <c r="V46" s="40"/>
      <c r="W46" s="40"/>
      <c r="X46" s="40"/>
      <c r="Y46" s="40"/>
      <c r="AA46" s="48"/>
      <c r="AB46" s="40"/>
      <c r="AC46" s="67"/>
    </row>
    <row r="47" spans="2:30">
      <c r="B47" s="44">
        <v>18</v>
      </c>
      <c r="D47" s="4" t="s">
        <v>67</v>
      </c>
      <c r="H47" s="66"/>
      <c r="J47" s="66"/>
      <c r="L47" s="37">
        <v>594.93922999999995</v>
      </c>
      <c r="M47" s="68"/>
      <c r="N47" s="68"/>
      <c r="O47" s="68"/>
      <c r="P47" s="37"/>
      <c r="Q47" s="68"/>
      <c r="R47" s="36"/>
      <c r="S47" s="68"/>
      <c r="T47" s="37"/>
      <c r="U47" s="68"/>
      <c r="V47" s="68"/>
      <c r="W47" s="68"/>
      <c r="X47" s="68"/>
      <c r="Y47" s="68"/>
      <c r="AA47" s="48"/>
      <c r="AB47" s="40"/>
      <c r="AC47" s="37"/>
    </row>
    <row r="48" spans="2:30">
      <c r="B48" s="44"/>
      <c r="H48" s="66"/>
      <c r="J48" s="66"/>
      <c r="L48" s="67"/>
      <c r="M48" s="68"/>
      <c r="N48" s="68"/>
      <c r="O48" s="68"/>
      <c r="P48" s="67"/>
      <c r="Q48" s="68"/>
      <c r="R48" s="36"/>
      <c r="S48" s="68"/>
      <c r="T48" s="67"/>
      <c r="U48" s="68"/>
      <c r="V48" s="68"/>
      <c r="W48" s="68"/>
      <c r="X48" s="68"/>
      <c r="Y48" s="68"/>
      <c r="AA48" s="48"/>
      <c r="AB48" s="40"/>
      <c r="AC48" s="67"/>
    </row>
    <row r="49" spans="2:29" ht="16.5" thickBot="1">
      <c r="B49" s="44">
        <v>19</v>
      </c>
      <c r="D49" s="69" t="s">
        <v>68</v>
      </c>
      <c r="H49" s="70">
        <f>SUM(H45:H47)</f>
        <v>133392.15264854633</v>
      </c>
      <c r="J49" s="70">
        <f>SUM(J45:J47)</f>
        <v>4085100.1489150897</v>
      </c>
      <c r="L49" s="63">
        <f>SUM(L45:L47)</f>
        <v>341349.66636688064</v>
      </c>
      <c r="P49" s="63">
        <f>P45</f>
        <v>2494.854388528855</v>
      </c>
      <c r="R49" s="64"/>
      <c r="T49" s="63">
        <f>T45</f>
        <v>160</v>
      </c>
      <c r="V49" s="63">
        <f>V45</f>
        <v>-2334.854388528855</v>
      </c>
      <c r="X49" s="65">
        <f>V49/L49</f>
        <v>-6.8400664145350796E-3</v>
      </c>
      <c r="AA49" s="8"/>
      <c r="AB49" s="8"/>
      <c r="AC49" s="63">
        <f>AC45</f>
        <v>159.10746136235542</v>
      </c>
    </row>
    <row r="50" spans="2:29" ht="18.75" customHeight="1" thickTop="1">
      <c r="I50" s="32"/>
      <c r="R50" s="71"/>
    </row>
    <row r="51" spans="2:29" ht="18.75" customHeight="1">
      <c r="T51" s="1">
        <v>160</v>
      </c>
    </row>
    <row r="52" spans="2:29">
      <c r="L52" s="72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2:29"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</sheetData>
  <mergeCells count="7">
    <mergeCell ref="B46:D46"/>
    <mergeCell ref="B2:Z2"/>
    <mergeCell ref="B3:Z3"/>
    <mergeCell ref="B4:Z4"/>
    <mergeCell ref="B5:Z5"/>
    <mergeCell ref="B6:Z6"/>
    <mergeCell ref="B7:Z7"/>
  </mergeCells>
  <printOptions horizontalCentered="1"/>
  <pageMargins left="0.25" right="0.25" top="0.5" bottom="0.5" header="0.5" footer="0.25"/>
  <pageSetup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6"/>
  <sheetViews>
    <sheetView view="pageBreakPreview" zoomScale="75" zoomScaleNormal="100" workbookViewId="0"/>
  </sheetViews>
  <sheetFormatPr defaultColWidth="9.7109375" defaultRowHeight="15"/>
  <cols>
    <col min="1" max="1" width="5.28515625" style="73" customWidth="1"/>
    <col min="2" max="2" width="9.7109375" style="73"/>
    <col min="3" max="3" width="3.140625" style="73" customWidth="1"/>
    <col min="4" max="4" width="8" style="73" bestFit="1" customWidth="1"/>
    <col min="5" max="5" width="3.28515625" style="73" customWidth="1"/>
    <col min="6" max="6" width="9.42578125" style="73" bestFit="1" customWidth="1"/>
    <col min="7" max="7" width="3.28515625" style="73" customWidth="1"/>
    <col min="8" max="8" width="7.7109375" style="73" bestFit="1" customWidth="1"/>
    <col min="9" max="9" width="3.28515625" style="73" customWidth="1"/>
    <col min="10" max="10" width="9.42578125" style="73" bestFit="1" customWidth="1"/>
    <col min="11" max="11" width="3" style="73" customWidth="1"/>
    <col min="12" max="12" width="9.42578125" style="73" bestFit="1" customWidth="1"/>
    <col min="13" max="13" width="3" style="73" customWidth="1"/>
    <col min="14" max="14" width="10.28515625" style="73" bestFit="1" customWidth="1"/>
    <col min="15" max="15" width="3.28515625" style="73" customWidth="1"/>
    <col min="16" max="16" width="8.85546875" style="73" bestFit="1" customWidth="1"/>
    <col min="17" max="17" width="3.28515625" style="73" customWidth="1"/>
    <col min="18" max="18" width="8.85546875" style="73" customWidth="1"/>
    <col min="19" max="19" width="3.5703125" style="73" customWidth="1"/>
    <col min="20" max="20" width="8.28515625" style="73" customWidth="1"/>
    <col min="21" max="21" width="2.5703125" style="73" customWidth="1"/>
    <col min="22" max="22" width="17.28515625" style="73" customWidth="1"/>
    <col min="23" max="23" width="17.42578125" style="73" customWidth="1"/>
    <col min="24" max="24" width="10.42578125" style="73" customWidth="1"/>
    <col min="25" max="25" width="9.42578125" style="73" customWidth="1"/>
    <col min="26" max="26" width="1.85546875" style="73" customWidth="1"/>
    <col min="27" max="16384" width="9.7109375" style="73"/>
  </cols>
  <sheetData>
    <row r="1" spans="1:29" ht="18.75">
      <c r="B1" s="118" t="s">
        <v>69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</row>
    <row r="2" spans="1:29" ht="18.75">
      <c r="A2" s="74"/>
      <c r="B2" s="118" t="s">
        <v>70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29" ht="18.75">
      <c r="A3" s="74"/>
      <c r="B3" s="118" t="s">
        <v>71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5" spans="1:29" ht="18.75" thickBot="1">
      <c r="J5" s="119" t="s">
        <v>72</v>
      </c>
      <c r="K5" s="119"/>
      <c r="L5" s="119"/>
      <c r="M5" s="119"/>
      <c r="N5" s="119"/>
      <c r="O5" s="119"/>
      <c r="P5" s="119"/>
      <c r="Q5" s="75"/>
      <c r="R5" s="75"/>
      <c r="S5" s="75"/>
      <c r="T5" s="76"/>
      <c r="U5" s="74"/>
      <c r="V5" s="76"/>
    </row>
    <row r="6" spans="1:29">
      <c r="D6" s="119" t="s">
        <v>73</v>
      </c>
      <c r="E6" s="119"/>
      <c r="F6" s="119"/>
      <c r="G6" s="119"/>
      <c r="H6" s="119"/>
      <c r="I6" s="75"/>
      <c r="J6" s="75" t="s">
        <v>7</v>
      </c>
      <c r="K6" s="77"/>
      <c r="L6" s="77" t="s">
        <v>7</v>
      </c>
      <c r="N6" s="119" t="s">
        <v>18</v>
      </c>
      <c r="O6" s="119"/>
      <c r="P6" s="119"/>
      <c r="Q6" s="75"/>
      <c r="R6" s="119" t="s">
        <v>74</v>
      </c>
      <c r="S6" s="119"/>
      <c r="T6" s="119"/>
      <c r="U6" s="77"/>
      <c r="V6" s="78" t="s">
        <v>75</v>
      </c>
      <c r="W6" s="79"/>
      <c r="X6" s="78" t="s">
        <v>76</v>
      </c>
      <c r="Y6" s="79"/>
    </row>
    <row r="7" spans="1:29" ht="18">
      <c r="B7" s="80" t="s">
        <v>77</v>
      </c>
      <c r="D7" s="81" t="s">
        <v>6</v>
      </c>
      <c r="E7" s="82" t="s">
        <v>7</v>
      </c>
      <c r="F7" s="81" t="s">
        <v>11</v>
      </c>
      <c r="G7" s="82" t="s">
        <v>7</v>
      </c>
      <c r="H7" s="80" t="s">
        <v>18</v>
      </c>
      <c r="I7" s="75"/>
      <c r="J7" s="81" t="s">
        <v>6</v>
      </c>
      <c r="K7" s="82" t="s">
        <v>7</v>
      </c>
      <c r="L7" s="81" t="s">
        <v>11</v>
      </c>
      <c r="M7" s="82" t="s">
        <v>7</v>
      </c>
      <c r="N7" s="80" t="s">
        <v>78</v>
      </c>
      <c r="P7" s="83" t="s">
        <v>26</v>
      </c>
      <c r="Q7" s="77"/>
      <c r="R7" s="84" t="s">
        <v>78</v>
      </c>
      <c r="S7" s="77"/>
      <c r="T7" s="80" t="s">
        <v>26</v>
      </c>
      <c r="V7" s="85" t="s">
        <v>79</v>
      </c>
      <c r="W7" s="86">
        <v>7.75</v>
      </c>
      <c r="X7" s="85"/>
      <c r="Y7" s="86">
        <f>W7</f>
        <v>7.75</v>
      </c>
    </row>
    <row r="8" spans="1:29">
      <c r="B8" s="87"/>
      <c r="D8" s="87"/>
      <c r="E8" s="87"/>
      <c r="F8" s="87"/>
      <c r="J8" s="87"/>
      <c r="K8" s="87"/>
      <c r="L8" s="87"/>
      <c r="V8" s="85" t="s">
        <v>80</v>
      </c>
      <c r="W8" s="88">
        <f>6.548+Y10+Y18</f>
        <v>6.9649999999999999</v>
      </c>
      <c r="X8" s="85"/>
      <c r="Y8" s="89">
        <f>6.548+Y10+Y19</f>
        <v>6.9029999999999996</v>
      </c>
      <c r="Z8" s="90"/>
      <c r="AA8" s="91">
        <f>(Y8-W8)/W8</f>
        <v>-8.9016511127064293E-3</v>
      </c>
    </row>
    <row r="9" spans="1:29" ht="15.75" thickBot="1">
      <c r="B9" s="92">
        <v>50</v>
      </c>
      <c r="D9" s="93">
        <f>$W$7</f>
        <v>7.75</v>
      </c>
      <c r="F9" s="93">
        <f>$Y$7</f>
        <v>7.75</v>
      </c>
      <c r="H9" s="93">
        <f>F9-D9</f>
        <v>0</v>
      </c>
      <c r="I9" s="93"/>
      <c r="J9" s="93">
        <f>ROUND((($B9*W$8/100))+((B9*$Y$13)/100),2)+Y15</f>
        <v>3.8499999999999996</v>
      </c>
      <c r="L9" s="93">
        <f>ROUND((($B9*Y$8/100))+((B9*$Y$14)/100),2)+Y16</f>
        <v>3.8200000000000003</v>
      </c>
      <c r="N9" s="94">
        <f>L9-J9</f>
        <v>-2.9999999999999361E-2</v>
      </c>
      <c r="P9" s="95">
        <f>(L9-J9)/J9</f>
        <v>-7.7922077922076265E-3</v>
      </c>
      <c r="Q9" s="95"/>
      <c r="R9" s="96">
        <f>F9+L9-D9-J9</f>
        <v>-2.9999999999999361E-2</v>
      </c>
      <c r="S9" s="95"/>
      <c r="T9" s="95">
        <f>(F9+L9-D9-J9)/(D9+J9)</f>
        <v>-2.586206896551669E-3</v>
      </c>
      <c r="V9" s="97" t="s">
        <v>81</v>
      </c>
      <c r="W9" s="98">
        <f>10.35+Y10+Y18</f>
        <v>10.767000000000001</v>
      </c>
      <c r="X9" s="97"/>
      <c r="Y9" s="98">
        <f>10.35+Y11+Y19</f>
        <v>10.705</v>
      </c>
      <c r="AA9" s="91">
        <f>(Y9-W9)/W9</f>
        <v>-5.7583356552429795E-3</v>
      </c>
    </row>
    <row r="10" spans="1:29">
      <c r="B10" s="92">
        <v>100</v>
      </c>
      <c r="D10" s="93">
        <f>$W$7</f>
        <v>7.75</v>
      </c>
      <c r="F10" s="93">
        <f>$Y$7</f>
        <v>7.75</v>
      </c>
      <c r="H10" s="93">
        <f t="shared" ref="H10:H32" si="0">F10-D10</f>
        <v>0</v>
      </c>
      <c r="I10" s="93"/>
      <c r="J10" s="93">
        <f>ROUND((($B10*W$8/100))+((B10*$Y$13)/100),2)+Y15</f>
        <v>6.96</v>
      </c>
      <c r="L10" s="93">
        <f>ROUND((($B10*Y$8/100))+((B10*$Y$14)/100),2)+Y16</f>
        <v>6.9</v>
      </c>
      <c r="N10" s="94">
        <f>L10-J10</f>
        <v>-5.9999999999999609E-2</v>
      </c>
      <c r="P10" s="95">
        <f>(L10-J10)/J10</f>
        <v>-8.6206896551723582E-3</v>
      </c>
      <c r="Q10" s="95"/>
      <c r="R10" s="96">
        <f t="shared" ref="R10:R32" si="1">F10+L10-D10-J10</f>
        <v>-5.9999999999999609E-2</v>
      </c>
      <c r="S10" s="95"/>
      <c r="T10" s="95">
        <f t="shared" ref="T10:T32" si="2">(F10+L10-D10-J10)/(D10+J10)</f>
        <v>-4.0788579197824342E-3</v>
      </c>
      <c r="V10" s="99"/>
      <c r="W10" s="99" t="s">
        <v>82</v>
      </c>
      <c r="X10" s="99"/>
      <c r="Y10" s="100">
        <v>0.35099999999999998</v>
      </c>
      <c r="AC10" s="94"/>
    </row>
    <row r="11" spans="1:29">
      <c r="B11" s="92">
        <v>150</v>
      </c>
      <c r="D11" s="93">
        <f>$W$7</f>
        <v>7.75</v>
      </c>
      <c r="F11" s="93">
        <f>$Y$7</f>
        <v>7.75</v>
      </c>
      <c r="H11" s="93">
        <f t="shared" si="0"/>
        <v>0</v>
      </c>
      <c r="I11" s="93"/>
      <c r="J11" s="93">
        <f>ROUND((($B11*W$8/100))+((B11*$Y$13)/100),2)+Y15</f>
        <v>10.07</v>
      </c>
      <c r="L11" s="93">
        <f>ROUND((($B11*Y$8/100))+((B11*$Y$14)/100),2)+Y16</f>
        <v>9.9700000000000006</v>
      </c>
      <c r="N11" s="94">
        <f>L11-J11</f>
        <v>-9.9999999999999645E-2</v>
      </c>
      <c r="P11" s="95">
        <f>(L11-J11)/J11</f>
        <v>-9.9304865938430621E-3</v>
      </c>
      <c r="Q11" s="95"/>
      <c r="R11" s="96">
        <f t="shared" si="1"/>
        <v>-0.10000000000000142</v>
      </c>
      <c r="S11" s="95"/>
      <c r="T11" s="95">
        <f t="shared" si="2"/>
        <v>-5.6116722783390244E-3</v>
      </c>
      <c r="V11" s="99"/>
      <c r="W11" s="99"/>
      <c r="X11" s="99"/>
      <c r="Y11" s="100">
        <v>0.35099999999999998</v>
      </c>
      <c r="Z11" s="101"/>
      <c r="AC11" s="94"/>
    </row>
    <row r="12" spans="1:29">
      <c r="D12" s="96"/>
      <c r="F12" s="96"/>
      <c r="J12" s="96"/>
      <c r="L12" s="96"/>
      <c r="V12" s="99"/>
      <c r="W12" s="99"/>
      <c r="X12" s="99"/>
      <c r="Y12" s="102"/>
      <c r="AC12" s="94"/>
    </row>
    <row r="13" spans="1:29">
      <c r="B13" s="92">
        <v>200</v>
      </c>
      <c r="D13" s="93">
        <f>$W$7</f>
        <v>7.75</v>
      </c>
      <c r="F13" s="93">
        <f>$Y$7</f>
        <v>7.75</v>
      </c>
      <c r="H13" s="93">
        <f t="shared" si="0"/>
        <v>0</v>
      </c>
      <c r="I13" s="93"/>
      <c r="J13" s="93">
        <f>ROUND((($B13*W$8/100))+((B13*$Y$13)/100),2)+Y15</f>
        <v>13.18</v>
      </c>
      <c r="L13" s="93">
        <f>ROUND((($B13*Y$8/100))+((B13*$Y$14)/100),2)+Y16</f>
        <v>13.05</v>
      </c>
      <c r="N13" s="94">
        <f>L13-J13</f>
        <v>-0.12999999999999901</v>
      </c>
      <c r="P13" s="95">
        <f>(L13-J13)/J13</f>
        <v>-9.8634294385431722E-3</v>
      </c>
      <c r="Q13" s="95"/>
      <c r="R13" s="96">
        <f t="shared" si="1"/>
        <v>-0.12999999999999901</v>
      </c>
      <c r="S13" s="95"/>
      <c r="T13" s="95">
        <f t="shared" si="2"/>
        <v>-6.2111801242235552E-3</v>
      </c>
      <c r="V13" s="99"/>
      <c r="W13" s="99" t="s">
        <v>83</v>
      </c>
      <c r="X13" s="99"/>
      <c r="Y13" s="100">
        <v>-0.747</v>
      </c>
      <c r="AA13" s="73" t="s">
        <v>7</v>
      </c>
      <c r="AC13" s="94"/>
    </row>
    <row r="14" spans="1:29">
      <c r="B14" s="92">
        <v>300</v>
      </c>
      <c r="D14" s="93">
        <f>$W$7</f>
        <v>7.75</v>
      </c>
      <c r="F14" s="93">
        <f>$Y$7</f>
        <v>7.75</v>
      </c>
      <c r="H14" s="93">
        <f t="shared" si="0"/>
        <v>0</v>
      </c>
      <c r="I14" s="93"/>
      <c r="J14" s="93">
        <f>ROUND((($B14*W$8/100))+((B14*$Y$13)/100),2)+Y15</f>
        <v>19.389999999999997</v>
      </c>
      <c r="L14" s="93">
        <f>ROUND((($B14*Y$8/100))+((B14*$Y$14)/100),2)+Y16</f>
        <v>19.209999999999997</v>
      </c>
      <c r="N14" s="94">
        <f>L14-J14</f>
        <v>-0.17999999999999972</v>
      </c>
      <c r="P14" s="95">
        <f>(L14-J14)/J14</f>
        <v>-9.2831356369262371E-3</v>
      </c>
      <c r="Q14" s="95"/>
      <c r="R14" s="96">
        <f t="shared" si="1"/>
        <v>-0.17999999999999972</v>
      </c>
      <c r="S14" s="95"/>
      <c r="T14" s="95">
        <f t="shared" si="2"/>
        <v>-6.6322770817980742E-3</v>
      </c>
      <c r="V14" s="99"/>
      <c r="W14" s="73" t="s">
        <v>7</v>
      </c>
      <c r="X14" s="73" t="s">
        <v>7</v>
      </c>
      <c r="Y14" s="100">
        <v>-0.747</v>
      </c>
      <c r="AC14" s="94"/>
    </row>
    <row r="15" spans="1:29">
      <c r="B15" s="92">
        <v>400</v>
      </c>
      <c r="D15" s="93">
        <f>$W$7</f>
        <v>7.75</v>
      </c>
      <c r="F15" s="93">
        <f>$Y$7</f>
        <v>7.75</v>
      </c>
      <c r="H15" s="93">
        <f t="shared" si="0"/>
        <v>0</v>
      </c>
      <c r="I15" s="93"/>
      <c r="J15" s="93">
        <f>ROUND((($B15*W$8/100))+((B15*$Y$13)/100),2)+Y15</f>
        <v>25.61</v>
      </c>
      <c r="L15" s="93">
        <f>ROUND((($B15*Y$8/100))+((B15*$Y$14)/100),2)+Y16</f>
        <v>25.36</v>
      </c>
      <c r="N15" s="94">
        <f>L15-J15</f>
        <v>-0.25</v>
      </c>
      <c r="P15" s="95">
        <f>(L15-J15)/J15</f>
        <v>-9.7618117922686452E-3</v>
      </c>
      <c r="Q15" s="95"/>
      <c r="R15" s="96">
        <f t="shared" si="1"/>
        <v>-0.25</v>
      </c>
      <c r="S15" s="95"/>
      <c r="T15" s="95">
        <f t="shared" si="2"/>
        <v>-7.4940047961630698E-3</v>
      </c>
      <c r="W15" s="73" t="s">
        <v>84</v>
      </c>
      <c r="Y15" s="94">
        <v>0.74</v>
      </c>
      <c r="Z15" s="73" t="s">
        <v>7</v>
      </c>
      <c r="AC15" s="94"/>
    </row>
    <row r="16" spans="1:29">
      <c r="B16" s="92">
        <v>500</v>
      </c>
      <c r="D16" s="93">
        <f>$W$7</f>
        <v>7.75</v>
      </c>
      <c r="F16" s="93">
        <f>$Y$7</f>
        <v>7.75</v>
      </c>
      <c r="H16" s="93">
        <f t="shared" si="0"/>
        <v>0</v>
      </c>
      <c r="I16" s="93"/>
      <c r="J16" s="93">
        <f>ROUND((($B16*W$8/100))+((B16*$Y$13)/100),2)+Y15</f>
        <v>31.83</v>
      </c>
      <c r="L16" s="93">
        <f>ROUND((($B16*Y$8/100))+((B16*$Y$14)/100),2)+Y16</f>
        <v>31.52</v>
      </c>
      <c r="N16" s="94">
        <f>L16-J16</f>
        <v>-0.30999999999999872</v>
      </c>
      <c r="P16" s="95">
        <f>(L16-J16)/J16</f>
        <v>-9.7392397109644594E-3</v>
      </c>
      <c r="Q16" s="95"/>
      <c r="R16" s="96">
        <f t="shared" si="1"/>
        <v>-0.31000000000000227</v>
      </c>
      <c r="S16" s="95"/>
      <c r="T16" s="95">
        <f t="shared" si="2"/>
        <v>-7.832238504295156E-3</v>
      </c>
      <c r="W16" s="73" t="s">
        <v>85</v>
      </c>
      <c r="Y16" s="94">
        <f>Y15</f>
        <v>0.74</v>
      </c>
      <c r="AC16" s="94"/>
    </row>
    <row r="17" spans="2:29">
      <c r="D17" s="96"/>
      <c r="F17" s="96"/>
      <c r="J17" s="96"/>
      <c r="L17" s="96"/>
      <c r="AC17" s="94"/>
    </row>
    <row r="18" spans="2:29">
      <c r="B18" s="92">
        <v>600</v>
      </c>
      <c r="D18" s="93">
        <f>$W$7</f>
        <v>7.75</v>
      </c>
      <c r="F18" s="93">
        <f>$Y$7</f>
        <v>7.75</v>
      </c>
      <c r="H18" s="93">
        <f t="shared" si="0"/>
        <v>0</v>
      </c>
      <c r="I18" s="93"/>
      <c r="J18" s="93">
        <f>ROUND((($B18*W$8/100))+((B18*$Y$13)/100),2)+Y15</f>
        <v>38.050000000000004</v>
      </c>
      <c r="L18" s="93">
        <f>ROUND((($B18*Y$8/100))+((B18*$Y$14)/100),2)+Y16</f>
        <v>37.68</v>
      </c>
      <c r="N18" s="94">
        <f>L18-J18</f>
        <v>-0.37000000000000455</v>
      </c>
      <c r="P18" s="95">
        <f>(L18-J18)/J18</f>
        <v>-9.724047306176202E-3</v>
      </c>
      <c r="Q18" s="95"/>
      <c r="R18" s="96">
        <f t="shared" si="1"/>
        <v>-0.37000000000000455</v>
      </c>
      <c r="S18" s="95"/>
      <c r="T18" s="95">
        <f t="shared" si="2"/>
        <v>-8.0786026200874352E-3</v>
      </c>
      <c r="W18" s="73" t="s">
        <v>86</v>
      </c>
      <c r="Y18" s="103">
        <v>6.6000000000000003E-2</v>
      </c>
      <c r="AC18" s="94"/>
    </row>
    <row r="19" spans="2:29">
      <c r="B19" s="92">
        <v>700</v>
      </c>
      <c r="D19" s="93">
        <f>$W$7</f>
        <v>7.75</v>
      </c>
      <c r="F19" s="93">
        <f>$Y$7</f>
        <v>7.75</v>
      </c>
      <c r="H19" s="93">
        <f t="shared" si="0"/>
        <v>0</v>
      </c>
      <c r="I19" s="93"/>
      <c r="J19" s="93">
        <f>ROUND((((600*W$8/100)+(($B19-600)*W$9/100)))+((B19*$Y$13)/100),2)+Y15</f>
        <v>48.07</v>
      </c>
      <c r="L19" s="93">
        <f>ROUND((((600*Y$8/100)+(($B19-600)*Y$9/100)))+((B19*$Y$14)/100),2)+Y16</f>
        <v>47.63</v>
      </c>
      <c r="N19" s="94">
        <f>L19-J19</f>
        <v>-0.43999999999999773</v>
      </c>
      <c r="P19" s="95">
        <f>(L19-J19)/J19</f>
        <v>-9.1533180778031568E-3</v>
      </c>
      <c r="Q19" s="95"/>
      <c r="R19" s="96">
        <f t="shared" si="1"/>
        <v>-0.43999999999999773</v>
      </c>
      <c r="S19" s="95"/>
      <c r="T19" s="95">
        <f t="shared" si="2"/>
        <v>-7.8824793980651689E-3</v>
      </c>
      <c r="W19" s="73" t="s">
        <v>87</v>
      </c>
      <c r="Y19" s="73">
        <f>'Table A'!Z17</f>
        <v>4.0000000000000001E-3</v>
      </c>
      <c r="AC19" s="94"/>
    </row>
    <row r="20" spans="2:29">
      <c r="B20" s="92">
        <v>800</v>
      </c>
      <c r="D20" s="93">
        <f>$W$7</f>
        <v>7.75</v>
      </c>
      <c r="F20" s="93">
        <f>$Y$7</f>
        <v>7.75</v>
      </c>
      <c r="H20" s="93">
        <f t="shared" si="0"/>
        <v>0</v>
      </c>
      <c r="I20" s="93"/>
      <c r="J20" s="93">
        <f>ROUND((((600*W$8/100)+(($B20-600)*W$9/100)))+((B20*$Y$13)/100),2)+Y15</f>
        <v>58.09</v>
      </c>
      <c r="L20" s="93">
        <f>ROUND((((600*Y$8/100)+(($B20-600)*Y$9/100)))+((B20*$Y$14)/100),2)+Y16</f>
        <v>57.59</v>
      </c>
      <c r="N20" s="94">
        <f>L20-J20</f>
        <v>-0.5</v>
      </c>
      <c r="P20" s="95">
        <f>(L20-J20)/J20</f>
        <v>-8.6073334480977794E-3</v>
      </c>
      <c r="Q20" s="95"/>
      <c r="R20" s="96">
        <f t="shared" si="1"/>
        <v>-0.5</v>
      </c>
      <c r="S20" s="95"/>
      <c r="T20" s="95">
        <f t="shared" si="2"/>
        <v>-7.5941676792223569E-3</v>
      </c>
      <c r="AC20" s="94"/>
    </row>
    <row r="21" spans="2:29">
      <c r="B21" s="92">
        <v>900</v>
      </c>
      <c r="D21" s="93">
        <f>$W$7</f>
        <v>7.75</v>
      </c>
      <c r="F21" s="93">
        <f>$Y$7</f>
        <v>7.75</v>
      </c>
      <c r="H21" s="93">
        <f t="shared" si="0"/>
        <v>0</v>
      </c>
      <c r="I21" s="93"/>
      <c r="J21" s="93">
        <f>ROUND((((600*W$8/100)+(($B21-600)*W$9/100)))+((B21*$Y$13)/100),2)+Y15</f>
        <v>68.11</v>
      </c>
      <c r="L21" s="93">
        <f>ROUND((((600*Y$8/100)+(($B21-600)*Y$9/100)))+((B21*$Y$14)/100),2)+Y16</f>
        <v>67.55</v>
      </c>
      <c r="N21" s="94">
        <f>L21-J21</f>
        <v>-0.56000000000000227</v>
      </c>
      <c r="P21" s="95">
        <f>(L21-J21)/J21</f>
        <v>-8.221993833504658E-3</v>
      </c>
      <c r="Q21" s="95"/>
      <c r="R21" s="96">
        <f t="shared" si="1"/>
        <v>-0.56000000000000227</v>
      </c>
      <c r="S21" s="95"/>
      <c r="T21" s="95">
        <f t="shared" si="2"/>
        <v>-7.3820195096230201E-3</v>
      </c>
      <c r="V21" s="104" t="s">
        <v>88</v>
      </c>
      <c r="W21" s="105">
        <f>'Table A'!X17</f>
        <v>-6.6607518036122136E-3</v>
      </c>
      <c r="AC21" s="94"/>
    </row>
    <row r="22" spans="2:29">
      <c r="B22" s="92">
        <v>1000</v>
      </c>
      <c r="D22" s="93">
        <f>$W$7</f>
        <v>7.75</v>
      </c>
      <c r="F22" s="93">
        <f>$Y$7</f>
        <v>7.75</v>
      </c>
      <c r="H22" s="93">
        <f t="shared" si="0"/>
        <v>0</v>
      </c>
      <c r="I22" s="93"/>
      <c r="J22" s="93">
        <f>ROUND((((600*W$8/100)+(($B22-600)*W$9/100)))+((B22*$Y$13)/100),2)+Y15</f>
        <v>78.13</v>
      </c>
      <c r="L22" s="93">
        <f>ROUND((((600*Y$8/100)+(($B22-600)*Y$9/100)))+((B22*$Y$14)/100),2)+Y16</f>
        <v>77.509999999999991</v>
      </c>
      <c r="N22" s="94">
        <f>L22-J22</f>
        <v>-0.62000000000000455</v>
      </c>
      <c r="P22" s="95">
        <f>(L22-J22)/J22</f>
        <v>-7.9354921285038349E-3</v>
      </c>
      <c r="Q22" s="95"/>
      <c r="R22" s="96">
        <f t="shared" si="1"/>
        <v>-0.62000000000000455</v>
      </c>
      <c r="S22" s="95"/>
      <c r="T22" s="95">
        <f t="shared" si="2"/>
        <v>-7.2193758733116505E-3</v>
      </c>
      <c r="W22" s="106" t="s">
        <v>7</v>
      </c>
      <c r="AC22" s="94"/>
    </row>
    <row r="23" spans="2:29">
      <c r="D23" s="96"/>
      <c r="F23" s="96"/>
      <c r="J23" s="96"/>
      <c r="L23" s="96"/>
      <c r="P23" s="107"/>
      <c r="Q23" s="107"/>
      <c r="R23" s="107"/>
      <c r="S23" s="107"/>
      <c r="T23" s="107"/>
      <c r="AC23" s="94"/>
    </row>
    <row r="24" spans="2:29">
      <c r="B24" s="92">
        <v>1100</v>
      </c>
      <c r="D24" s="93">
        <f>$W$7</f>
        <v>7.75</v>
      </c>
      <c r="F24" s="93">
        <f>$Y$7</f>
        <v>7.75</v>
      </c>
      <c r="H24" s="93">
        <f t="shared" si="0"/>
        <v>0</v>
      </c>
      <c r="I24" s="93"/>
      <c r="J24" s="93">
        <f>ROUND((((600*W$8/100)+(($B24-600)*W$9/100)))+((B24*$Y$13)/100),2)+Y15</f>
        <v>88.149999999999991</v>
      </c>
      <c r="L24" s="93">
        <f>ROUND((((600*Y$8/100)+(($B24-600)*Y$9/100)))+((B24*$Y$14)/100),2)+Y16</f>
        <v>87.47</v>
      </c>
      <c r="N24" s="94">
        <f>L24-J24</f>
        <v>-0.67999999999999261</v>
      </c>
      <c r="P24" s="95">
        <f>(L24-J24)/J24</f>
        <v>-7.7141236528643527E-3</v>
      </c>
      <c r="Q24" s="95"/>
      <c r="R24" s="96">
        <f t="shared" si="1"/>
        <v>-0.67999999999999261</v>
      </c>
      <c r="S24" s="95"/>
      <c r="T24" s="95">
        <f t="shared" si="2"/>
        <v>-7.0907194994785467E-3</v>
      </c>
      <c r="AC24" s="94"/>
    </row>
    <row r="25" spans="2:29">
      <c r="B25" s="92">
        <v>1200</v>
      </c>
      <c r="C25" s="73" t="s">
        <v>89</v>
      </c>
      <c r="D25" s="93">
        <f>$W$7</f>
        <v>7.75</v>
      </c>
      <c r="F25" s="93">
        <f>$Y$7</f>
        <v>7.75</v>
      </c>
      <c r="H25" s="93">
        <f t="shared" si="0"/>
        <v>0</v>
      </c>
      <c r="I25" s="93"/>
      <c r="J25" s="93">
        <f>ROUND((((600*W$8/100)+(($B25-600)*W$9/100)))+((B25*$Y$13)/100),2)+Y15</f>
        <v>98.17</v>
      </c>
      <c r="L25" s="93">
        <f>ROUND((((600*Y$8/100)+(($B25-600)*Y$9/100)))+((B25*$Y$14)/100),2)+Y16</f>
        <v>97.42</v>
      </c>
      <c r="N25" s="94">
        <f>L25-J25</f>
        <v>-0.75</v>
      </c>
      <c r="P25" s="95">
        <f>(L25-J25)/J25</f>
        <v>-7.6398084954670464E-3</v>
      </c>
      <c r="Q25" s="95"/>
      <c r="R25" s="96">
        <f t="shared" si="1"/>
        <v>-0.75</v>
      </c>
      <c r="S25" s="95"/>
      <c r="T25" s="95">
        <f t="shared" si="2"/>
        <v>-7.0808157099697885E-3</v>
      </c>
      <c r="AC25" s="94"/>
    </row>
    <row r="26" spans="2:29">
      <c r="B26" s="92">
        <v>1300</v>
      </c>
      <c r="C26" s="73" t="s">
        <v>7</v>
      </c>
      <c r="D26" s="93">
        <f>$W$7</f>
        <v>7.75</v>
      </c>
      <c r="F26" s="93">
        <f>$Y$7</f>
        <v>7.75</v>
      </c>
      <c r="H26" s="93">
        <f t="shared" si="0"/>
        <v>0</v>
      </c>
      <c r="I26" s="93"/>
      <c r="J26" s="93">
        <f>ROUND((((600*W$8/100)+(($B26-600)*W$9/100)))+((B26*$Y$13)/100),2)+Y15</f>
        <v>108.19</v>
      </c>
      <c r="L26" s="93">
        <f>ROUND((((600*Y$8/100)+(($B26-600)*Y$9/100)))+((B26*$Y$14)/100),2)+Y16</f>
        <v>107.38</v>
      </c>
      <c r="N26" s="94">
        <f>L26-J26</f>
        <v>-0.81000000000000227</v>
      </c>
      <c r="P26" s="95">
        <f>(L26-J26)/J26</f>
        <v>-7.4868287272391379E-3</v>
      </c>
      <c r="Q26" s="95"/>
      <c r="R26" s="96">
        <f t="shared" si="1"/>
        <v>-0.81000000000000227</v>
      </c>
      <c r="S26" s="95"/>
      <c r="T26" s="95">
        <f t="shared" si="2"/>
        <v>-6.9863722615145967E-3</v>
      </c>
      <c r="V26" s="94"/>
      <c r="AC26" s="94"/>
    </row>
    <row r="27" spans="2:29">
      <c r="B27" s="92">
        <v>1400</v>
      </c>
      <c r="D27" s="93">
        <f>$W$7</f>
        <v>7.75</v>
      </c>
      <c r="F27" s="93">
        <f>$Y$7</f>
        <v>7.75</v>
      </c>
      <c r="H27" s="93">
        <f t="shared" si="0"/>
        <v>0</v>
      </c>
      <c r="I27" s="93"/>
      <c r="J27" s="93">
        <f>ROUND((((600*W$8/100)+(($B27-600)*W$9/100)))+((B27*$Y$13)/100),2)+Y15</f>
        <v>118.21</v>
      </c>
      <c r="L27" s="93">
        <f>ROUND((((600*Y$8/100)+(($B27-600)*Y$9/100)))+((B27*$Y$14)/100),2)+Y16</f>
        <v>117.33999999999999</v>
      </c>
      <c r="N27" s="94">
        <f>L27-J27</f>
        <v>-0.87000000000000455</v>
      </c>
      <c r="P27" s="95">
        <f>(L27-J27)/J27</f>
        <v>-7.3597834362575465E-3</v>
      </c>
      <c r="Q27" s="95"/>
      <c r="R27" s="96">
        <f t="shared" si="1"/>
        <v>-0.87000000000000455</v>
      </c>
      <c r="S27" s="95"/>
      <c r="T27" s="95">
        <f t="shared" si="2"/>
        <v>-6.9069545887583727E-3</v>
      </c>
      <c r="AC27" s="94"/>
    </row>
    <row r="28" spans="2:29">
      <c r="B28" s="92">
        <v>1500</v>
      </c>
      <c r="D28" s="93">
        <f>$W$7</f>
        <v>7.75</v>
      </c>
      <c r="F28" s="93">
        <f>$Y$7</f>
        <v>7.75</v>
      </c>
      <c r="H28" s="93">
        <f t="shared" si="0"/>
        <v>0</v>
      </c>
      <c r="I28" s="93"/>
      <c r="J28" s="93">
        <f>ROUND((((600*W$8/100)+(($B28-600)*W$9/100)))+((B28*$Y$13)/100),2)+Y15</f>
        <v>128.22999999999999</v>
      </c>
      <c r="L28" s="93">
        <f>ROUND((((600*Y$8/100)+(($B28-600)*Y$9/100)))+((B28*$Y$14)/100),2)+Y16</f>
        <v>127.3</v>
      </c>
      <c r="N28" s="94">
        <f>L28-J28</f>
        <v>-0.92999999999999261</v>
      </c>
      <c r="P28" s="95">
        <f>(L28-J28)/J28</f>
        <v>-7.2525929969585326E-3</v>
      </c>
      <c r="Q28" s="95"/>
      <c r="R28" s="96">
        <f t="shared" si="1"/>
        <v>-0.9299999999999784</v>
      </c>
      <c r="S28" s="95"/>
      <c r="T28" s="95">
        <f t="shared" si="2"/>
        <v>-6.8392410648623215E-3</v>
      </c>
      <c r="AC28" s="94"/>
    </row>
    <row r="29" spans="2:29">
      <c r="D29" s="96"/>
      <c r="F29" s="96"/>
      <c r="J29" s="96"/>
      <c r="L29" s="96"/>
      <c r="AC29" s="94"/>
    </row>
    <row r="30" spans="2:29">
      <c r="B30" s="92">
        <v>1600</v>
      </c>
      <c r="D30" s="93">
        <f>$W$7</f>
        <v>7.75</v>
      </c>
      <c r="F30" s="93">
        <f>$Y$7</f>
        <v>7.75</v>
      </c>
      <c r="H30" s="93">
        <f t="shared" si="0"/>
        <v>0</v>
      </c>
      <c r="I30" s="93"/>
      <c r="J30" s="93">
        <f>ROUND((((600*W$8/100)+(($B30-600)*W$9/100)))+((B30*$Y$13)/100),2)+Y15</f>
        <v>138.25</v>
      </c>
      <c r="L30" s="93">
        <f>ROUND((((600*Y$8/100)+(($B30-600)*Y$9/100)))+((B30*$Y$14)/100),2)+Y16</f>
        <v>137.26000000000002</v>
      </c>
      <c r="N30" s="94">
        <f>L30-J30</f>
        <v>-0.98999999999998067</v>
      </c>
      <c r="P30" s="95">
        <f>(L30-J30)/J30</f>
        <v>-7.1609403254971477E-3</v>
      </c>
      <c r="Q30" s="95"/>
      <c r="R30" s="96">
        <f t="shared" si="1"/>
        <v>-0.98999999999998067</v>
      </c>
      <c r="S30" s="95"/>
      <c r="T30" s="95">
        <f t="shared" si="2"/>
        <v>-6.7808219178080867E-3</v>
      </c>
      <c r="AC30" s="94"/>
    </row>
    <row r="31" spans="2:29">
      <c r="B31" s="92">
        <v>2000</v>
      </c>
      <c r="D31" s="93">
        <f>$W$7</f>
        <v>7.75</v>
      </c>
      <c r="F31" s="93">
        <f>$Y$7</f>
        <v>7.75</v>
      </c>
      <c r="H31" s="93">
        <f t="shared" si="0"/>
        <v>0</v>
      </c>
      <c r="I31" s="93"/>
      <c r="J31" s="93">
        <f>ROUND((((600*W$8/100)+(($B31-600)*W$9/100)))+((B31*$Y$13)/100),2)+Y15</f>
        <v>178.33</v>
      </c>
      <c r="L31" s="93">
        <f>ROUND((((600*Y$8/100)+(($B31-600)*Y$9/100)))+((B31*$Y$14)/100),2)+Y16</f>
        <v>177.09</v>
      </c>
      <c r="N31" s="94">
        <f>L31-J31</f>
        <v>-1.2400000000000091</v>
      </c>
      <c r="P31" s="95">
        <f>(L31-J31)/J31</f>
        <v>-6.9534009981495485E-3</v>
      </c>
      <c r="Q31" s="95"/>
      <c r="R31" s="96">
        <f t="shared" si="1"/>
        <v>-1.2400000000000091</v>
      </c>
      <c r="S31" s="95"/>
      <c r="T31" s="95">
        <f t="shared" si="2"/>
        <v>-6.6638005159071851E-3</v>
      </c>
      <c r="AC31" s="94"/>
    </row>
    <row r="32" spans="2:29">
      <c r="B32" s="92">
        <v>2600</v>
      </c>
      <c r="D32" s="93">
        <f>$W$7</f>
        <v>7.75</v>
      </c>
      <c r="F32" s="93">
        <f>$Y$7</f>
        <v>7.75</v>
      </c>
      <c r="H32" s="93">
        <f t="shared" si="0"/>
        <v>0</v>
      </c>
      <c r="I32" s="93"/>
      <c r="J32" s="93">
        <f>ROUND((((600*W$8/100)+(($B32-600)*W$9/100)))+((B32*$Y$13)/100),2)+Y15</f>
        <v>238.45000000000002</v>
      </c>
      <c r="L32" s="93">
        <f>ROUND((((600*Y$8/100)+(($B32-600)*Y$9/100)))+((B32*$Y$14)/100),2)+Y16</f>
        <v>236.84</v>
      </c>
      <c r="N32" s="94">
        <f>L32-J32</f>
        <v>-1.6100000000000136</v>
      </c>
      <c r="P32" s="95">
        <f>(L32-J32)/J32</f>
        <v>-6.7519396099811847E-3</v>
      </c>
      <c r="Q32" s="95"/>
      <c r="R32" s="96">
        <f t="shared" si="1"/>
        <v>-1.6100000000000136</v>
      </c>
      <c r="S32" s="95"/>
      <c r="T32" s="95">
        <f t="shared" si="2"/>
        <v>-6.5393988627132959E-3</v>
      </c>
      <c r="AC32" s="94"/>
    </row>
    <row r="33" spans="2:29">
      <c r="B33" s="108"/>
      <c r="C33" s="109"/>
      <c r="D33" s="110"/>
      <c r="E33" s="109"/>
      <c r="F33" s="110"/>
      <c r="G33" s="109"/>
      <c r="H33" s="109"/>
      <c r="I33" s="109"/>
      <c r="J33" s="110"/>
      <c r="K33" s="109"/>
      <c r="L33" s="110"/>
      <c r="M33" s="109"/>
      <c r="N33" s="109"/>
      <c r="O33" s="109"/>
      <c r="P33" s="111"/>
      <c r="Q33" s="111"/>
      <c r="R33" s="111"/>
      <c r="S33" s="111"/>
      <c r="T33" s="109"/>
      <c r="AC33" s="94"/>
    </row>
    <row r="34" spans="2:29">
      <c r="B34" s="112"/>
      <c r="T34" s="101"/>
    </row>
    <row r="35" spans="2:29">
      <c r="B35" s="73" t="s">
        <v>90</v>
      </c>
    </row>
    <row r="36" spans="2:29">
      <c r="B36" s="73" t="s">
        <v>91</v>
      </c>
    </row>
    <row r="37" spans="2:29" ht="16.5">
      <c r="B37" s="113" t="s">
        <v>92</v>
      </c>
    </row>
    <row r="38" spans="2:29">
      <c r="B38" s="113" t="s">
        <v>7</v>
      </c>
    </row>
    <row r="46" spans="2:29">
      <c r="Y46" s="106"/>
    </row>
  </sheetData>
  <mergeCells count="7">
    <mergeCell ref="B1:T1"/>
    <mergeCell ref="B2:T2"/>
    <mergeCell ref="B3:T3"/>
    <mergeCell ref="J5:P5"/>
    <mergeCell ref="D6:H6"/>
    <mergeCell ref="N6:P6"/>
    <mergeCell ref="R6:T6"/>
  </mergeCells>
  <printOptions horizontalCentered="1"/>
  <pageMargins left="0.75" right="0.75" top="1" bottom="1" header="0.5" footer="0.5"/>
  <pageSetup scale="7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2016-09-12T07:00:00+00:00</OpenedDate>
    <Date1 xmlns="dc463f71-b30c-4ab2-9473-d307f9d35888">2017-04-14T07:00:00+00:00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161067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8C4C4C7F3DCB4F895C0D53A3185AD0" ma:contentTypeVersion="96" ma:contentTypeDescription="" ma:contentTypeScope="" ma:versionID="06cf94841e2b561a76258d264c8f1af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18FEDF-CEC8-4B3F-830F-8CC43B42789C}"/>
</file>

<file path=customXml/itemProps2.xml><?xml version="1.0" encoding="utf-8"?>
<ds:datastoreItem xmlns:ds="http://schemas.openxmlformats.org/officeDocument/2006/customXml" ds:itemID="{ED109005-4976-411D-96E4-9E79B3EE58D3}"/>
</file>

<file path=customXml/itemProps3.xml><?xml version="1.0" encoding="utf-8"?>
<ds:datastoreItem xmlns:ds="http://schemas.openxmlformats.org/officeDocument/2006/customXml" ds:itemID="{49995E70-2C3C-458B-BDFA-41C9534FB827}"/>
</file>

<file path=customXml/itemProps4.xml><?xml version="1.0" encoding="utf-8"?>
<ds:datastoreItem xmlns:ds="http://schemas.openxmlformats.org/officeDocument/2006/customXml" ds:itemID="{C537C7E9-4E5A-45C9-AEAA-514A64093B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A</vt:lpstr>
      <vt:lpstr>Residential Impact</vt:lpstr>
      <vt:lpstr>'Residential Impact'!Print_Area</vt:lpstr>
      <vt:lpstr>'Table A'!Print_Area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McNay, Kaley</cp:lastModifiedBy>
  <dcterms:created xsi:type="dcterms:W3CDTF">2017-04-06T21:39:36Z</dcterms:created>
  <dcterms:modified xsi:type="dcterms:W3CDTF">2017-04-14T22:02:34Z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0x0101006E56B4D1795A2E4DB2F0B01679ED314A00C18C4C4C7F3DCB4F895C0D53A3185AD0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