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5605" windowHeight="16065" firstSheet="4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 calcMode="manual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3" l="1"/>
  <c r="C23" i="13"/>
  <c r="C24" i="13"/>
  <c r="C25" i="13"/>
  <c r="C30" i="13"/>
  <c r="C31" i="13"/>
  <c r="C36" i="13"/>
  <c r="C41" i="13"/>
  <c r="C22" i="16"/>
  <c r="I39" i="12"/>
  <c r="G39" i="5"/>
  <c r="I40" i="12"/>
  <c r="G40" i="5"/>
  <c r="I41" i="12"/>
  <c r="G41" i="5"/>
  <c r="I42" i="12"/>
  <c r="G42" i="5"/>
  <c r="I43" i="12"/>
  <c r="G43" i="5"/>
  <c r="I44" i="12"/>
  <c r="G44" i="5"/>
  <c r="H20" i="12"/>
  <c r="H32" i="12"/>
  <c r="H37" i="12"/>
  <c r="H45" i="12"/>
  <c r="I45" i="12"/>
  <c r="G45" i="5"/>
  <c r="G46" i="5"/>
  <c r="C20" i="16"/>
  <c r="I39" i="2"/>
  <c r="F39" i="5"/>
  <c r="I40" i="2"/>
  <c r="F40" i="5"/>
  <c r="I41" i="2"/>
  <c r="F41" i="5"/>
  <c r="I42" i="2"/>
  <c r="F42" i="5"/>
  <c r="I43" i="2"/>
  <c r="F43" i="5"/>
  <c r="I44" i="2"/>
  <c r="F44" i="5"/>
  <c r="H20" i="2"/>
  <c r="H32" i="2"/>
  <c r="H37" i="2"/>
  <c r="H45" i="2"/>
  <c r="I45" i="2"/>
  <c r="F45" i="5"/>
  <c r="F46" i="5"/>
  <c r="C19" i="16"/>
  <c r="C43" i="13"/>
  <c r="C24" i="16"/>
  <c r="E19" i="3"/>
  <c r="D19" i="3"/>
  <c r="C21" i="16"/>
  <c r="C25" i="16"/>
  <c r="E52" i="13"/>
  <c r="D52" i="10"/>
  <c r="E50" i="13"/>
  <c r="D50" i="10"/>
  <c r="E46" i="13"/>
  <c r="D46" i="10"/>
  <c r="E47" i="13"/>
  <c r="D47" i="10"/>
  <c r="E39" i="13"/>
  <c r="D39" i="10"/>
  <c r="E35" i="13"/>
  <c r="D35" i="10"/>
  <c r="E26" i="13"/>
  <c r="D26" i="10"/>
  <c r="D22" i="10"/>
  <c r="E54" i="13"/>
  <c r="D54" i="10"/>
  <c r="D53" i="13"/>
  <c r="C53" i="13"/>
  <c r="E51" i="13"/>
  <c r="D51" i="10"/>
  <c r="E53" i="13"/>
  <c r="E48" i="13"/>
  <c r="D48" i="10"/>
  <c r="E45" i="13"/>
  <c r="D45" i="10"/>
  <c r="E44" i="13"/>
  <c r="D44" i="10"/>
  <c r="E43" i="13"/>
  <c r="D43" i="10"/>
  <c r="E38" i="13"/>
  <c r="D38" i="10"/>
  <c r="E37" i="13"/>
  <c r="D37" i="10"/>
  <c r="D36" i="13"/>
  <c r="E34" i="13"/>
  <c r="D34" i="10"/>
  <c r="E33" i="13"/>
  <c r="D33" i="10"/>
  <c r="E32" i="13"/>
  <c r="E29" i="13"/>
  <c r="D29" i="10"/>
  <c r="E27" i="13"/>
  <c r="D27" i="10"/>
  <c r="D23" i="13"/>
  <c r="D24" i="13"/>
  <c r="E21" i="13"/>
  <c r="E23" i="13"/>
  <c r="E20" i="13"/>
  <c r="D20" i="10"/>
  <c r="E19" i="13"/>
  <c r="D19" i="10"/>
  <c r="E18" i="13"/>
  <c r="D18" i="10"/>
  <c r="E17" i="13"/>
  <c r="D17" i="10"/>
  <c r="E16" i="13"/>
  <c r="D15" i="13"/>
  <c r="E14" i="13"/>
  <c r="D14" i="10"/>
  <c r="E13" i="13"/>
  <c r="D13" i="10"/>
  <c r="E12" i="13"/>
  <c r="D12" i="10"/>
  <c r="E11" i="13"/>
  <c r="D11" i="10"/>
  <c r="E10" i="13"/>
  <c r="D10" i="10"/>
  <c r="E20" i="3"/>
  <c r="E9" i="13"/>
  <c r="D21" i="10"/>
  <c r="E24" i="13"/>
  <c r="E36" i="13"/>
  <c r="D16" i="10"/>
  <c r="D25" i="13"/>
  <c r="D32" i="10"/>
  <c r="E15" i="13"/>
  <c r="D9" i="10"/>
  <c r="C56" i="13"/>
  <c r="C55" i="13"/>
  <c r="E25" i="13"/>
  <c r="D30" i="13"/>
  <c r="E28" i="13"/>
  <c r="C57" i="13"/>
  <c r="C49" i="13"/>
  <c r="C58" i="13"/>
  <c r="I35" i="12"/>
  <c r="G35" i="5"/>
  <c r="I23" i="12"/>
  <c r="G23" i="5"/>
  <c r="I28" i="12"/>
  <c r="G28" i="5"/>
  <c r="I31" i="12"/>
  <c r="G31" i="5"/>
  <c r="I13" i="12"/>
  <c r="G13" i="5"/>
  <c r="I17" i="12"/>
  <c r="G17" i="5"/>
  <c r="D29" i="12"/>
  <c r="C29" i="5"/>
  <c r="G46" i="12"/>
  <c r="C46" i="12"/>
  <c r="B46" i="12"/>
  <c r="D45" i="12"/>
  <c r="C45" i="5"/>
  <c r="E12" i="18"/>
  <c r="D44" i="12"/>
  <c r="C44" i="5"/>
  <c r="D43" i="12"/>
  <c r="C43" i="5"/>
  <c r="D42" i="12"/>
  <c r="C42" i="5"/>
  <c r="E11" i="18"/>
  <c r="D41" i="12"/>
  <c r="C41" i="5"/>
  <c r="E10" i="18"/>
  <c r="B38" i="12"/>
  <c r="G37" i="12"/>
  <c r="D37" i="12"/>
  <c r="C37" i="5"/>
  <c r="I36" i="12"/>
  <c r="G36" i="5"/>
  <c r="D36" i="12"/>
  <c r="C36" i="5"/>
  <c r="D35" i="12"/>
  <c r="C35" i="5"/>
  <c r="I34" i="12"/>
  <c r="I37" i="12"/>
  <c r="D33" i="12"/>
  <c r="C33" i="5"/>
  <c r="G32" i="12"/>
  <c r="D32" i="12"/>
  <c r="C32" i="5"/>
  <c r="I30" i="12"/>
  <c r="G30" i="5"/>
  <c r="D30" i="12"/>
  <c r="C30" i="5"/>
  <c r="I29" i="12"/>
  <c r="G29" i="5"/>
  <c r="I27" i="12"/>
  <c r="G27" i="5"/>
  <c r="I26" i="12"/>
  <c r="G26" i="5"/>
  <c r="I25" i="12"/>
  <c r="G25" i="5"/>
  <c r="C25" i="12"/>
  <c r="B25" i="12"/>
  <c r="I24" i="12"/>
  <c r="G24" i="5"/>
  <c r="D24" i="12"/>
  <c r="C24" i="5"/>
  <c r="D23" i="12"/>
  <c r="C23" i="5"/>
  <c r="I22" i="12"/>
  <c r="I32" i="12"/>
  <c r="D22" i="12"/>
  <c r="C22" i="5"/>
  <c r="D21" i="12"/>
  <c r="C21" i="5"/>
  <c r="E13" i="18"/>
  <c r="G20" i="12"/>
  <c r="D20" i="12"/>
  <c r="C20" i="5"/>
  <c r="I19" i="12"/>
  <c r="G19" i="5"/>
  <c r="D19" i="12"/>
  <c r="C19" i="5"/>
  <c r="I18" i="12"/>
  <c r="G18" i="5"/>
  <c r="D18" i="12"/>
  <c r="C18" i="5"/>
  <c r="D17" i="12"/>
  <c r="C17" i="5"/>
  <c r="I16" i="12"/>
  <c r="G16" i="5"/>
  <c r="I15" i="12"/>
  <c r="G15" i="5"/>
  <c r="D15" i="12"/>
  <c r="C15" i="5"/>
  <c r="I14" i="12"/>
  <c r="G14" i="5"/>
  <c r="D14" i="12"/>
  <c r="C14" i="5"/>
  <c r="D13" i="12"/>
  <c r="C13" i="5"/>
  <c r="I12" i="12"/>
  <c r="G12" i="5"/>
  <c r="I11" i="12"/>
  <c r="G11" i="5"/>
  <c r="D11" i="12"/>
  <c r="C11" i="5"/>
  <c r="I10" i="12"/>
  <c r="D10" i="12"/>
  <c r="C10" i="5"/>
  <c r="C25" i="2"/>
  <c r="E15" i="18"/>
  <c r="C11" i="16"/>
  <c r="E30" i="13"/>
  <c r="E31" i="13"/>
  <c r="D28" i="10"/>
  <c r="D55" i="13"/>
  <c r="D56" i="13"/>
  <c r="D31" i="13"/>
  <c r="D40" i="13"/>
  <c r="G22" i="5"/>
  <c r="B48" i="12"/>
  <c r="G48" i="12"/>
  <c r="I20" i="12"/>
  <c r="G10" i="5"/>
  <c r="G34" i="5"/>
  <c r="D46" i="12"/>
  <c r="D25" i="12"/>
  <c r="C34" i="12"/>
  <c r="E11" i="8"/>
  <c r="E10" i="8"/>
  <c r="E56" i="13"/>
  <c r="E55" i="13"/>
  <c r="E40" i="13"/>
  <c r="E41" i="13"/>
  <c r="D41" i="13"/>
  <c r="H46" i="12"/>
  <c r="H48" i="12"/>
  <c r="D34" i="12"/>
  <c r="C38" i="12"/>
  <c r="C48" i="12"/>
  <c r="D11" i="2"/>
  <c r="E58" i="13"/>
  <c r="D40" i="10"/>
  <c r="D57" i="13"/>
  <c r="D49" i="13"/>
  <c r="D58" i="13"/>
  <c r="I46" i="12"/>
  <c r="I48" i="12"/>
  <c r="D38" i="12"/>
  <c r="D48" i="12"/>
  <c r="C34" i="5"/>
  <c r="D33" i="2"/>
  <c r="B38" i="2"/>
  <c r="E49" i="13"/>
  <c r="E57" i="13"/>
  <c r="E54" i="1"/>
  <c r="C53" i="1"/>
  <c r="E32" i="1"/>
  <c r="E33" i="1"/>
  <c r="C54" i="10"/>
  <c r="E52" i="1"/>
  <c r="C52" i="10"/>
  <c r="E51" i="1"/>
  <c r="C51" i="10"/>
  <c r="E50" i="1"/>
  <c r="C50" i="10"/>
  <c r="E43" i="1"/>
  <c r="C43" i="10"/>
  <c r="E44" i="1"/>
  <c r="C44" i="10"/>
  <c r="E45" i="1"/>
  <c r="C45" i="10"/>
  <c r="E46" i="1"/>
  <c r="C46" i="10"/>
  <c r="E47" i="1"/>
  <c r="C47" i="10"/>
  <c r="E48" i="1"/>
  <c r="C48" i="10"/>
  <c r="E38" i="1"/>
  <c r="C38" i="10"/>
  <c r="E39" i="1"/>
  <c r="C39" i="10"/>
  <c r="E37" i="1"/>
  <c r="C33" i="10"/>
  <c r="E34" i="1"/>
  <c r="E35" i="1"/>
  <c r="C35" i="10"/>
  <c r="C32" i="10"/>
  <c r="E27" i="1"/>
  <c r="E29" i="1"/>
  <c r="C29" i="10"/>
  <c r="E26" i="1"/>
  <c r="C26" i="10"/>
  <c r="E17" i="1"/>
  <c r="C17" i="10"/>
  <c r="E18" i="1"/>
  <c r="C18" i="10"/>
  <c r="E19" i="1"/>
  <c r="C19" i="10"/>
  <c r="E20" i="1"/>
  <c r="C20" i="10"/>
  <c r="E21" i="1"/>
  <c r="C21" i="10"/>
  <c r="C22" i="10"/>
  <c r="E16" i="1"/>
  <c r="C16" i="10"/>
  <c r="E10" i="1"/>
  <c r="E11" i="1"/>
  <c r="C11" i="10"/>
  <c r="E12" i="1"/>
  <c r="C12" i="10"/>
  <c r="E13" i="1"/>
  <c r="C13" i="10"/>
  <c r="E14" i="1"/>
  <c r="C14" i="10"/>
  <c r="E9" i="1"/>
  <c r="C9" i="10"/>
  <c r="D53" i="1"/>
  <c r="D36" i="1"/>
  <c r="C36" i="1"/>
  <c r="C30" i="1"/>
  <c r="D23" i="1"/>
  <c r="D24" i="1"/>
  <c r="C23" i="1"/>
  <c r="C24" i="1"/>
  <c r="D15" i="1"/>
  <c r="C15" i="1"/>
  <c r="C37" i="10"/>
  <c r="E36" i="1"/>
  <c r="D15" i="10"/>
  <c r="E21" i="3"/>
  <c r="C10" i="10"/>
  <c r="C55" i="1"/>
  <c r="C56" i="1"/>
  <c r="D53" i="10"/>
  <c r="D36" i="10"/>
  <c r="D23" i="10"/>
  <c r="D24" i="10"/>
  <c r="D25" i="1"/>
  <c r="C53" i="10"/>
  <c r="C27" i="10"/>
  <c r="E23" i="1"/>
  <c r="E24" i="1"/>
  <c r="C25" i="1"/>
  <c r="D30" i="10"/>
  <c r="C34" i="10"/>
  <c r="C36" i="10"/>
  <c r="C23" i="10"/>
  <c r="C24" i="10"/>
  <c r="E53" i="1"/>
  <c r="E15" i="1"/>
  <c r="E25" i="1"/>
  <c r="I35" i="2"/>
  <c r="I36" i="2"/>
  <c r="F36" i="5"/>
  <c r="I34" i="2"/>
  <c r="F34" i="5"/>
  <c r="I23" i="2"/>
  <c r="F23" i="5"/>
  <c r="I24" i="2"/>
  <c r="F24" i="5"/>
  <c r="I25" i="2"/>
  <c r="F25" i="5"/>
  <c r="I26" i="2"/>
  <c r="F26" i="5"/>
  <c r="I27" i="2"/>
  <c r="F27" i="5"/>
  <c r="I28" i="2"/>
  <c r="F28" i="5"/>
  <c r="I29" i="2"/>
  <c r="F29" i="5"/>
  <c r="I30" i="2"/>
  <c r="F30" i="5"/>
  <c r="I31" i="2"/>
  <c r="F31" i="5"/>
  <c r="I22" i="2"/>
  <c r="F22" i="5"/>
  <c r="I11" i="2"/>
  <c r="F11" i="5"/>
  <c r="I12" i="2"/>
  <c r="F12" i="5"/>
  <c r="I13" i="2"/>
  <c r="F13" i="5"/>
  <c r="I14" i="2"/>
  <c r="F14" i="5"/>
  <c r="I15" i="2"/>
  <c r="F15" i="5"/>
  <c r="I16" i="2"/>
  <c r="F16" i="5"/>
  <c r="I17" i="2"/>
  <c r="F17" i="5"/>
  <c r="I18" i="2"/>
  <c r="F18" i="5"/>
  <c r="I19" i="2"/>
  <c r="F19" i="5"/>
  <c r="I10" i="2"/>
  <c r="F10" i="5"/>
  <c r="D42" i="2"/>
  <c r="D43" i="2"/>
  <c r="D44" i="2"/>
  <c r="D45" i="2"/>
  <c r="D41" i="2"/>
  <c r="B41" i="5"/>
  <c r="D10" i="18"/>
  <c r="F10" i="18"/>
  <c r="D35" i="2"/>
  <c r="D36" i="2"/>
  <c r="D37" i="2"/>
  <c r="D32" i="2"/>
  <c r="D30" i="2"/>
  <c r="D29" i="2"/>
  <c r="D18" i="2"/>
  <c r="B18" i="5"/>
  <c r="D19" i="2"/>
  <c r="B19" i="5"/>
  <c r="D20" i="2"/>
  <c r="B20" i="5"/>
  <c r="D21" i="2"/>
  <c r="B21" i="5"/>
  <c r="D13" i="18"/>
  <c r="F13" i="18"/>
  <c r="D22" i="2"/>
  <c r="B22" i="5"/>
  <c r="D23" i="2"/>
  <c r="B23" i="5"/>
  <c r="D24" i="2"/>
  <c r="B24" i="5"/>
  <c r="D17" i="2"/>
  <c r="B17" i="5"/>
  <c r="D14" i="2"/>
  <c r="D15" i="2"/>
  <c r="D13" i="2"/>
  <c r="D10" i="2"/>
  <c r="B10" i="5"/>
  <c r="D12" i="8"/>
  <c r="C12" i="8"/>
  <c r="F10" i="8"/>
  <c r="F35" i="5"/>
  <c r="F14" i="18"/>
  <c r="C15" i="10"/>
  <c r="C25" i="10"/>
  <c r="D20" i="3"/>
  <c r="D21" i="3"/>
  <c r="C31" i="1"/>
  <c r="C41" i="1"/>
  <c r="C38" i="5"/>
  <c r="D56" i="10"/>
  <c r="D55" i="10"/>
  <c r="E12" i="8"/>
  <c r="F12" i="8"/>
  <c r="D25" i="10"/>
  <c r="D31" i="10"/>
  <c r="C13" i="16"/>
  <c r="C15" i="16"/>
  <c r="G37" i="5"/>
  <c r="G32" i="5"/>
  <c r="G20" i="5"/>
  <c r="C46" i="5"/>
  <c r="F37" i="5"/>
  <c r="F32" i="5"/>
  <c r="F20" i="5"/>
  <c r="F11" i="8"/>
  <c r="B42" i="5"/>
  <c r="D11" i="18"/>
  <c r="B43" i="5"/>
  <c r="B44" i="5"/>
  <c r="B45" i="5"/>
  <c r="D12" i="18"/>
  <c r="F12" i="18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I37" i="2"/>
  <c r="G37" i="2"/>
  <c r="I32" i="2"/>
  <c r="G32" i="2"/>
  <c r="I20" i="2"/>
  <c r="G20" i="2"/>
  <c r="C46" i="2"/>
  <c r="C34" i="2"/>
  <c r="C38" i="2"/>
  <c r="D46" i="2"/>
  <c r="B46" i="2"/>
  <c r="D25" i="2"/>
  <c r="B25" i="2"/>
  <c r="F11" i="18"/>
  <c r="D15" i="18"/>
  <c r="C10" i="16"/>
  <c r="E28" i="1"/>
  <c r="D30" i="1"/>
  <c r="F48" i="5"/>
  <c r="C49" i="1"/>
  <c r="C58" i="1"/>
  <c r="C57" i="1"/>
  <c r="H46" i="2"/>
  <c r="H48" i="2"/>
  <c r="D34" i="2"/>
  <c r="D41" i="10"/>
  <c r="D49" i="10"/>
  <c r="G48" i="2"/>
  <c r="B48" i="2"/>
  <c r="B46" i="5"/>
  <c r="G48" i="5"/>
  <c r="B25" i="5"/>
  <c r="C48" i="5"/>
  <c r="F15" i="18"/>
  <c r="D56" i="1"/>
  <c r="D55" i="1"/>
  <c r="D31" i="1"/>
  <c r="D40" i="1"/>
  <c r="C28" i="10"/>
  <c r="C30" i="10"/>
  <c r="E30" i="1"/>
  <c r="I46" i="2"/>
  <c r="I48" i="2"/>
  <c r="D57" i="10"/>
  <c r="C48" i="2"/>
  <c r="D58" i="10"/>
  <c r="E56" i="1"/>
  <c r="E55" i="1"/>
  <c r="E31" i="1"/>
  <c r="C56" i="10"/>
  <c r="C55" i="10"/>
  <c r="C31" i="10"/>
  <c r="E40" i="1"/>
  <c r="D38" i="2"/>
  <c r="D48" i="2"/>
  <c r="B34" i="5"/>
  <c r="B38" i="5"/>
  <c r="B48" i="5"/>
  <c r="E41" i="1"/>
  <c r="C12" i="16"/>
  <c r="C16" i="16"/>
  <c r="D41" i="1"/>
  <c r="D57" i="1"/>
  <c r="C40" i="10"/>
  <c r="C41" i="10"/>
  <c r="D58" i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<sst xmlns="http://schemas.openxmlformats.org/spreadsheetml/2006/main" count="648" uniqueCount="276">
  <si>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</si>
  <si>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</si>
  <si>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</si>
  <si>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</si>
  <si>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</si>
  <si>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</si>
  <si>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</si>
  <si>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</si>
  <si>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</si>
  <si>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</si>
  <si>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</si>
  <si>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</si>
  <si>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</si>
  <si>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</si>
  <si>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</si>
  <si>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</si>
  <si>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</si>
  <si>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</si>
  <si>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</si>
  <si>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</si>
  <si>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</si>
  <si>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</si>
  <si>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</si>
  <si>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</si>
  <si>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</si>
  <si>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</si>
  <si>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</si>
  <si>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</si>
  <si>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</si>
  <si>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</si>
  <si>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</si>
  <si>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</si>
  <si>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</si>
  <si>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</si>
  <si>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</si>
  <si>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</si>
  <si>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</si>
  <si>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</si>
  <si>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</si>
  <si>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</si>
  <si>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</si>
  <si>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</si>
  <si>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</si>
  <si>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</si>
  <si>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</si>
  <si>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</si>
  <si>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</si>
  <si>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</si>
  <si>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</si>
  <si>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</si>
  <si>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</si>
  <si>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</si>
  <si>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</si>
  <si>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</si>
  <si>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</si>
  <si>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</si>
  <si>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</si>
  <si>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</si>
  <si>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</si>
  <si>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</si>
  <si>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</si>
  <si>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</si>
  <si>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</si>
  <si>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</si>
  <si>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</si>
  <si>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</si>
  <si>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</si>
  <si>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</si>
  <si>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</si>
  <si>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</si>
  <si>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</si>
  <si>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</si>
  <si>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</si>
  <si>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</si>
  <si>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</si>
  <si>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</si>
  <si>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</si>
  <si>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</si>
  <si>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</si>
  <si>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</si>
  <si>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</si>
  <si>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</si>
  <si>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</si>
  <si>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</si>
  <si>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</si>
  <si>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</si>
  <si>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</si>
  <si>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</si>
  <si>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</si>
  <si>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</si>
  <si>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</si>
  <si>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</si>
  <si>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</si>
  <si>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</si>
  <si>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</si>
  <si>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</si>
  <si>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</si>
  <si>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</si>
  <si>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</si>
  <si>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</si>
  <si>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</si>
  <si>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</si>
  <si>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</si>
  <si>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</si>
  <si>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</si>
  <si>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</si>
  <si>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</si>
  <si>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</si>
  <si>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</si>
  <si>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</si>
  <si>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</si>
  <si>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</si>
  <si>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</si>
  <si>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</si>
  <si>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</si>
  <si>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</si>
  <si>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</si>
  <si>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</si>
  <si>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</si>
  <si>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</si>
  <si>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</si>
  <si>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</si>
  <si>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</si>
  <si>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</si>
  <si>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</si>
  <si>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</si>
  <si>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</si>
  <si>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</si>
  <si>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</si>
  <si>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</si>
  <si>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</si>
  <si>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</si>
  <si>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</si>
  <si>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</si>
  <si>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</si>
  <si>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</si>
  <si>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</si>
  <si>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</si>
  <si>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</si>
  <si>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</si>
  <si>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</si>
  <si>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</si>
  <si>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</si>
  <si>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</si>
  <si>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</si>
  <si>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</si>
  <si>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</si>
  <si>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</si>
  <si>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</si>
  <si>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</si>
  <si>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</si>
  <si>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</si>
  <si>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</si>
  <si>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</si>
  <si>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</si>
  <si>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</si>
  <si>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</si>
  <si>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</si>
  <si>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</si>
  <si>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</si>
  <si>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</si>
  <si>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</si>
  <si>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</si>
  <si>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</si>
  <si>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</si>
  <si>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</si>
  <si>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</si>
  <si>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</si>
  <si>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</si>
  <si>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</si>
  <si>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</si>
  <si>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</si>
  <si>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</si>
  <si>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</si>
  <si>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</si>
  <si>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</si>
  <si>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</si>
  <si>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</si>
  <si>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</si>
  <si>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</si>
  <si>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</si>
  <si>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</si>
  <si>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</si>
  <si>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</si>
  <si>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</si>
  <si>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</si>
  <si>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</si>
  <si>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</si>
  <si>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</si>
  <si>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</si>
  <si>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</si>
  <si>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</si>
  <si>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</si>
  <si>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</si>
  <si>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</si>
  <si>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</si>
  <si>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</si>
  <si>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</si>
  <si>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</si>
  <si>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</si>
  <si>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</si>
  <si>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</si>
  <si>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</si>
  <si>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</si>
  <si>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</si>
  <si>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</si>
  <si>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</si>
  <si>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</si>
  <si>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</si>
  <si>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</si>
  <si>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</si>
  <si>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</si>
  <si>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</si>
  <si>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</si>
  <si>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</si>
  <si>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</si>
  <si>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</si>
  <si>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</si>
  <si>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</si>
  <si>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</si>
  <si>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</si>
  <si>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</si>
  <si>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</si>
  <si>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</si>
  <si>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</si>
  <si>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</si>
  <si>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</si>
  <si>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</si>
  <si>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</si>
  <si>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</si>
  <si>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</si>
  <si>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</si>
  <si>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</si>
  <si>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</si>
  <si>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</si>
  <si>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</si>
  <si>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</si>
  <si>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</si>
  <si>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</si>
  <si>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</si>
  <si>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</si>
  <si>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</si>
  <si>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</si>
  <si>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</si>
  <si>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</si>
  <si>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</si>
  <si>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</si>
  <si>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</si>
  <si>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</si>
  <si>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</si>
  <si>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</si>
  <si>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</si>
  <si>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</si>
  <si>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</si>
  <si>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</si>
  <si>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</si>
  <si>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</si>
  <si>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</si>
  <si>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</si>
  <si>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</si>
  <si>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</si>
  <si>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</si>
  <si>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</si>
  <si>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</si>
  <si>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</si>
  <si>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</si>
  <si>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</si>
  <si>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</si>
  <si>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Mashell Telecom, Inc.</t>
  </si>
  <si>
    <t>Prior year part 64 adjustment to accurmulated depreciation should have included amoritization.</t>
  </si>
  <si>
    <t>Explanation:  Line 3 should include accumulated amortization, which was overlooked during the prior year USF filing.</t>
  </si>
  <si>
    <t>Amount balances to 2013 cost study, excluding Telecom Plant Under Contruction.</t>
  </si>
  <si>
    <t xml:space="preserve">Explanation:  There are slight differences in category presentation from the prior year's state USF filing.  These changes are not significant.  </t>
  </si>
  <si>
    <t>Deferred taxes are assets for 2013; therefore, they increase rate base.</t>
  </si>
  <si>
    <t>Explanation:  Prior year numbers different from last years application because I entered all Part 64 adjustment this year and didn't include</t>
  </si>
  <si>
    <t>anything below Opearting Income or Margins last year.  Also, the corporate expense adjustment was not included in last years filing.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</si>
</sst>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topLeftCell="A2" workbookViewId="0">
      <selection activeCell="C13" sqref="C13"/>
    </sheetView>
  </sheetViews>
  <sheetFormatPr defaultColWidth="8.85546875"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honeticPr fontId="5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abSelected="1" workbookViewId="0">
      <selection activeCell="C13" sqref="C13"/>
    </sheetView>
  </sheetViews>
  <sheetFormatPr defaultColWidth="8.85546875" defaultRowHeight="15" x14ac:dyDescent="0.25"/>
  <cols>
    <col min="1" max="1" width="6.42578125" customWidth="1"/>
    <col min="2" max="2" width="36.42578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268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343826</v>
      </c>
      <c r="E9" s="56">
        <v>365734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194426</v>
      </c>
      <c r="E11" s="53">
        <v>117497</v>
      </c>
    </row>
    <row r="12" spans="1:5" x14ac:dyDescent="0.25">
      <c r="A12" s="11" t="s">
        <v>217</v>
      </c>
      <c r="B12" s="18" t="s">
        <v>260</v>
      </c>
      <c r="C12" s="11"/>
      <c r="D12" s="53">
        <v>827914</v>
      </c>
      <c r="E12" s="53">
        <v>933637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44721</v>
      </c>
      <c r="E14" s="53">
        <v>34048</v>
      </c>
    </row>
    <row r="15" spans="1:5" x14ac:dyDescent="0.25">
      <c r="A15" s="11" t="s">
        <v>219</v>
      </c>
      <c r="B15" s="18" t="s">
        <v>169</v>
      </c>
      <c r="C15" s="11"/>
      <c r="D15" s="53">
        <v>592036</v>
      </c>
      <c r="E15" s="53">
        <v>718303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242541</v>
      </c>
      <c r="E16" s="53">
        <v>227426</v>
      </c>
    </row>
    <row r="17" spans="1:5" x14ac:dyDescent="0.25">
      <c r="A17" s="11">
        <v>5</v>
      </c>
      <c r="B17" s="18" t="s">
        <v>241</v>
      </c>
      <c r="C17" s="11"/>
      <c r="D17" s="53">
        <v>53473</v>
      </c>
      <c r="E17" s="53">
        <v>89203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2298937</v>
      </c>
      <c r="E19" s="36">
        <f>E9+E11+E12+E14+E15+E16+E17+E18</f>
        <v>2485848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2298937</v>
      </c>
      <c r="E20" s="38">
        <f>IncomeStmtSummary!D10</f>
        <v>2485848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tabSelected="1" workbookViewId="0">
      <selection activeCell="C13" sqref="C13"/>
    </sheetView>
  </sheetViews>
  <sheetFormatPr defaultColWidth="8.85546875" defaultRowHeight="15" x14ac:dyDescent="0.25"/>
  <cols>
    <col min="1" max="1" width="73.42578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workbookViewId="0">
      <selection activeCell="C13" sqref="C13"/>
    </sheetView>
  </sheetViews>
  <sheetFormatPr defaultColWidth="8.85546875" defaultRowHeight="15" x14ac:dyDescent="0.25"/>
  <cols>
    <col min="1" max="1" width="5.85546875" style="75" customWidth="1"/>
    <col min="2" max="2" width="40.42578125" style="75" customWidth="1"/>
    <col min="3" max="3" width="13.85546875" style="75" customWidth="1"/>
    <col min="4" max="16384" width="8.85546875" style="75"/>
  </cols>
  <sheetData>
    <row r="3" spans="1:3" x14ac:dyDescent="0.25">
      <c r="B3" s="75" t="s">
        <v>191</v>
      </c>
    </row>
    <row r="4" spans="1:3" x14ac:dyDescent="0.25">
      <c r="B4" s="59" t="s">
        <v>268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1809899</v>
      </c>
    </row>
    <row r="11" spans="1:3" x14ac:dyDescent="0.25">
      <c r="A11" s="78">
        <v>2</v>
      </c>
      <c r="B11" s="83" t="s">
        <v>206</v>
      </c>
      <c r="C11" s="105">
        <f>'RateBase '!E15</f>
        <v>1389232</v>
      </c>
    </row>
    <row r="12" spans="1:3" x14ac:dyDescent="0.25">
      <c r="A12" s="78">
        <v>3</v>
      </c>
      <c r="B12" s="98" t="s">
        <v>207</v>
      </c>
      <c r="C12" s="85">
        <f>(C10+C11)/2</f>
        <v>1599565.5</v>
      </c>
    </row>
    <row r="13" spans="1:3" x14ac:dyDescent="0.25">
      <c r="A13" s="78">
        <v>4</v>
      </c>
      <c r="B13" s="83" t="s">
        <v>208</v>
      </c>
      <c r="C13" s="60">
        <f>IncomeStmtSummary!D31</f>
        <v>-995195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-995195</v>
      </c>
    </row>
    <row r="16" spans="1:3" x14ac:dyDescent="0.25">
      <c r="A16" s="78">
        <v>7</v>
      </c>
      <c r="B16" s="98" t="s">
        <v>209</v>
      </c>
      <c r="C16" s="86">
        <f>C15/C12</f>
        <v>-0.62216583190872776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f>'BalanceSheet(Summary)'!F46</f>
        <v>4659426</v>
      </c>
    </row>
    <row r="20" spans="1:7" x14ac:dyDescent="0.25">
      <c r="A20" s="78">
        <v>9</v>
      </c>
      <c r="B20" s="83" t="s">
        <v>214</v>
      </c>
      <c r="C20" s="88">
        <f>'BalanceSheet(Summary)'!G46</f>
        <v>1098104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2878765</v>
      </c>
    </row>
    <row r="22" spans="1:7" x14ac:dyDescent="0.25">
      <c r="A22" s="78">
        <v>11</v>
      </c>
      <c r="B22" s="83" t="s">
        <v>215</v>
      </c>
      <c r="C22" s="53">
        <f>'CurrentYearIncomeStmt '!C41</f>
        <v>-575139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-575139</v>
      </c>
    </row>
    <row r="25" spans="1:7" x14ac:dyDescent="0.25">
      <c r="A25" s="95">
        <v>14</v>
      </c>
      <c r="B25" s="102" t="s">
        <v>211</v>
      </c>
      <c r="C25" s="89">
        <f>C24/C21</f>
        <v>-0.19978671409441201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abSelected="1" topLeftCell="A13" workbookViewId="0">
      <selection activeCell="C13" sqref="C13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/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341560</v>
      </c>
      <c r="C10" s="57"/>
      <c r="D10" s="60">
        <f>SUM(B10:C10)</f>
        <v>341560</v>
      </c>
      <c r="E10" s="18"/>
      <c r="F10" s="18" t="s">
        <v>78</v>
      </c>
      <c r="G10" s="53">
        <v>696419</v>
      </c>
      <c r="H10" s="57"/>
      <c r="I10" s="60">
        <f>SUM(G10:H10)</f>
        <v>696419</v>
      </c>
    </row>
    <row r="11" spans="1:9" x14ac:dyDescent="0.25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25">
      <c r="A13" s="18" t="s">
        <v>44</v>
      </c>
      <c r="B13" s="53">
        <v>3401580</v>
      </c>
      <c r="C13" s="57"/>
      <c r="D13" s="60">
        <f>SUM(B13:C13)</f>
        <v>3401580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25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1216000</v>
      </c>
      <c r="H14" s="57"/>
      <c r="I14" s="60">
        <f t="shared" si="0"/>
        <v>1216000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28227</v>
      </c>
      <c r="H16" s="57"/>
      <c r="I16" s="60">
        <f t="shared" si="0"/>
        <v>28227</v>
      </c>
    </row>
    <row r="17" spans="1:9" x14ac:dyDescent="0.25">
      <c r="A17" s="18" t="s">
        <v>44</v>
      </c>
      <c r="B17" s="53">
        <v>342521</v>
      </c>
      <c r="C17" s="57"/>
      <c r="D17" s="60">
        <f>SUM(B17:C17)</f>
        <v>342521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>
        <v>9889</v>
      </c>
      <c r="C18" s="57"/>
      <c r="D18" s="60">
        <f t="shared" ref="D18:D24" si="2">SUM(B18:C18)</f>
        <v>9889</v>
      </c>
      <c r="E18" s="18"/>
      <c r="F18" s="18" t="s">
        <v>88</v>
      </c>
      <c r="G18" s="53">
        <v>85842</v>
      </c>
      <c r="H18" s="57"/>
      <c r="I18" s="60">
        <f t="shared" si="0"/>
        <v>85842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308508</v>
      </c>
      <c r="H19" s="67"/>
      <c r="I19" s="61">
        <f t="shared" si="0"/>
        <v>308508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2334996</v>
      </c>
      <c r="H20" s="60">
        <f>SUM(H10:H19)</f>
        <v>0</v>
      </c>
      <c r="I20" s="60">
        <f t="shared" ref="I20" si="3">SUM(I10:I19)</f>
        <v>2334996</v>
      </c>
    </row>
    <row r="21" spans="1:9" x14ac:dyDescent="0.25">
      <c r="A21" s="18" t="s">
        <v>49</v>
      </c>
      <c r="B21" s="53">
        <v>214564</v>
      </c>
      <c r="C21" s="55">
        <v>-96751</v>
      </c>
      <c r="D21" s="60">
        <f t="shared" si="2"/>
        <v>117813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25">
      <c r="A23" s="18" t="s">
        <v>51</v>
      </c>
      <c r="B23" s="53">
        <v>67789</v>
      </c>
      <c r="C23" s="57"/>
      <c r="D23" s="60">
        <f t="shared" si="2"/>
        <v>67789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4377903</v>
      </c>
      <c r="C25" s="60">
        <f>C10+C11+C13+C14+C15+C17+C18+C19+C20+C21+C22+C23+C24</f>
        <v>-96751</v>
      </c>
      <c r="D25" s="60">
        <f t="shared" ref="D25" si="5">D10+D11+D13+D14+D15+D17+D18+D19+D20+D21+D22+D23+D24</f>
        <v>4281152</v>
      </c>
      <c r="E25" s="18"/>
      <c r="F25" s="18" t="s">
        <v>95</v>
      </c>
      <c r="G25" s="53">
        <v>5806465</v>
      </c>
      <c r="H25" s="57"/>
      <c r="I25" s="60">
        <f t="shared" si="4"/>
        <v>5806465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74410</v>
      </c>
      <c r="H29" s="57"/>
      <c r="I29" s="60">
        <f t="shared" si="4"/>
        <v>74410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5880875</v>
      </c>
      <c r="H32" s="60">
        <f>SUM(H22:H31)</f>
        <v>0</v>
      </c>
      <c r="I32" s="60">
        <f t="shared" ref="I32" si="6">SUM(I22:I31)</f>
        <v>5880875</v>
      </c>
    </row>
    <row r="33" spans="1:9" x14ac:dyDescent="0.25">
      <c r="A33" s="18" t="s">
        <v>58</v>
      </c>
      <c r="B33" s="53">
        <v>60003</v>
      </c>
      <c r="C33" s="57"/>
      <c r="D33" s="60">
        <f t="shared" ref="D33:D37" si="7">SUM(B33:C33)</f>
        <v>60003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6528982</v>
      </c>
      <c r="C34" s="72">
        <f>-1*(C25+C29+C30+C32+C33+C35+C36+C37+C46)</f>
        <v>-48162</v>
      </c>
      <c r="D34" s="60">
        <f t="shared" si="7"/>
        <v>6480820</v>
      </c>
      <c r="E34" s="18"/>
      <c r="F34" s="18" t="s">
        <v>103</v>
      </c>
      <c r="G34" s="53"/>
      <c r="H34" s="57"/>
      <c r="I34" s="60">
        <f>SUM(G34:H34)</f>
        <v>0</v>
      </c>
    </row>
    <row r="35" spans="1:9" x14ac:dyDescent="0.25">
      <c r="A35" s="18" t="s">
        <v>62</v>
      </c>
      <c r="B35" s="53">
        <v>74691</v>
      </c>
      <c r="C35" s="57"/>
      <c r="D35" s="60">
        <f t="shared" si="7"/>
        <v>74691</v>
      </c>
      <c r="E35" s="18"/>
      <c r="F35" s="18" t="s">
        <v>151</v>
      </c>
      <c r="G35" s="53"/>
      <c r="H35" s="53">
        <v>-25413</v>
      </c>
      <c r="I35" s="60">
        <f t="shared" ref="I35:I36" si="8">SUM(G35:H35)</f>
        <v>-25413</v>
      </c>
    </row>
    <row r="36" spans="1:9" x14ac:dyDescent="0.25">
      <c r="A36" s="18" t="s">
        <v>63</v>
      </c>
      <c r="B36" s="53">
        <v>200538</v>
      </c>
      <c r="C36" s="57"/>
      <c r="D36" s="60">
        <f t="shared" si="7"/>
        <v>200538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-25413</v>
      </c>
      <c r="I37" s="60">
        <f t="shared" si="9"/>
        <v>-25413</v>
      </c>
    </row>
    <row r="38" spans="1:9" x14ac:dyDescent="0.25">
      <c r="A38" s="18" t="s">
        <v>65</v>
      </c>
      <c r="B38" s="60">
        <f>B29+B30+B32+B33+B34+B35+B36+B37</f>
        <v>6864214</v>
      </c>
      <c r="C38" s="60">
        <f>C29+C30+C32+C33+C34+C35+C36+C37</f>
        <v>-48162</v>
      </c>
      <c r="D38" s="60">
        <f t="shared" ref="D38" si="10">D29+D30+D32+D33+D34+D35+D36+D37</f>
        <v>6816052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57050</v>
      </c>
      <c r="H39" s="23"/>
      <c r="I39" s="60">
        <f>SUM(G39:H39)</f>
        <v>57050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11054124</v>
      </c>
      <c r="H40" s="23"/>
      <c r="I40" s="60">
        <f t="shared" ref="I40:I45" si="11">SUM(G40:H40)</f>
        <v>11054124</v>
      </c>
    </row>
    <row r="41" spans="1:9" x14ac:dyDescent="0.25">
      <c r="A41" s="18" t="s">
        <v>190</v>
      </c>
      <c r="B41" s="53">
        <v>14878210</v>
      </c>
      <c r="C41" s="53">
        <v>-55639</v>
      </c>
      <c r="D41" s="60">
        <f>SUM(B41:C41)</f>
        <v>14822571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25">
      <c r="A43" s="18" t="s">
        <v>69</v>
      </c>
      <c r="B43" s="53">
        <v>94897</v>
      </c>
      <c r="C43" s="53">
        <v>-8890</v>
      </c>
      <c r="D43" s="60">
        <f t="shared" si="12"/>
        <v>86007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25">
      <c r="A45" s="18" t="s">
        <v>121</v>
      </c>
      <c r="B45" s="54">
        <v>-13365340</v>
      </c>
      <c r="C45" s="54">
        <v>209442</v>
      </c>
      <c r="D45" s="61">
        <f t="shared" si="12"/>
        <v>-13155898</v>
      </c>
      <c r="E45" s="18"/>
      <c r="F45" s="18" t="s">
        <v>181</v>
      </c>
      <c r="G45" s="54">
        <v>-6477161</v>
      </c>
      <c r="H45" s="106">
        <f>-1*(H20+H32+H37)</f>
        <v>25413</v>
      </c>
      <c r="I45" s="61">
        <f t="shared" si="11"/>
        <v>-6451748</v>
      </c>
    </row>
    <row r="46" spans="1:9" x14ac:dyDescent="0.25">
      <c r="A46" s="18" t="s">
        <v>71</v>
      </c>
      <c r="B46" s="60">
        <f>B41+B42+B43+B44+B45</f>
        <v>1607767</v>
      </c>
      <c r="C46" s="60">
        <f t="shared" ref="C46:D46" si="13">C41+C42+C43+C44+C45</f>
        <v>144913</v>
      </c>
      <c r="D46" s="60">
        <f t="shared" si="13"/>
        <v>1752680</v>
      </c>
      <c r="E46" s="18"/>
      <c r="F46" s="18" t="s">
        <v>114</v>
      </c>
      <c r="G46" s="60">
        <f>SUM(G39:G45)</f>
        <v>4634013</v>
      </c>
      <c r="H46" s="63">
        <f t="shared" ref="H46:I46" si="14">SUM(H39:H45)</f>
        <v>25413</v>
      </c>
      <c r="I46" s="60">
        <f t="shared" si="14"/>
        <v>4659426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12849884</v>
      </c>
      <c r="C48" s="62">
        <f t="shared" ref="C48:D48" si="15">C25+C38+C46</f>
        <v>0</v>
      </c>
      <c r="D48" s="62">
        <f t="shared" si="15"/>
        <v>12849884</v>
      </c>
      <c r="E48" s="18"/>
      <c r="F48" s="22" t="s">
        <v>115</v>
      </c>
      <c r="G48" s="62">
        <f>G20+G32+G37+G46</f>
        <v>12849884</v>
      </c>
      <c r="H48" s="62">
        <f t="shared" ref="H48:I48" si="16">H20+H32+H37+H46</f>
        <v>0</v>
      </c>
      <c r="I48" s="62">
        <f t="shared" si="16"/>
        <v>12849884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 t="s">
        <v>272</v>
      </c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 t="s">
        <v>269</v>
      </c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honeticPr fontId="5" type="noConversion"/>
  <pageMargins left="1.2" right="0.7" top="1.25" bottom="0.75" header="0.8" footer="0.3"/>
  <pageSetup scale="57" orientation="landscape" r:id="rId1"/>
  <headerFooter>
    <oddHeader>&amp;L&amp;"-,Bold"State USF Petition Filing Requirement -WAC 480-123-110 (1)(e)
Prior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abSelected="1" topLeftCell="A10" workbookViewId="0">
      <selection activeCell="C13" sqref="C13"/>
    </sheetView>
  </sheetViews>
  <sheetFormatPr defaultColWidth="8.85546875"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271690</v>
      </c>
      <c r="C10" s="57"/>
      <c r="D10" s="60">
        <f>SUM(B10:C10)</f>
        <v>271690</v>
      </c>
      <c r="E10" s="18"/>
      <c r="F10" s="18" t="s">
        <v>78</v>
      </c>
      <c r="G10" s="53">
        <v>669273</v>
      </c>
      <c r="H10" s="57"/>
      <c r="I10" s="60">
        <f>SUM(G10:H10)</f>
        <v>669273</v>
      </c>
    </row>
    <row r="11" spans="1:9" x14ac:dyDescent="0.25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25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25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5897813</v>
      </c>
      <c r="H14" s="57"/>
      <c r="I14" s="60">
        <f t="shared" si="0"/>
        <v>5897813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27281</v>
      </c>
      <c r="H16" s="57"/>
      <c r="I16" s="60">
        <f t="shared" si="0"/>
        <v>27281</v>
      </c>
    </row>
    <row r="17" spans="1:9" x14ac:dyDescent="0.25">
      <c r="A17" s="18" t="s">
        <v>44</v>
      </c>
      <c r="B17" s="53">
        <v>417922</v>
      </c>
      <c r="C17" s="57"/>
      <c r="D17" s="60">
        <f>SUM(B17:C17)</f>
        <v>417922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>
        <v>410</v>
      </c>
      <c r="C18" s="57"/>
      <c r="D18" s="60">
        <f t="shared" ref="D18:D24" si="2">SUM(B18:C18)</f>
        <v>410</v>
      </c>
      <c r="E18" s="18"/>
      <c r="F18" s="18" t="s">
        <v>88</v>
      </c>
      <c r="G18" s="53">
        <v>95749</v>
      </c>
      <c r="H18" s="57"/>
      <c r="I18" s="60">
        <f t="shared" si="0"/>
        <v>95749</v>
      </c>
    </row>
    <row r="19" spans="1:9" x14ac:dyDescent="0.25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311730</v>
      </c>
      <c r="H19" s="67"/>
      <c r="I19" s="61">
        <f t="shared" si="0"/>
        <v>311730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7001846</v>
      </c>
      <c r="H20" s="60">
        <f>SUM(H10:H19)</f>
        <v>0</v>
      </c>
      <c r="I20" s="60">
        <f t="shared" ref="I20" si="3">SUM(I10:I19)</f>
        <v>7001846</v>
      </c>
    </row>
    <row r="21" spans="1:9" x14ac:dyDescent="0.25">
      <c r="A21" s="18" t="s">
        <v>49</v>
      </c>
      <c r="B21" s="53">
        <v>244259</v>
      </c>
      <c r="C21" s="55">
        <v>-128736</v>
      </c>
      <c r="D21" s="60">
        <f t="shared" si="2"/>
        <v>115523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25">
      <c r="A23" s="18" t="s">
        <v>51</v>
      </c>
      <c r="B23" s="53">
        <v>41847</v>
      </c>
      <c r="C23" s="57"/>
      <c r="D23" s="60">
        <f t="shared" si="2"/>
        <v>41847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976128</v>
      </c>
      <c r="C25" s="60">
        <f>C10+C11+C13+C14+C15+C17+C18+C19+C20+C21+C22+C23+C24</f>
        <v>-128736</v>
      </c>
      <c r="D25" s="60">
        <f t="shared" ref="D25" si="5">D10+D11+D13+D14+D15+D17+D18+D19+D20+D21+D22+D23+D24</f>
        <v>847392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>
        <v>44717</v>
      </c>
      <c r="H29" s="57"/>
      <c r="I29" s="60">
        <f t="shared" si="4"/>
        <v>44717</v>
      </c>
    </row>
    <row r="30" spans="1:9" x14ac:dyDescent="0.25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44717</v>
      </c>
      <c r="H32" s="60">
        <f>SUM(H22:H31)</f>
        <v>0</v>
      </c>
      <c r="I32" s="60">
        <f t="shared" ref="I32" si="6">SUM(I22:I31)</f>
        <v>44717</v>
      </c>
    </row>
    <row r="33" spans="1:11" x14ac:dyDescent="0.25">
      <c r="A33" s="18" t="s">
        <v>58</v>
      </c>
      <c r="B33" s="53">
        <v>60003</v>
      </c>
      <c r="C33" s="57"/>
      <c r="D33" s="60">
        <f t="shared" ref="D33:D37" si="7">SUM(B33:C33)</f>
        <v>60003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5601791</v>
      </c>
      <c r="C34" s="72">
        <f>-1*(C25+C29+C30+C32+C33+C35+C36+C37+C46)</f>
        <v>47878</v>
      </c>
      <c r="D34" s="60">
        <f t="shared" si="7"/>
        <v>5649669</v>
      </c>
      <c r="E34" s="18"/>
      <c r="F34" s="18" t="s">
        <v>103</v>
      </c>
      <c r="G34" s="53"/>
      <c r="H34" s="57"/>
      <c r="I34" s="60">
        <f>SUM(G34:H34)</f>
        <v>0</v>
      </c>
    </row>
    <row r="35" spans="1:11" x14ac:dyDescent="0.25">
      <c r="A35" s="18" t="s">
        <v>62</v>
      </c>
      <c r="B35" s="53">
        <v>107344</v>
      </c>
      <c r="C35" s="57"/>
      <c r="D35" s="60">
        <f t="shared" si="7"/>
        <v>107344</v>
      </c>
      <c r="E35" s="18"/>
      <c r="F35" s="18" t="s">
        <v>151</v>
      </c>
      <c r="G35" s="53">
        <v>69646</v>
      </c>
      <c r="H35" s="53"/>
      <c r="I35" s="60">
        <f t="shared" ref="I35:I36" si="8">SUM(G35:H35)</f>
        <v>69646</v>
      </c>
    </row>
    <row r="36" spans="1:11" x14ac:dyDescent="0.25">
      <c r="A36" s="18" t="s">
        <v>63</v>
      </c>
      <c r="B36" s="53">
        <v>143219</v>
      </c>
      <c r="C36" s="57"/>
      <c r="D36" s="60">
        <f t="shared" si="7"/>
        <v>143219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69646</v>
      </c>
      <c r="H37" s="60">
        <f t="shared" ref="H37:I37" si="9">SUM(H34:H36)</f>
        <v>0</v>
      </c>
      <c r="I37" s="60">
        <f t="shared" si="9"/>
        <v>69646</v>
      </c>
    </row>
    <row r="38" spans="1:11" x14ac:dyDescent="0.25">
      <c r="A38" s="18" t="s">
        <v>65</v>
      </c>
      <c r="B38" s="60">
        <f>B29+B30+B32+B33+B34+B35+B36+B37</f>
        <v>5912357</v>
      </c>
      <c r="C38" s="60">
        <f>C29+C30+C32+C33+C34+C35+C36+C37</f>
        <v>47878</v>
      </c>
      <c r="D38" s="60">
        <f t="shared" ref="D38" si="10">D29+D30+D32+D33+D34+D35+D36+D37</f>
        <v>5960235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57050</v>
      </c>
      <c r="H39" s="23"/>
      <c r="I39" s="60">
        <f>SUM(G39:H39)</f>
        <v>57050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8093354</v>
      </c>
      <c r="H40" s="23"/>
      <c r="I40" s="60">
        <f t="shared" ref="I40:I45" si="11">SUM(G40:H40)</f>
        <v>8093354</v>
      </c>
    </row>
    <row r="41" spans="1:11" x14ac:dyDescent="0.25">
      <c r="A41" s="18" t="s">
        <v>190</v>
      </c>
      <c r="B41" s="53">
        <v>14961821</v>
      </c>
      <c r="C41" s="53">
        <v>-69317</v>
      </c>
      <c r="D41" s="60">
        <f>SUM(B41:C41)</f>
        <v>14892504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25">
      <c r="A43" s="18" t="s">
        <v>69</v>
      </c>
      <c r="B43" s="53">
        <v>122554</v>
      </c>
      <c r="C43" s="53">
        <v>-11226</v>
      </c>
      <c r="D43" s="60">
        <f t="shared" si="12"/>
        <v>111328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25">
      <c r="A45" s="18" t="s">
        <v>121</v>
      </c>
      <c r="B45" s="54">
        <v>-13758547</v>
      </c>
      <c r="C45" s="54">
        <v>161401</v>
      </c>
      <c r="D45" s="61">
        <f t="shared" si="12"/>
        <v>-13597146</v>
      </c>
      <c r="E45" s="18"/>
      <c r="F45" s="18" t="s">
        <v>181</v>
      </c>
      <c r="G45" s="54">
        <v>-7052300</v>
      </c>
      <c r="H45" s="106">
        <f>-1*(H20+H32+H37)</f>
        <v>0</v>
      </c>
      <c r="I45" s="61">
        <f t="shared" si="11"/>
        <v>-7052300</v>
      </c>
    </row>
    <row r="46" spans="1:11" x14ac:dyDescent="0.25">
      <c r="A46" s="18" t="s">
        <v>71</v>
      </c>
      <c r="B46" s="60">
        <f>B41+B42+B43+B44+B45</f>
        <v>1325828</v>
      </c>
      <c r="C46" s="60">
        <f t="shared" ref="C46:D46" si="13">C41+C42+C43+C44+C45</f>
        <v>80858</v>
      </c>
      <c r="D46" s="60">
        <f t="shared" si="13"/>
        <v>1406686</v>
      </c>
      <c r="E46" s="18"/>
      <c r="F46" s="18" t="s">
        <v>114</v>
      </c>
      <c r="G46" s="60">
        <f>SUM(G39:G45)</f>
        <v>1098104</v>
      </c>
      <c r="H46" s="63">
        <f t="shared" ref="H46:I46" si="14">SUM(H39:H45)</f>
        <v>0</v>
      </c>
      <c r="I46" s="60">
        <f t="shared" si="14"/>
        <v>1098104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8214313</v>
      </c>
      <c r="C48" s="62">
        <f t="shared" ref="C48:D48" si="15">C25+C38+C46</f>
        <v>0</v>
      </c>
      <c r="D48" s="62">
        <f t="shared" si="15"/>
        <v>8214313</v>
      </c>
      <c r="E48" s="18"/>
      <c r="F48" s="22" t="s">
        <v>115</v>
      </c>
      <c r="G48" s="62">
        <f>G20+G32+G37+G46</f>
        <v>8214313</v>
      </c>
      <c r="H48" s="62">
        <f t="shared" ref="H48:I48" si="16">H20+H32+H37+H46</f>
        <v>0</v>
      </c>
      <c r="I48" s="62">
        <f t="shared" si="16"/>
        <v>8214313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abSelected="1" workbookViewId="0">
      <selection activeCell="C13" sqref="C13"/>
    </sheetView>
  </sheetViews>
  <sheetFormatPr defaultColWidth="8.85546875"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268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341560</v>
      </c>
      <c r="C10" s="33">
        <f>'CurrentYearBalanceSheet '!D10</f>
        <v>271690</v>
      </c>
      <c r="D10" s="18"/>
      <c r="E10" s="18" t="s">
        <v>78</v>
      </c>
      <c r="F10" s="33">
        <f>PriorYearBalanceSheet!I10</f>
        <v>696419</v>
      </c>
      <c r="G10" s="33">
        <f>'CurrentYearBalanceSheet '!I10</f>
        <v>669273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3401580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1216000</v>
      </c>
      <c r="G14" s="33">
        <f>'CurrentYearBalanceSheet '!I14</f>
        <v>5897813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28227</v>
      </c>
      <c r="G16" s="33">
        <f>'CurrentYearBalanceSheet '!I16</f>
        <v>27281</v>
      </c>
    </row>
    <row r="17" spans="1:7" x14ac:dyDescent="0.25">
      <c r="A17" s="18" t="s">
        <v>44</v>
      </c>
      <c r="B17" s="33">
        <f>PriorYearBalanceSheet!D17</f>
        <v>342521</v>
      </c>
      <c r="C17" s="33">
        <f>'CurrentYearBalanceSheet '!D17</f>
        <v>417922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9889</v>
      </c>
      <c r="C18" s="33">
        <f>'CurrentYearBalanceSheet '!D18</f>
        <v>410</v>
      </c>
      <c r="D18" s="18"/>
      <c r="E18" s="18" t="s">
        <v>88</v>
      </c>
      <c r="F18" s="33">
        <f>PriorYearBalanceSheet!I18</f>
        <v>85842</v>
      </c>
      <c r="G18" s="33">
        <f>'CurrentYearBalanceSheet '!I18</f>
        <v>95749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308508</v>
      </c>
      <c r="G19" s="33">
        <f>'CurrentYearBalanceSheet '!I19</f>
        <v>311730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2334996</v>
      </c>
      <c r="G20" s="36">
        <f>SUM(G10:G19)</f>
        <v>7001846</v>
      </c>
    </row>
    <row r="21" spans="1:7" x14ac:dyDescent="0.25">
      <c r="A21" s="18" t="s">
        <v>49</v>
      </c>
      <c r="B21" s="33">
        <f>PriorYearBalanceSheet!D21</f>
        <v>117813</v>
      </c>
      <c r="C21" s="33">
        <f>'CurrentYearBalanceSheet '!D21</f>
        <v>115523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67789</v>
      </c>
      <c r="C23" s="33">
        <f>'CurrentYearBalanceSheet '!D23</f>
        <v>41847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4281152</v>
      </c>
      <c r="C25" s="33">
        <f>C10+C11+C13+C14+C15+C17+C18+C19+C20+C21+C22+C23+C24</f>
        <v>847392</v>
      </c>
      <c r="D25" s="18"/>
      <c r="E25" s="18" t="s">
        <v>95</v>
      </c>
      <c r="F25" s="33">
        <f>PriorYearBalanceSheet!I25</f>
        <v>5806465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74410</v>
      </c>
      <c r="G29" s="33">
        <f>'CurrentYearBalanceSheet '!I29</f>
        <v>44717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5880875</v>
      </c>
      <c r="G32" s="33">
        <f>SUM(G22:G31)</f>
        <v>44717</v>
      </c>
    </row>
    <row r="33" spans="1:7" x14ac:dyDescent="0.25">
      <c r="A33" s="18" t="s">
        <v>58</v>
      </c>
      <c r="B33" s="33">
        <f>PriorYearBalanceSheet!D33</f>
        <v>60003</v>
      </c>
      <c r="C33" s="33">
        <f>'CurrentYearBalanceSheet '!D33</f>
        <v>60003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6480820</v>
      </c>
      <c r="C34" s="33">
        <f>'CurrentYearBalanceSheet '!D34</f>
        <v>5649669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74691</v>
      </c>
      <c r="C35" s="33">
        <f>'CurrentYearBalanceSheet '!D35</f>
        <v>107344</v>
      </c>
      <c r="D35" s="18"/>
      <c r="E35" s="18" t="s">
        <v>222</v>
      </c>
      <c r="F35" s="33">
        <f>PriorYearBalanceSheet!I35</f>
        <v>-25413</v>
      </c>
      <c r="G35" s="33">
        <f>'CurrentYearBalanceSheet '!I35</f>
        <v>69646</v>
      </c>
    </row>
    <row r="36" spans="1:7" x14ac:dyDescent="0.25">
      <c r="A36" s="18" t="s">
        <v>63</v>
      </c>
      <c r="B36" s="33">
        <f>PriorYearBalanceSheet!D36</f>
        <v>200538</v>
      </c>
      <c r="C36" s="33">
        <f>'CurrentYearBalanceSheet '!D36</f>
        <v>143219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-25413</v>
      </c>
      <c r="G37" s="33">
        <f>SUM(G34:G36)</f>
        <v>69646</v>
      </c>
    </row>
    <row r="38" spans="1:7" x14ac:dyDescent="0.25">
      <c r="A38" s="18" t="s">
        <v>65</v>
      </c>
      <c r="B38" s="33">
        <f>B29+B30+B32+B33+B34+B35+B36+B37</f>
        <v>6816052</v>
      </c>
      <c r="C38" s="33">
        <f>C29+C30+C32+C33+C34+C35+C36+C37</f>
        <v>5960235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57050</v>
      </c>
      <c r="G39" s="33">
        <f>'CurrentYearBalanceSheet '!I39</f>
        <v>57050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11054124</v>
      </c>
      <c r="G40" s="33">
        <f>'CurrentYearBalanceSheet '!I40</f>
        <v>8093354</v>
      </c>
    </row>
    <row r="41" spans="1:7" x14ac:dyDescent="0.25">
      <c r="A41" s="18" t="s">
        <v>67</v>
      </c>
      <c r="B41" s="33">
        <f>PriorYearBalanceSheet!D41</f>
        <v>14822571</v>
      </c>
      <c r="C41" s="33">
        <f>'CurrentYearBalanceSheet '!D41</f>
        <v>14892504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86007</v>
      </c>
      <c r="C43" s="33">
        <f>'CurrentYearBalanceSheet '!D43</f>
        <v>111328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-13155898</v>
      </c>
      <c r="C45" s="34">
        <f>'CurrentYearBalanceSheet '!D45</f>
        <v>-13597146</v>
      </c>
      <c r="D45" s="18"/>
      <c r="E45" s="18" t="s">
        <v>113</v>
      </c>
      <c r="F45" s="34">
        <f>PriorYearBalanceSheet!I45</f>
        <v>-6451748</v>
      </c>
      <c r="G45" s="34">
        <f>'CurrentYearBalanceSheet '!I45</f>
        <v>-7052300</v>
      </c>
    </row>
    <row r="46" spans="1:7" x14ac:dyDescent="0.25">
      <c r="A46" s="18" t="s">
        <v>71</v>
      </c>
      <c r="B46" s="33">
        <f>SUM(B41:B45)</f>
        <v>1752680</v>
      </c>
      <c r="C46" s="33">
        <f>SUM(C41:C45)</f>
        <v>1406686</v>
      </c>
      <c r="D46" s="18"/>
      <c r="E46" s="18" t="s">
        <v>114</v>
      </c>
      <c r="F46" s="33">
        <f>SUM(F39:F45)</f>
        <v>4659426</v>
      </c>
      <c r="G46" s="33">
        <f>SUM(G39:G45)</f>
        <v>1098104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12849884</v>
      </c>
      <c r="C48" s="35">
        <f>C25+C38+C46</f>
        <v>8214313</v>
      </c>
      <c r="D48" s="18"/>
      <c r="E48" s="22" t="s">
        <v>115</v>
      </c>
      <c r="F48" s="35">
        <f>F20+F32+F37+F46</f>
        <v>12849884</v>
      </c>
      <c r="G48" s="35">
        <f>G20+G32+G37+G46</f>
        <v>8214313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workbookViewId="0">
      <selection activeCell="C13" sqref="C13"/>
    </sheetView>
  </sheetViews>
  <sheetFormatPr defaultColWidth="8.85546875"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14822571</v>
      </c>
      <c r="E10" s="60">
        <f>'BalanceSheet(Summary)'!C41</f>
        <v>14892504</v>
      </c>
      <c r="F10" s="60">
        <f>(D10+E10)/2</f>
        <v>14857537.5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-13155898</v>
      </c>
      <c r="E12" s="60">
        <f>'BalanceSheet(Summary)'!C45</f>
        <v>-13597146</v>
      </c>
      <c r="F12" s="60">
        <f t="shared" ref="F12:F15" si="0">(D12+E12)/2</f>
        <v>-13376522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117813</v>
      </c>
      <c r="E13" s="60">
        <f>'BalanceSheet(Summary)'!C21</f>
        <v>115523</v>
      </c>
      <c r="F13" s="60">
        <f t="shared" si="0"/>
        <v>116668</v>
      </c>
    </row>
    <row r="14" spans="1:6" x14ac:dyDescent="0.25">
      <c r="A14" s="11">
        <v>5</v>
      </c>
      <c r="B14" s="18" t="s">
        <v>132</v>
      </c>
      <c r="C14" s="20"/>
      <c r="D14" s="53">
        <v>25413</v>
      </c>
      <c r="E14" s="53">
        <v>-21649</v>
      </c>
      <c r="F14" s="60">
        <f t="shared" si="0"/>
        <v>1882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1809899</v>
      </c>
      <c r="E15" s="64">
        <f>SUM(E10:E14)</f>
        <v>1389232</v>
      </c>
      <c r="F15" s="65">
        <f t="shared" si="0"/>
        <v>1599565.5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 t="s">
        <v>270</v>
      </c>
      <c r="C22" s="68"/>
      <c r="D22" s="68"/>
      <c r="E22" s="68"/>
      <c r="F22" s="68"/>
    </row>
    <row r="23" spans="1:6" x14ac:dyDescent="0.25">
      <c r="A23" s="68"/>
      <c r="B23" s="68" t="s">
        <v>271</v>
      </c>
      <c r="C23" s="68"/>
      <c r="D23" s="68"/>
      <c r="E23" s="68"/>
      <c r="F23" s="68"/>
    </row>
    <row r="24" spans="1:6" x14ac:dyDescent="0.25">
      <c r="A24" s="68"/>
      <c r="B24" s="68" t="s">
        <v>273</v>
      </c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workbookViewId="0">
      <selection activeCell="C13" sqref="C13"/>
    </sheetView>
  </sheetViews>
  <sheetFormatPr defaultColWidth="8.85546875"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2306</v>
      </c>
      <c r="D10" s="53">
        <v>2217</v>
      </c>
      <c r="E10" s="33">
        <f>D10-C10</f>
        <v>-89</v>
      </c>
      <c r="F10" s="39">
        <f>E10/C10</f>
        <v>-3.8594969644405897E-2</v>
      </c>
    </row>
    <row r="11" spans="1:6" x14ac:dyDescent="0.25">
      <c r="A11" s="11">
        <v>2</v>
      </c>
      <c r="B11" s="20" t="s">
        <v>140</v>
      </c>
      <c r="C11" s="53">
        <v>523</v>
      </c>
      <c r="D11" s="53">
        <v>511</v>
      </c>
      <c r="E11" s="33">
        <f>D11-C11</f>
        <v>-12</v>
      </c>
      <c r="F11" s="39">
        <f t="shared" ref="F11:F12" si="0">E11/C11</f>
        <v>-2.2944550669216062E-2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2829</v>
      </c>
      <c r="D12" s="35">
        <f t="shared" ref="D12:E12" si="1">SUM(D10:D11)</f>
        <v>2728</v>
      </c>
      <c r="E12" s="35">
        <f t="shared" si="1"/>
        <v>-101</v>
      </c>
      <c r="F12" s="40">
        <f t="shared" si="0"/>
        <v>-3.5701661364439731E-2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honeticPr fontId="5" type="noConversion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abSelected="1" workbookViewId="0">
      <selection activeCell="C13" sqref="C13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652675</v>
      </c>
      <c r="D9" s="53"/>
      <c r="E9" s="60">
        <f>SUM(C9:D9)</f>
        <v>652675</v>
      </c>
    </row>
    <row r="10" spans="1:6" x14ac:dyDescent="0.25">
      <c r="A10" s="11">
        <v>2</v>
      </c>
      <c r="B10" s="15" t="s">
        <v>2</v>
      </c>
      <c r="C10" s="53">
        <v>2298937</v>
      </c>
      <c r="D10" s="53"/>
      <c r="E10" s="60">
        <f t="shared" ref="E10:E14" si="0">SUM(C10:D10)</f>
        <v>2298937</v>
      </c>
    </row>
    <row r="11" spans="1:6" x14ac:dyDescent="0.25">
      <c r="A11" s="11">
        <v>3</v>
      </c>
      <c r="B11" s="15" t="s">
        <v>3</v>
      </c>
      <c r="C11" s="53">
        <v>167654</v>
      </c>
      <c r="D11" s="53">
        <v>-167654</v>
      </c>
      <c r="E11" s="60">
        <f t="shared" si="0"/>
        <v>0</v>
      </c>
    </row>
    <row r="12" spans="1:6" x14ac:dyDescent="0.25">
      <c r="A12" s="11">
        <v>4</v>
      </c>
      <c r="B12" s="15" t="s">
        <v>4</v>
      </c>
      <c r="C12" s="53">
        <v>41</v>
      </c>
      <c r="D12" s="53"/>
      <c r="E12" s="60">
        <f t="shared" si="0"/>
        <v>41</v>
      </c>
    </row>
    <row r="13" spans="1:6" x14ac:dyDescent="0.25">
      <c r="A13" s="11">
        <v>5</v>
      </c>
      <c r="B13" s="15" t="s">
        <v>5</v>
      </c>
      <c r="C13" s="53">
        <v>32157</v>
      </c>
      <c r="D13" s="53"/>
      <c r="E13" s="60">
        <f t="shared" si="0"/>
        <v>32157</v>
      </c>
    </row>
    <row r="14" spans="1:6" x14ac:dyDescent="0.25">
      <c r="A14" s="11">
        <v>6</v>
      </c>
      <c r="B14" s="15" t="s">
        <v>159</v>
      </c>
      <c r="C14" s="53">
        <v>-13577</v>
      </c>
      <c r="D14" s="53"/>
      <c r="E14" s="60">
        <f t="shared" si="0"/>
        <v>-13577</v>
      </c>
    </row>
    <row r="15" spans="1:6" x14ac:dyDescent="0.25">
      <c r="A15" s="11">
        <v>7</v>
      </c>
      <c r="B15" s="97" t="s">
        <v>158</v>
      </c>
      <c r="C15" s="109">
        <f>SUM(C9:C14)</f>
        <v>3137887</v>
      </c>
      <c r="D15" s="109">
        <f t="shared" ref="D15:E15" si="1">SUM(D9:D14)</f>
        <v>-167654</v>
      </c>
      <c r="E15" s="109">
        <f t="shared" si="1"/>
        <v>2970233</v>
      </c>
      <c r="F15" s="1"/>
    </row>
    <row r="16" spans="1:6" x14ac:dyDescent="0.25">
      <c r="A16" s="11">
        <v>8</v>
      </c>
      <c r="B16" s="15" t="s">
        <v>6</v>
      </c>
      <c r="C16" s="53">
        <v>1430757</v>
      </c>
      <c r="D16" s="53">
        <v>-10545</v>
      </c>
      <c r="E16" s="42">
        <f>SUM(C16:D16)</f>
        <v>1420212</v>
      </c>
    </row>
    <row r="17" spans="1:6" x14ac:dyDescent="0.25">
      <c r="A17" s="11">
        <v>9</v>
      </c>
      <c r="B17" s="15" t="s">
        <v>40</v>
      </c>
      <c r="C17" s="53">
        <v>638627</v>
      </c>
      <c r="D17" s="53">
        <v>-248776</v>
      </c>
      <c r="E17" s="42">
        <f t="shared" ref="E17:E21" si="2">SUM(C17:D17)</f>
        <v>389851</v>
      </c>
    </row>
    <row r="18" spans="1:6" x14ac:dyDescent="0.25">
      <c r="A18" s="11">
        <v>10</v>
      </c>
      <c r="B18" s="15" t="s">
        <v>7</v>
      </c>
      <c r="C18" s="53">
        <v>475303</v>
      </c>
      <c r="D18" s="53">
        <v>29384</v>
      </c>
      <c r="E18" s="42">
        <f t="shared" si="2"/>
        <v>504687</v>
      </c>
    </row>
    <row r="19" spans="1:6" x14ac:dyDescent="0.25">
      <c r="A19" s="11">
        <v>11</v>
      </c>
      <c r="B19" s="15" t="s">
        <v>8</v>
      </c>
      <c r="C19" s="53">
        <v>59314</v>
      </c>
      <c r="D19" s="53">
        <v>-31880</v>
      </c>
      <c r="E19" s="42">
        <f t="shared" si="2"/>
        <v>27434</v>
      </c>
    </row>
    <row r="20" spans="1:6" x14ac:dyDescent="0.25">
      <c r="A20" s="11">
        <v>12</v>
      </c>
      <c r="B20" s="15" t="s">
        <v>9</v>
      </c>
      <c r="C20" s="53">
        <v>835664</v>
      </c>
      <c r="D20" s="53">
        <v>-193587</v>
      </c>
      <c r="E20" s="42">
        <f t="shared" si="2"/>
        <v>642077</v>
      </c>
    </row>
    <row r="21" spans="1:6" x14ac:dyDescent="0.25">
      <c r="A21" s="11">
        <v>13</v>
      </c>
      <c r="B21" s="15" t="s">
        <v>10</v>
      </c>
      <c r="C21" s="53">
        <v>1279813</v>
      </c>
      <c r="D21" s="53">
        <v>12331</v>
      </c>
      <c r="E21" s="42">
        <f t="shared" si="2"/>
        <v>1292144</v>
      </c>
    </row>
    <row r="22" spans="1:6" x14ac:dyDescent="0.25">
      <c r="A22" s="11" t="s">
        <v>154</v>
      </c>
      <c r="B22" s="15" t="s">
        <v>160</v>
      </c>
      <c r="C22" s="110"/>
      <c r="D22" s="110"/>
      <c r="E22" s="88">
        <v>-105559</v>
      </c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1279813</v>
      </c>
      <c r="D23" s="60">
        <f t="shared" ref="D23:E23" si="3">SUM(D21:D22)</f>
        <v>12331</v>
      </c>
      <c r="E23" s="87">
        <f t="shared" si="3"/>
        <v>1186585</v>
      </c>
    </row>
    <row r="24" spans="1:6" x14ac:dyDescent="0.25">
      <c r="A24" s="11">
        <v>14</v>
      </c>
      <c r="B24" s="92" t="s">
        <v>157</v>
      </c>
      <c r="C24" s="109">
        <f>C16+C17+C18+C19+C20+C23</f>
        <v>4719478</v>
      </c>
      <c r="D24" s="109">
        <f t="shared" ref="D24:E24" si="4">D16+D17+D18+D19+D20+D23</f>
        <v>-443073</v>
      </c>
      <c r="E24" s="111">
        <f t="shared" si="4"/>
        <v>4170846</v>
      </c>
      <c r="F24" s="1"/>
    </row>
    <row r="25" spans="1:6" x14ac:dyDescent="0.25">
      <c r="A25" s="11">
        <v>15</v>
      </c>
      <c r="B25" s="15" t="s">
        <v>14</v>
      </c>
      <c r="C25" s="60">
        <f>C15-C24</f>
        <v>-1581591</v>
      </c>
      <c r="D25" s="60">
        <f t="shared" ref="D25:E25" si="5">D15-D24</f>
        <v>275419</v>
      </c>
      <c r="E25" s="60">
        <f t="shared" si="5"/>
        <v>-1200613</v>
      </c>
    </row>
    <row r="26" spans="1:6" x14ac:dyDescent="0.25">
      <c r="A26" s="11">
        <v>16</v>
      </c>
      <c r="B26" s="15" t="s">
        <v>161</v>
      </c>
      <c r="C26" s="53"/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/>
      <c r="D27" s="53"/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/>
      <c r="D28" s="108"/>
      <c r="E28" s="60">
        <f t="shared" si="6"/>
        <v>0</v>
      </c>
    </row>
    <row r="29" spans="1:6" x14ac:dyDescent="0.25">
      <c r="A29" s="11">
        <v>19</v>
      </c>
      <c r="B29" s="15" t="s">
        <v>13</v>
      </c>
      <c r="C29" s="53">
        <v>242528</v>
      </c>
      <c r="D29" s="53"/>
      <c r="E29" s="60">
        <f t="shared" si="6"/>
        <v>242528</v>
      </c>
    </row>
    <row r="30" spans="1:6" x14ac:dyDescent="0.25">
      <c r="A30" s="11">
        <v>20</v>
      </c>
      <c r="B30" s="97" t="s">
        <v>12</v>
      </c>
      <c r="C30" s="85">
        <f>SUM(C27:C29)</f>
        <v>242528</v>
      </c>
      <c r="D30" s="85">
        <f t="shared" ref="D30:E30" si="7">SUM(D27:D29)</f>
        <v>0</v>
      </c>
      <c r="E30" s="112">
        <f t="shared" si="7"/>
        <v>242528</v>
      </c>
    </row>
    <row r="31" spans="1:6" x14ac:dyDescent="0.25">
      <c r="A31" s="11">
        <v>21</v>
      </c>
      <c r="B31" s="97" t="s">
        <v>23</v>
      </c>
      <c r="C31" s="85">
        <f>C25+C26-C30</f>
        <v>-1824119</v>
      </c>
      <c r="D31" s="85">
        <f>D25+D26-D30</f>
        <v>275419</v>
      </c>
      <c r="E31" s="112">
        <f>E25+E26-E30</f>
        <v>-1443141</v>
      </c>
    </row>
    <row r="32" spans="1:6" x14ac:dyDescent="0.25">
      <c r="A32" s="11">
        <v>22</v>
      </c>
      <c r="B32" s="15" t="s">
        <v>15</v>
      </c>
      <c r="C32" s="53">
        <v>379157</v>
      </c>
      <c r="D32" s="57">
        <v>-273436</v>
      </c>
      <c r="E32" s="60">
        <f>SUM(C32:D32)</f>
        <v>105721</v>
      </c>
    </row>
    <row r="33" spans="1:10" x14ac:dyDescent="0.25">
      <c r="A33" s="11">
        <v>23</v>
      </c>
      <c r="B33" s="15" t="s">
        <v>16</v>
      </c>
      <c r="C33" s="53">
        <v>6170</v>
      </c>
      <c r="D33" s="57">
        <v>-6170</v>
      </c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-301</v>
      </c>
      <c r="D34" s="57">
        <v>301</v>
      </c>
      <c r="E34" s="60">
        <f t="shared" si="8"/>
        <v>0</v>
      </c>
    </row>
    <row r="35" spans="1:10" x14ac:dyDescent="0.25">
      <c r="A35" s="11">
        <v>25</v>
      </c>
      <c r="B35" s="15" t="s">
        <v>175</v>
      </c>
      <c r="C35" s="53"/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385026</v>
      </c>
      <c r="D36" s="113">
        <f t="shared" ref="D36" si="9">SUM(D32:D35)</f>
        <v>-279305</v>
      </c>
      <c r="E36" s="85">
        <f>SUM(E32:E35)</f>
        <v>105721</v>
      </c>
    </row>
    <row r="37" spans="1:10" x14ac:dyDescent="0.25">
      <c r="A37" s="11">
        <v>27</v>
      </c>
      <c r="B37" s="15" t="s">
        <v>19</v>
      </c>
      <c r="C37" s="53">
        <v>-58692</v>
      </c>
      <c r="D37" s="57">
        <v>50260</v>
      </c>
      <c r="E37" s="33">
        <f>SUM(C37:D37)</f>
        <v>-8432</v>
      </c>
    </row>
    <row r="38" spans="1:10" x14ac:dyDescent="0.25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1744856</v>
      </c>
      <c r="D40" s="72">
        <f>-1*(D31-D36)</f>
        <v>-554724</v>
      </c>
      <c r="E40" s="33">
        <f t="shared" si="10"/>
        <v>1190132</v>
      </c>
    </row>
    <row r="41" spans="1:10" x14ac:dyDescent="0.25">
      <c r="A41" s="11">
        <v>31</v>
      </c>
      <c r="B41" s="97" t="s">
        <v>22</v>
      </c>
      <c r="C41" s="85">
        <f>C31-C36+C37+C38+C39+C40</f>
        <v>-522981</v>
      </c>
      <c r="D41" s="85">
        <f t="shared" ref="D41:E41" si="11">D31-D36+D37+D38+D39+D40</f>
        <v>50260</v>
      </c>
      <c r="E41" s="85">
        <f t="shared" si="11"/>
        <v>-367162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-5954180</v>
      </c>
      <c r="D43" s="57"/>
      <c r="E43" s="60">
        <f t="shared" ref="E43:E48" si="12">SUM(C43:D43)</f>
        <v>-5954180</v>
      </c>
    </row>
    <row r="44" spans="1:10" x14ac:dyDescent="0.25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/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/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-6477161</v>
      </c>
      <c r="D49" s="113">
        <f t="shared" ref="D49:E49" si="13">(D41+D43+D44)-(D45+D46+D47+D48)</f>
        <v>50260</v>
      </c>
      <c r="E49" s="112">
        <f t="shared" si="13"/>
        <v>-6321342</v>
      </c>
    </row>
    <row r="50" spans="1:7" x14ac:dyDescent="0.25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806692</v>
      </c>
      <c r="D54" s="115"/>
      <c r="E54" s="33">
        <f>C54</f>
        <v>806692</v>
      </c>
    </row>
    <row r="55" spans="1:7" x14ac:dyDescent="0.25">
      <c r="A55" s="11">
        <v>45</v>
      </c>
      <c r="B55" s="15" t="s">
        <v>36</v>
      </c>
      <c r="C55" s="116">
        <f>((C24+C30-C18-C19)/C15)</f>
        <v>1.4109459645933713</v>
      </c>
      <c r="D55" s="116">
        <f>((D24+D30-D18-D19)/D15)</f>
        <v>2.6278943538478057</v>
      </c>
      <c r="E55" s="116">
        <f>((E24+E30-E18-E19)/E15)</f>
        <v>1.3067166784558653</v>
      </c>
    </row>
    <row r="56" spans="1:7" x14ac:dyDescent="0.25">
      <c r="A56" s="11">
        <v>46</v>
      </c>
      <c r="B56" s="15" t="s">
        <v>37</v>
      </c>
      <c r="C56" s="116">
        <f>((C24+C30+C36)/C15)</f>
        <v>1.7040231212914934</v>
      </c>
      <c r="D56" s="116">
        <f>((D24+D30+D36)/D15)</f>
        <v>4.3087430064299088</v>
      </c>
      <c r="E56" s="116">
        <f>((E24+E30+E36)/E15)</f>
        <v>1.521461447637273</v>
      </c>
    </row>
    <row r="57" spans="1:7" x14ac:dyDescent="0.25">
      <c r="A57" s="11">
        <v>47</v>
      </c>
      <c r="B57" s="15" t="s">
        <v>38</v>
      </c>
      <c r="C57" s="116">
        <f>((C41+C36)/C36)</f>
        <v>-0.35830047840925028</v>
      </c>
      <c r="D57" s="116">
        <f t="shared" ref="D57:E57" si="16">((D41+D36)/D36)</f>
        <v>0.82005334669984431</v>
      </c>
      <c r="E57" s="116">
        <f t="shared" si="16"/>
        <v>-2.4729334758468045</v>
      </c>
    </row>
    <row r="58" spans="1:7" x14ac:dyDescent="0.25">
      <c r="A58" s="11">
        <v>48</v>
      </c>
      <c r="B58" s="15" t="s">
        <v>39</v>
      </c>
      <c r="C58" s="116">
        <f>(C41+C36+C18+C19)/C54</f>
        <v>0.49171430979853525</v>
      </c>
      <c r="D58" s="116" t="e">
        <f t="shared" ref="D58:E58" si="17">(D41+D36+D18+D19)/D54</f>
        <v>#DIV/0!</v>
      </c>
      <c r="E58" s="116">
        <f t="shared" si="17"/>
        <v>0.33554318128852151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 t="s">
        <v>274</v>
      </c>
      <c r="C71" s="68"/>
      <c r="D71" s="68"/>
      <c r="E71" s="68"/>
      <c r="F71" s="68"/>
      <c r="G71" s="68"/>
    </row>
    <row r="72" spans="1:7" x14ac:dyDescent="0.25">
      <c r="A72" s="68"/>
      <c r="B72" s="68" t="s">
        <v>275</v>
      </c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honeticPr fontId="5" type="noConversion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abSelected="1" workbookViewId="0">
      <selection activeCell="C13" sqref="C13"/>
    </sheetView>
  </sheetViews>
  <sheetFormatPr defaultColWidth="8.85546875"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630448</v>
      </c>
      <c r="D9" s="53"/>
      <c r="E9" s="33">
        <f>SUM(C9:D9)</f>
        <v>630448</v>
      </c>
    </row>
    <row r="10" spans="1:6" x14ac:dyDescent="0.25">
      <c r="A10" s="11">
        <v>2</v>
      </c>
      <c r="B10" s="18" t="s">
        <v>2</v>
      </c>
      <c r="C10" s="53">
        <v>2485848</v>
      </c>
      <c r="D10" s="53"/>
      <c r="E10" s="33">
        <f t="shared" ref="E10:E14" si="0">SUM(C10:D10)</f>
        <v>2485848</v>
      </c>
    </row>
    <row r="11" spans="1:6" x14ac:dyDescent="0.25">
      <c r="A11" s="11">
        <v>3</v>
      </c>
      <c r="B11" s="18" t="s">
        <v>3</v>
      </c>
      <c r="C11" s="53">
        <v>170056</v>
      </c>
      <c r="D11" s="53"/>
      <c r="E11" s="33">
        <f t="shared" si="0"/>
        <v>170056</v>
      </c>
    </row>
    <row r="12" spans="1:6" x14ac:dyDescent="0.25">
      <c r="A12" s="11">
        <v>4</v>
      </c>
      <c r="B12" s="18" t="s">
        <v>4</v>
      </c>
      <c r="C12" s="53">
        <v>32</v>
      </c>
      <c r="D12" s="53"/>
      <c r="E12" s="33">
        <f t="shared" si="0"/>
        <v>32</v>
      </c>
    </row>
    <row r="13" spans="1:6" x14ac:dyDescent="0.25">
      <c r="A13" s="11">
        <v>5</v>
      </c>
      <c r="B13" s="18" t="s">
        <v>5</v>
      </c>
      <c r="C13" s="53">
        <v>31717</v>
      </c>
      <c r="D13" s="53"/>
      <c r="E13" s="33">
        <f t="shared" si="0"/>
        <v>31717</v>
      </c>
    </row>
    <row r="14" spans="1:6" x14ac:dyDescent="0.25">
      <c r="A14" s="11">
        <v>6</v>
      </c>
      <c r="B14" s="18" t="s">
        <v>159</v>
      </c>
      <c r="C14" s="53">
        <v>-18247</v>
      </c>
      <c r="D14" s="53"/>
      <c r="E14" s="33">
        <f t="shared" si="0"/>
        <v>-18247</v>
      </c>
    </row>
    <row r="15" spans="1:6" x14ac:dyDescent="0.25">
      <c r="A15" s="11">
        <v>7</v>
      </c>
      <c r="B15" s="92" t="s">
        <v>158</v>
      </c>
      <c r="C15" s="41">
        <f>SUM(C9:C14)</f>
        <v>3299854</v>
      </c>
      <c r="D15" s="41">
        <f t="shared" ref="D15:E15" si="1">SUM(D9:D14)</f>
        <v>0</v>
      </c>
      <c r="E15" s="41">
        <f t="shared" si="1"/>
        <v>3299854</v>
      </c>
      <c r="F15" s="1"/>
    </row>
    <row r="16" spans="1:6" x14ac:dyDescent="0.25">
      <c r="A16" s="11">
        <v>8</v>
      </c>
      <c r="B16" s="18" t="s">
        <v>6</v>
      </c>
      <c r="C16" s="53">
        <v>1404448</v>
      </c>
      <c r="D16" s="53">
        <v>-8353</v>
      </c>
      <c r="E16" s="42">
        <f>SUM(C16:D16)</f>
        <v>1396095</v>
      </c>
    </row>
    <row r="17" spans="1:6" x14ac:dyDescent="0.25">
      <c r="A17" s="11">
        <v>9</v>
      </c>
      <c r="B17" s="18" t="s">
        <v>40</v>
      </c>
      <c r="C17" s="53">
        <v>521344</v>
      </c>
      <c r="D17" s="53">
        <v>-115375</v>
      </c>
      <c r="E17" s="42">
        <f t="shared" ref="E17:E21" si="2">SUM(C17:D17)</f>
        <v>405969</v>
      </c>
    </row>
    <row r="18" spans="1:6" x14ac:dyDescent="0.25">
      <c r="A18" s="11">
        <v>10</v>
      </c>
      <c r="B18" s="18" t="s">
        <v>7</v>
      </c>
      <c r="C18" s="53">
        <v>378474</v>
      </c>
      <c r="D18" s="53">
        <v>76917</v>
      </c>
      <c r="E18" s="42">
        <f t="shared" si="2"/>
        <v>455391</v>
      </c>
    </row>
    <row r="19" spans="1:6" x14ac:dyDescent="0.25">
      <c r="A19" s="11">
        <v>11</v>
      </c>
      <c r="B19" s="18" t="s">
        <v>8</v>
      </c>
      <c r="C19" s="53">
        <v>27252</v>
      </c>
      <c r="D19" s="53">
        <v>-1082</v>
      </c>
      <c r="E19" s="42">
        <f t="shared" si="2"/>
        <v>26170</v>
      </c>
    </row>
    <row r="20" spans="1:6" x14ac:dyDescent="0.25">
      <c r="A20" s="11">
        <v>12</v>
      </c>
      <c r="B20" s="18" t="s">
        <v>9</v>
      </c>
      <c r="C20" s="53">
        <v>879042</v>
      </c>
      <c r="D20" s="53">
        <v>-240149</v>
      </c>
      <c r="E20" s="42">
        <f t="shared" si="2"/>
        <v>638893</v>
      </c>
    </row>
    <row r="21" spans="1:6" x14ac:dyDescent="0.25">
      <c r="A21" s="11">
        <v>13</v>
      </c>
      <c r="B21" s="18" t="s">
        <v>10</v>
      </c>
      <c r="C21" s="53">
        <v>1263579</v>
      </c>
      <c r="D21" s="53">
        <v>8353</v>
      </c>
      <c r="E21" s="42">
        <f t="shared" si="2"/>
        <v>1271932</v>
      </c>
    </row>
    <row r="22" spans="1:6" x14ac:dyDescent="0.25">
      <c r="A22" s="11" t="s">
        <v>154</v>
      </c>
      <c r="B22" s="18" t="s">
        <v>160</v>
      </c>
      <c r="C22" s="103"/>
      <c r="D22" s="103"/>
      <c r="E22" s="88">
        <v>-96116</v>
      </c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1263579</v>
      </c>
      <c r="D23" s="33">
        <f t="shared" ref="D23:E23" si="3">SUM(D21:D22)</f>
        <v>8353</v>
      </c>
      <c r="E23" s="42">
        <f t="shared" si="3"/>
        <v>1175816</v>
      </c>
    </row>
    <row r="24" spans="1:6" x14ac:dyDescent="0.25">
      <c r="A24" s="11">
        <v>14</v>
      </c>
      <c r="B24" s="92" t="s">
        <v>157</v>
      </c>
      <c r="C24" s="41">
        <f>C16+C17+C18+C19+C20+C23</f>
        <v>4474139</v>
      </c>
      <c r="D24" s="41">
        <f t="shared" ref="D24:E24" si="4">D16+D17+D18+D19+D20+D23</f>
        <v>-279689</v>
      </c>
      <c r="E24" s="43">
        <f t="shared" si="4"/>
        <v>4098334</v>
      </c>
      <c r="F24" s="1"/>
    </row>
    <row r="25" spans="1:6" x14ac:dyDescent="0.25">
      <c r="A25" s="11">
        <v>15</v>
      </c>
      <c r="B25" s="18" t="s">
        <v>14</v>
      </c>
      <c r="C25" s="33">
        <f>C15-C24</f>
        <v>-1174285</v>
      </c>
      <c r="D25" s="33">
        <f t="shared" ref="D25:E25" si="5">D15-D24</f>
        <v>279689</v>
      </c>
      <c r="E25" s="33">
        <f t="shared" si="5"/>
        <v>-798480</v>
      </c>
    </row>
    <row r="26" spans="1:6" x14ac:dyDescent="0.25">
      <c r="A26" s="11">
        <v>16</v>
      </c>
      <c r="B26" s="18" t="s">
        <v>161</v>
      </c>
      <c r="C26" s="53"/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/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/>
      <c r="D28" s="108"/>
      <c r="E28" s="33">
        <f t="shared" si="6"/>
        <v>0</v>
      </c>
    </row>
    <row r="29" spans="1:6" x14ac:dyDescent="0.25">
      <c r="A29" s="11">
        <v>19</v>
      </c>
      <c r="B29" s="18" t="s">
        <v>13</v>
      </c>
      <c r="C29" s="53">
        <v>196714</v>
      </c>
      <c r="D29" s="53">
        <v>1</v>
      </c>
      <c r="E29" s="33">
        <f t="shared" si="6"/>
        <v>196715</v>
      </c>
    </row>
    <row r="30" spans="1:6" x14ac:dyDescent="0.25">
      <c r="A30" s="11">
        <v>20</v>
      </c>
      <c r="B30" s="92" t="s">
        <v>12</v>
      </c>
      <c r="C30" s="38">
        <f>SUM(C27:C29)</f>
        <v>196714</v>
      </c>
      <c r="D30" s="38">
        <f t="shared" ref="D30:E30" si="7">SUM(D27:D29)</f>
        <v>1</v>
      </c>
      <c r="E30" s="44">
        <f t="shared" si="7"/>
        <v>196715</v>
      </c>
    </row>
    <row r="31" spans="1:6" x14ac:dyDescent="0.25">
      <c r="A31" s="11">
        <v>21</v>
      </c>
      <c r="B31" s="92" t="s">
        <v>23</v>
      </c>
      <c r="C31" s="38">
        <f>C25+C26-C30</f>
        <v>-1370999</v>
      </c>
      <c r="D31" s="38">
        <f>D25+D26-D30</f>
        <v>279688</v>
      </c>
      <c r="E31" s="44">
        <f>E25+E26-E30</f>
        <v>-995195</v>
      </c>
    </row>
    <row r="32" spans="1:6" x14ac:dyDescent="0.25">
      <c r="A32" s="11">
        <v>22</v>
      </c>
      <c r="B32" s="18" t="s">
        <v>15</v>
      </c>
      <c r="C32" s="53">
        <v>350277</v>
      </c>
      <c r="D32" s="57">
        <v>-313785</v>
      </c>
      <c r="E32" s="33">
        <f>SUM(C32:D32)</f>
        <v>36492</v>
      </c>
    </row>
    <row r="33" spans="1:5" x14ac:dyDescent="0.25">
      <c r="A33" s="11">
        <v>23</v>
      </c>
      <c r="B33" s="18" t="s">
        <v>16</v>
      </c>
      <c r="C33" s="53">
        <v>4432</v>
      </c>
      <c r="D33" s="57">
        <v>-4432</v>
      </c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/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/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354709</v>
      </c>
      <c r="D36" s="66">
        <f t="shared" ref="D36" si="9">SUM(D32:D35)</f>
        <v>-318217</v>
      </c>
      <c r="E36" s="38">
        <f>SUM(E32:E35)</f>
        <v>36492</v>
      </c>
    </row>
    <row r="37" spans="1:5" x14ac:dyDescent="0.25">
      <c r="A37" s="11">
        <v>27</v>
      </c>
      <c r="B37" s="18" t="s">
        <v>19</v>
      </c>
      <c r="C37" s="53">
        <v>-104528</v>
      </c>
      <c r="D37" s="57">
        <v>54005</v>
      </c>
      <c r="E37" s="33">
        <f>SUM(C37:D37)</f>
        <v>-50523</v>
      </c>
    </row>
    <row r="38" spans="1:5" x14ac:dyDescent="0.25">
      <c r="A38" s="11">
        <v>28</v>
      </c>
      <c r="B38" s="18" t="s">
        <v>20</v>
      </c>
      <c r="C38" s="53"/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/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1255097</v>
      </c>
      <c r="D40" s="72">
        <f>-1*(D31-D36)</f>
        <v>-597905</v>
      </c>
      <c r="E40" s="33">
        <f t="shared" si="10"/>
        <v>657192</v>
      </c>
    </row>
    <row r="41" spans="1:5" x14ac:dyDescent="0.25">
      <c r="A41" s="11">
        <v>31</v>
      </c>
      <c r="B41" s="92" t="s">
        <v>22</v>
      </c>
      <c r="C41" s="38">
        <f>C31-C36+C37+C38+C39+C40</f>
        <v>-575139</v>
      </c>
      <c r="D41" s="38">
        <f t="shared" ref="D41:E41" si="11">D31-D36+D37+D38+D39+D40</f>
        <v>54005</v>
      </c>
      <c r="E41" s="38">
        <f t="shared" si="11"/>
        <v>-425018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f>+PriorYearBalanceSheet!G45</f>
        <v>-6477161</v>
      </c>
      <c r="D43" s="57"/>
      <c r="E43" s="33">
        <f t="shared" ref="E43:E48" si="12">SUM(C43:D43)</f>
        <v>-6477161</v>
      </c>
    </row>
    <row r="44" spans="1:5" x14ac:dyDescent="0.25">
      <c r="A44" s="11">
        <v>34</v>
      </c>
      <c r="B44" s="18" t="s">
        <v>26</v>
      </c>
      <c r="C44" s="53"/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/>
      <c r="D45" s="57"/>
      <c r="E45" s="33">
        <f t="shared" si="12"/>
        <v>0</v>
      </c>
    </row>
    <row r="46" spans="1:5" x14ac:dyDescent="0.25">
      <c r="A46" s="11">
        <v>36</v>
      </c>
      <c r="B46" s="18" t="s">
        <v>28</v>
      </c>
      <c r="C46" s="53"/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/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/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-7052300</v>
      </c>
      <c r="D49" s="66">
        <f t="shared" ref="D49:E49" si="13">(D41+D43+D44)-(D45+D46+D47+D48)</f>
        <v>54005</v>
      </c>
      <c r="E49" s="44">
        <f t="shared" si="13"/>
        <v>-6902179</v>
      </c>
    </row>
    <row r="50" spans="1:7" x14ac:dyDescent="0.25">
      <c r="A50" s="11">
        <v>40</v>
      </c>
      <c r="B50" s="18" t="s">
        <v>32</v>
      </c>
      <c r="C50" s="53"/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/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/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1515716</v>
      </c>
      <c r="D54" s="107"/>
      <c r="E54" s="33">
        <f>C54</f>
        <v>1515716</v>
      </c>
    </row>
    <row r="55" spans="1:7" x14ac:dyDescent="0.25">
      <c r="A55" s="11">
        <v>45</v>
      </c>
      <c r="B55" s="18" t="s">
        <v>36</v>
      </c>
      <c r="C55" s="47">
        <f>((C24+C30-C18-C19)/C15)</f>
        <v>1.292519911486993</v>
      </c>
      <c r="D55" s="47" t="e">
        <f>((D24+D30-D18-D19)/D15)</f>
        <v>#DIV/0!</v>
      </c>
      <c r="E55" s="47">
        <f>((E24+E30-E18-E19)/E15)</f>
        <v>1.1556535531572003</v>
      </c>
    </row>
    <row r="56" spans="1:7" x14ac:dyDescent="0.25">
      <c r="A56" s="11">
        <v>46</v>
      </c>
      <c r="B56" s="18" t="s">
        <v>37</v>
      </c>
      <c r="C56" s="47">
        <f>((C24+C30+C36)/C15)</f>
        <v>1.5229649554192397</v>
      </c>
      <c r="D56" s="47" t="e">
        <f>((D24+D30+D36)/D15)</f>
        <v>#DIV/0!</v>
      </c>
      <c r="E56" s="47">
        <f>((E24+E30+E36)/E15)</f>
        <v>1.3126462564707408</v>
      </c>
    </row>
    <row r="57" spans="1:7" x14ac:dyDescent="0.25">
      <c r="A57" s="11">
        <v>47</v>
      </c>
      <c r="B57" s="18" t="s">
        <v>38</v>
      </c>
      <c r="C57" s="47">
        <f>((C41+C36)/C36)</f>
        <v>-0.62143898237710349</v>
      </c>
      <c r="D57" s="47">
        <f t="shared" ref="D57:E57" si="16">((D41+D36)/D36)</f>
        <v>0.8302887652136749</v>
      </c>
      <c r="E57" s="47">
        <f t="shared" si="16"/>
        <v>-10.646881508275786</v>
      </c>
    </row>
    <row r="58" spans="1:7" x14ac:dyDescent="0.25">
      <c r="A58" s="11">
        <v>48</v>
      </c>
      <c r="B58" s="18" t="s">
        <v>39</v>
      </c>
      <c r="C58" s="47">
        <f>(C41+C36+C18+C19)/C54</f>
        <v>0.12224981460906925</v>
      </c>
      <c r="D58" s="47" t="e">
        <f t="shared" ref="D58:E58" si="17">(D41+D36+D18+D19)/D54</f>
        <v>#DIV/0!</v>
      </c>
      <c r="E58" s="47">
        <f t="shared" si="17"/>
        <v>6.1380232180698761E-2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honeticPr fontId="5" type="noConversion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tabSelected="1" topLeftCell="A14" workbookViewId="0">
      <selection activeCell="C13" sqref="C13"/>
    </sheetView>
  </sheetViews>
  <sheetFormatPr defaultColWidth="8.85546875"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/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652675</v>
      </c>
      <c r="D9" s="42">
        <f>'CurrentYearIncomeStmt '!E9</f>
        <v>630448</v>
      </c>
    </row>
    <row r="10" spans="1:5" x14ac:dyDescent="0.25">
      <c r="A10" s="11">
        <v>2</v>
      </c>
      <c r="B10" s="18" t="s">
        <v>2</v>
      </c>
      <c r="C10" s="33">
        <f>PriorYearIncomeStmt!E10</f>
        <v>2298937</v>
      </c>
      <c r="D10" s="42">
        <f>'CurrentYearIncomeStmt '!E10</f>
        <v>2485848</v>
      </c>
    </row>
    <row r="11" spans="1:5" x14ac:dyDescent="0.25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170056</v>
      </c>
    </row>
    <row r="12" spans="1:5" x14ac:dyDescent="0.25">
      <c r="A12" s="11">
        <v>4</v>
      </c>
      <c r="B12" s="18" t="s">
        <v>4</v>
      </c>
      <c r="C12" s="33">
        <f>PriorYearIncomeStmt!E12</f>
        <v>41</v>
      </c>
      <c r="D12" s="42">
        <f>'CurrentYearIncomeStmt '!E12</f>
        <v>32</v>
      </c>
    </row>
    <row r="13" spans="1:5" x14ac:dyDescent="0.25">
      <c r="A13" s="11">
        <v>5</v>
      </c>
      <c r="B13" s="18" t="s">
        <v>5</v>
      </c>
      <c r="C13" s="33">
        <f>PriorYearIncomeStmt!E13</f>
        <v>32157</v>
      </c>
      <c r="D13" s="42">
        <f>'CurrentYearIncomeStmt '!E13</f>
        <v>31717</v>
      </c>
    </row>
    <row r="14" spans="1:5" x14ac:dyDescent="0.25">
      <c r="A14" s="11">
        <v>6</v>
      </c>
      <c r="B14" s="18" t="s">
        <v>159</v>
      </c>
      <c r="C14" s="33">
        <f>PriorYearIncomeStmt!E14</f>
        <v>-13577</v>
      </c>
      <c r="D14" s="42">
        <f>'CurrentYearIncomeStmt '!E14</f>
        <v>-18247</v>
      </c>
    </row>
    <row r="15" spans="1:5" x14ac:dyDescent="0.25">
      <c r="A15" s="11">
        <v>7</v>
      </c>
      <c r="B15" s="92" t="s">
        <v>158</v>
      </c>
      <c r="C15" s="41">
        <f>SUM(C9:C14)</f>
        <v>2970233</v>
      </c>
      <c r="D15" s="43">
        <f t="shared" ref="D15" si="0">SUM(D9:D14)</f>
        <v>3299854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1420212</v>
      </c>
      <c r="D16" s="42">
        <f>'CurrentYearIncomeStmt '!E16</f>
        <v>1396095</v>
      </c>
    </row>
    <row r="17" spans="1:5" x14ac:dyDescent="0.25">
      <c r="A17" s="11">
        <v>9</v>
      </c>
      <c r="B17" s="18" t="s">
        <v>40</v>
      </c>
      <c r="C17" s="33">
        <f>PriorYearIncomeStmt!E17</f>
        <v>389851</v>
      </c>
      <c r="D17" s="42">
        <f>'CurrentYearIncomeStmt '!E17</f>
        <v>405969</v>
      </c>
    </row>
    <row r="18" spans="1:5" x14ac:dyDescent="0.25">
      <c r="A18" s="11">
        <v>10</v>
      </c>
      <c r="B18" s="18" t="s">
        <v>7</v>
      </c>
      <c r="C18" s="33">
        <f>PriorYearIncomeStmt!E18</f>
        <v>504687</v>
      </c>
      <c r="D18" s="42">
        <f>'CurrentYearIncomeStmt '!E18</f>
        <v>455391</v>
      </c>
    </row>
    <row r="19" spans="1:5" x14ac:dyDescent="0.25">
      <c r="A19" s="11">
        <v>11</v>
      </c>
      <c r="B19" s="18" t="s">
        <v>8</v>
      </c>
      <c r="C19" s="33">
        <f>PriorYearIncomeStmt!E19</f>
        <v>27434</v>
      </c>
      <c r="D19" s="42">
        <f>'CurrentYearIncomeStmt '!E19</f>
        <v>26170</v>
      </c>
    </row>
    <row r="20" spans="1:5" x14ac:dyDescent="0.25">
      <c r="A20" s="11">
        <v>12</v>
      </c>
      <c r="B20" s="18" t="s">
        <v>9</v>
      </c>
      <c r="C20" s="33">
        <f>PriorYearIncomeStmt!E20</f>
        <v>642077</v>
      </c>
      <c r="D20" s="42">
        <f>'CurrentYearIncomeStmt '!E20</f>
        <v>638893</v>
      </c>
    </row>
    <row r="21" spans="1:5" x14ac:dyDescent="0.25">
      <c r="A21" s="11">
        <v>13</v>
      </c>
      <c r="B21" s="18" t="s">
        <v>10</v>
      </c>
      <c r="C21" s="33">
        <f>PriorYearIncomeStmt!E21</f>
        <v>1292144</v>
      </c>
      <c r="D21" s="42">
        <f>'CurrentYearIncomeStmt '!E21</f>
        <v>1271932</v>
      </c>
    </row>
    <row r="22" spans="1:5" x14ac:dyDescent="0.25">
      <c r="A22" s="11" t="s">
        <v>154</v>
      </c>
      <c r="B22" s="18" t="s">
        <v>160</v>
      </c>
      <c r="C22" s="34">
        <f>PriorYearIncomeStmt!E22</f>
        <v>-105559</v>
      </c>
      <c r="D22" s="34">
        <f>'CurrentYearIncomeStmt '!E22</f>
        <v>-96116</v>
      </c>
    </row>
    <row r="23" spans="1:5" x14ac:dyDescent="0.25">
      <c r="A23" s="11" t="s">
        <v>155</v>
      </c>
      <c r="B23" s="18" t="s">
        <v>156</v>
      </c>
      <c r="C23" s="33">
        <f>SUM(C21:C22)</f>
        <v>1186585</v>
      </c>
      <c r="D23" s="42">
        <f t="shared" ref="D23" si="1">SUM(D21:D22)</f>
        <v>1175816</v>
      </c>
    </row>
    <row r="24" spans="1:5" x14ac:dyDescent="0.25">
      <c r="A24" s="11">
        <v>14</v>
      </c>
      <c r="B24" s="92" t="s">
        <v>157</v>
      </c>
      <c r="C24" s="41">
        <f>C16+C17+C18+C19+C20+C23</f>
        <v>4170846</v>
      </c>
      <c r="D24" s="43">
        <f t="shared" ref="D24" si="2">D16+D17+D18+D19+D20+D23</f>
        <v>4098334</v>
      </c>
      <c r="E24" s="1"/>
    </row>
    <row r="25" spans="1:5" x14ac:dyDescent="0.25">
      <c r="A25" s="11">
        <v>15</v>
      </c>
      <c r="B25" s="18" t="s">
        <v>14</v>
      </c>
      <c r="C25" s="33">
        <f>C15-C24</f>
        <v>-1200613</v>
      </c>
      <c r="D25" s="42">
        <f t="shared" ref="D25" si="3">D15-D24</f>
        <v>-798480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0</v>
      </c>
      <c r="D28" s="42">
        <f>'CurrentYearIncomeStmt '!E28</f>
        <v>0</v>
      </c>
    </row>
    <row r="29" spans="1:5" x14ac:dyDescent="0.25">
      <c r="A29" s="11">
        <v>19</v>
      </c>
      <c r="B29" s="18" t="s">
        <v>13</v>
      </c>
      <c r="C29" s="33">
        <f>PriorYearIncomeStmt!E29</f>
        <v>242528</v>
      </c>
      <c r="D29" s="42">
        <f>'CurrentYearIncomeStmt '!E29</f>
        <v>196715</v>
      </c>
    </row>
    <row r="30" spans="1:5" x14ac:dyDescent="0.25">
      <c r="A30" s="11">
        <v>20</v>
      </c>
      <c r="B30" s="92" t="s">
        <v>12</v>
      </c>
      <c r="C30" s="38">
        <f>SUM(C27:C29)</f>
        <v>242528</v>
      </c>
      <c r="D30" s="44">
        <f t="shared" ref="D30" si="4">SUM(D27:D29)</f>
        <v>196715</v>
      </c>
    </row>
    <row r="31" spans="1:5" x14ac:dyDescent="0.25">
      <c r="A31" s="11">
        <v>21</v>
      </c>
      <c r="B31" s="92" t="s">
        <v>23</v>
      </c>
      <c r="C31" s="38">
        <f>C25+C26-C30</f>
        <v>-1443141</v>
      </c>
      <c r="D31" s="44">
        <f>D25+D26-D30</f>
        <v>-995195</v>
      </c>
    </row>
    <row r="32" spans="1:5" x14ac:dyDescent="0.25">
      <c r="A32" s="11">
        <v>22</v>
      </c>
      <c r="B32" s="18" t="s">
        <v>15</v>
      </c>
      <c r="C32" s="33">
        <f>PriorYearIncomeStmt!E32</f>
        <v>105721</v>
      </c>
      <c r="D32" s="42">
        <f>'CurrentYearIncomeStmt '!E32</f>
        <v>36492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105721</v>
      </c>
      <c r="D36" s="44">
        <f t="shared" ref="D36" si="5">SUM(D32:D35)</f>
        <v>36492</v>
      </c>
    </row>
    <row r="37" spans="1:4" x14ac:dyDescent="0.25">
      <c r="A37" s="11">
        <v>27</v>
      </c>
      <c r="B37" s="18" t="s">
        <v>19</v>
      </c>
      <c r="C37" s="33">
        <f>PriorYearIncomeStmt!E37</f>
        <v>-8432</v>
      </c>
      <c r="D37" s="42">
        <f>'CurrentYearIncomeStmt '!E37</f>
        <v>-50523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1190132</v>
      </c>
      <c r="D40" s="42">
        <f>'CurrentYearIncomeStmt '!E40</f>
        <v>657192</v>
      </c>
    </row>
    <row r="41" spans="1:4" x14ac:dyDescent="0.25">
      <c r="A41" s="11">
        <v>31</v>
      </c>
      <c r="B41" s="92" t="s">
        <v>22</v>
      </c>
      <c r="C41" s="38">
        <f>C31-C36+C37+C38+C39+C40</f>
        <v>-367162</v>
      </c>
      <c r="D41" s="44">
        <f t="shared" ref="D41" si="6">D31-D36+D37+D38+D39+D40</f>
        <v>-425018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-5954180</v>
      </c>
      <c r="D43" s="42">
        <f>'CurrentYearIncomeStmt '!E43</f>
        <v>-6477161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-6321342</v>
      </c>
      <c r="D49" s="44">
        <f t="shared" ref="D49" si="7">(D41+D43+D44)-(D45+D46+D47+D48)</f>
        <v>-6902179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806692</v>
      </c>
      <c r="D54" s="42">
        <f>'CurrentYearIncomeStmt '!E54</f>
        <v>1515716</v>
      </c>
    </row>
    <row r="55" spans="1:8" x14ac:dyDescent="0.25">
      <c r="A55" s="11">
        <v>45</v>
      </c>
      <c r="B55" s="18" t="s">
        <v>36</v>
      </c>
      <c r="C55" s="50">
        <f>((C24+C30-C18-C19)/C15)</f>
        <v>1.3067166784558653</v>
      </c>
      <c r="D55" s="50">
        <f>((D24+D30-D18-D19)/D15)</f>
        <v>1.1556535531572003</v>
      </c>
    </row>
    <row r="56" spans="1:8" x14ac:dyDescent="0.25">
      <c r="A56" s="11">
        <v>46</v>
      </c>
      <c r="B56" s="18" t="s">
        <v>37</v>
      </c>
      <c r="C56" s="50">
        <f>((C24+C30+C36)/C15)</f>
        <v>1.521461447637273</v>
      </c>
      <c r="D56" s="50">
        <f>((D24+D30+D36)/D15)</f>
        <v>1.3126462564707408</v>
      </c>
    </row>
    <row r="57" spans="1:8" x14ac:dyDescent="0.25">
      <c r="A57" s="11">
        <v>47</v>
      </c>
      <c r="B57" s="18" t="s">
        <v>38</v>
      </c>
      <c r="C57" s="50">
        <f>((C41+C36)/C36)</f>
        <v>-2.4729334758468045</v>
      </c>
      <c r="D57" s="50">
        <f t="shared" ref="D57" si="9">((D41+D36)/D36)</f>
        <v>-10.646881508275786</v>
      </c>
    </row>
    <row r="58" spans="1:8" x14ac:dyDescent="0.25">
      <c r="A58" s="11">
        <v>48</v>
      </c>
      <c r="B58" s="18" t="s">
        <v>39</v>
      </c>
      <c r="C58" s="46">
        <f>(C41+C36+C18+C19)/C54</f>
        <v>0.33554318128852151</v>
      </c>
      <c r="D58" s="50">
        <f t="shared" ref="D58" si="10">(D41+D36+D18+D19)/D54</f>
        <v>6.1380232180698761E-2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honeticPr fontId="5" type="noConversion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2015-07-23T07:00:00+00:00</OpenedDate>
    <Date1 xmlns="dc463f71-b30c-4ab2-9473-d307f9d35888">2015-07-23T07:00:00+00:00</Date1>
    <IsDocumentOrder xmlns="dc463f71-b30c-4ab2-9473-d307f9d35888" xsi:nil="true"/>
    <IsHighlyConfidential xmlns="dc463f71-b30c-4ab2-9473-d307f9d35888">false</IsHighlyConfidential>
    <CaseCompanyNames xmlns="dc463f71-b30c-4ab2-9473-d307f9d35888">Mashell Telecom, Inc.</CaseCompanyNames>
    <DocketNumber xmlns="dc463f71-b30c-4ab2-9473-d307f9d35888">151520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EF7D605F23B045938274E170292DD0" ma:contentTypeVersion="119" ma:contentTypeDescription="" ma:contentTypeScope="" ma:versionID="c05c0a66c00e8b4854c7f3aa2f2c53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97D4E-E1E2-4426-8636-5AE2C72E69F3}"/>
</file>

<file path=customXml/itemProps2.xml><?xml version="1.0" encoding="utf-8"?>
<ds:datastoreItem xmlns:ds="http://schemas.openxmlformats.org/officeDocument/2006/customXml" ds:itemID="{6481ECB6-9F33-4547-B8A4-E2B9A105912A}"/>
</file>

<file path=customXml/itemProps3.xml><?xml version="1.0" encoding="utf-8"?>
<ds:datastoreItem xmlns:ds="http://schemas.openxmlformats.org/officeDocument/2006/customXml" ds:itemID="{E75BD8BC-0A1A-47C7-8F84-64E98A357EC6}"/>
</file>

<file path=customXml/itemProps4.xml><?xml version="1.0" encoding="utf-8"?>
<ds:datastoreItem xmlns:ds="http://schemas.openxmlformats.org/officeDocument/2006/customXml" ds:itemID="{45689F3B-7ED5-4470-8FCB-8C295D3170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2015-07-23T16:38:01Z</cp:lastPrinted>
  <dcterms:created xsi:type="dcterms:W3CDTF">2014-05-21T17:51:51Z</dcterms:created>
  <dcterms:modified xsi:type="dcterms:W3CDTF">2015-07-23T19:07:29Z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0x0101006E56B4D1795A2E4DB2F0B01679ED314A000AEF7D605F23B045938274E170292DD0</vt:lpwstr>
  </property>
  <property fmtid="{D5CDD505-2E9C-101B-9397-08002B2CF9AE}" pid="3" name="_docset_NoMedatataSyncRequired">
    <vt:lpwstr>False</vt:lpwstr>
  </property>
</Properties>
</file>