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Appendix 1 - Cost Study" sheetId="1" r:id="rId1"/>
    <sheet name=" Appendix 2 - Rate Spread" sheetId="2" r:id="rId2"/>
    <sheet name="App 3 - Rate Design Residential" sheetId="3" r:id="rId3"/>
    <sheet name="App 3 - Rate Design Comm &amp; Indu" sheetId="4" r:id="rId4"/>
    <sheet name="App 3 - Rate Design Int &amp; Trans" sheetId="5" r:id="rId5"/>
    <sheet name="App 3 - Rate Design Rentals" sheetId="6" r:id="rId6"/>
  </sheets>
  <definedNames>
    <definedName name="_xlnm.Print_Area" localSheetId="3">'App 3 - Rate Design Comm &amp; Indu'!$A$1:$L$86</definedName>
    <definedName name="_xlnm.Print_Area" localSheetId="0">'Appendix 1 - Cost Study'!$A$1:$P$357</definedName>
  </definedNames>
  <calcPr fullCalcOnLoad="1"/>
</workbook>
</file>

<file path=xl/sharedStrings.xml><?xml version="1.0" encoding="utf-8"?>
<sst xmlns="http://schemas.openxmlformats.org/spreadsheetml/2006/main" count="993" uniqueCount="235">
  <si>
    <t>Schedule</t>
  </si>
  <si>
    <t>Price Schedule</t>
  </si>
  <si>
    <t>Current Rate</t>
  </si>
  <si>
    <t>Proposed Rate</t>
  </si>
  <si>
    <t>% Increase</t>
  </si>
  <si>
    <t>71</t>
  </si>
  <si>
    <t>71G-A</t>
  </si>
  <si>
    <t>Residential</t>
  </si>
  <si>
    <t>Standard Models $5.00 (5/21/1986)</t>
  </si>
  <si>
    <t>71G-B</t>
  </si>
  <si>
    <t>Conservation Models $8.00 (10/9/1993)</t>
  </si>
  <si>
    <t>71G-C</t>
  </si>
  <si>
    <t>Direct Vent Models $11.40 (10/9/1993)</t>
  </si>
  <si>
    <t>71G-D</t>
  </si>
  <si>
    <t>High Recovery Models $10.20 (10/9/1993)</t>
  </si>
  <si>
    <t>71G-E</t>
  </si>
  <si>
    <t>High Efficiency Standard (Energy Factor ≥.60)  $4.00 (6/18/2000)</t>
  </si>
  <si>
    <t>71G-F</t>
  </si>
  <si>
    <t>High Efficiency Direct Vent (Energy Factor ≥.60) $6.95 (6/18/2000)</t>
  </si>
  <si>
    <t>72</t>
  </si>
  <si>
    <t>72G-F</t>
  </si>
  <si>
    <t>25 - 40 gallon storage 30,000 to 50,000 $5.90 (5/21/1986)</t>
  </si>
  <si>
    <t>72G-G</t>
  </si>
  <si>
    <t>45 - 55 gallon storage 70,000 to 79,000 $7.75 (5/21/1986)</t>
  </si>
  <si>
    <t>72G-H</t>
  </si>
  <si>
    <t>45 - 55 gallon storage 51,000 to 75,000 $7.75 (6/18/2000)</t>
  </si>
  <si>
    <t>72G-I</t>
  </si>
  <si>
    <t>50 - 65 gallon storage 60,000 to 69,000 $12.15  (6/18/2000)</t>
  </si>
  <si>
    <t>72G-J</t>
  </si>
  <si>
    <t>60 - 84 gallon storage 70,000 to 129,000 $15.85 (6/18/2000)</t>
  </si>
  <si>
    <t>72G-K</t>
  </si>
  <si>
    <t>75 - 90 gallon storage 130,000 to 169,000 $21.20 (6/18/2000)</t>
  </si>
  <si>
    <t>72G-L</t>
  </si>
  <si>
    <t>75 - 100 gallon storage 170,000 to 200,000 $24.60 (6/18/2000)</t>
  </si>
  <si>
    <t>72G-M</t>
  </si>
  <si>
    <t>68 - 79 gallon storage 201,000 to 369,000 $34.95 (6/18/2000)</t>
  </si>
  <si>
    <t>74</t>
  </si>
  <si>
    <t>74G-A</t>
  </si>
  <si>
    <t>45,000 to 400,000 Standard Models $ 3.50</t>
  </si>
  <si>
    <t>74G-B</t>
  </si>
  <si>
    <t>401,000 to 700,000 Standard Models $9.25</t>
  </si>
  <si>
    <t>74G-C</t>
  </si>
  <si>
    <t>701,000 to 1,300,000 Standard Models $12.50</t>
  </si>
  <si>
    <t>74G-D</t>
  </si>
  <si>
    <t>45,000 to 400,000 Conservation Models $5.25</t>
  </si>
  <si>
    <t>Proforma Margin</t>
  </si>
  <si>
    <t>Description</t>
  </si>
  <si>
    <t>Line No.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</si>
  <si>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</si>
  <si>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</si>
  <si>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</si>
  <si>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</si>
  <si>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</si>
  <si>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</si>
  <si>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</si>
  <si>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</si>
  <si>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</si>
  <si>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Total</t>
  </si>
  <si>
    <t>%</t>
  </si>
  <si>
    <t>Units</t>
  </si>
  <si>
    <t>Schedule 87</t>
  </si>
  <si>
    <t>Schedule 57</t>
  </si>
  <si>
    <t/>
  </si>
  <si>
    <t>Class / Schedule</t>
  </si>
  <si>
    <t>Proforma Revenue</t>
  </si>
  <si>
    <t>Therms</t>
  </si>
  <si>
    <t>Spread $39.6M Settlement Adjustment</t>
  </si>
  <si>
    <t>% of Residual</t>
  </si>
  <si>
    <t>Spread $4M Settlement Adjustment</t>
  </si>
  <si>
    <t xml:space="preserve">% Net Increase </t>
  </si>
  <si>
    <t>% of Net Increase %</t>
  </si>
  <si>
    <t>Increase / Therm</t>
  </si>
  <si>
    <t>Relative Increase  on per therm basis</t>
  </si>
  <si>
    <t xml:space="preserve">b </t>
  </si>
  <si>
    <t>c</t>
  </si>
  <si>
    <t>j</t>
  </si>
  <si>
    <t>k</t>
  </si>
  <si>
    <t>C&amp;I Heating</t>
  </si>
  <si>
    <t>Schedule 41</t>
  </si>
  <si>
    <t>Schedule 85</t>
  </si>
  <si>
    <t>Schedule 86</t>
  </si>
  <si>
    <t>Transport Contracts</t>
  </si>
  <si>
    <t>CNG</t>
  </si>
  <si>
    <t>Rentals</t>
  </si>
  <si>
    <t>Subtotal</t>
  </si>
  <si>
    <t>Other Revenue</t>
  </si>
  <si>
    <t>% Increase On Margin</t>
  </si>
  <si>
    <t>Spread Directed Increases:</t>
  </si>
  <si>
    <t>Total Directed Increases:</t>
  </si>
  <si>
    <t>Residual Increase:</t>
  </si>
  <si>
    <t>Total (check)</t>
  </si>
  <si>
    <t>Sch 86 test</t>
  </si>
  <si>
    <t>Spread Residual Increases:</t>
  </si>
  <si>
    <t>% of Average</t>
  </si>
  <si>
    <t>Increase %</t>
  </si>
  <si>
    <t>Total Allocation of Residual Increase:</t>
  </si>
  <si>
    <t>Revenue Requirement Summary</t>
  </si>
  <si>
    <t>Proposed Return Incl. Gas Costs</t>
  </si>
  <si>
    <t>System Total</t>
  </si>
  <si>
    <t>C &amp; I Heating</t>
  </si>
  <si>
    <t>C &amp; I - 41</t>
  </si>
  <si>
    <t>Rate 85</t>
  </si>
  <si>
    <t>Rate 86</t>
  </si>
  <si>
    <t>Rate 87</t>
  </si>
  <si>
    <t>Rate 57</t>
  </si>
  <si>
    <t>CNG Service</t>
  </si>
  <si>
    <t>~</t>
  </si>
  <si>
    <t>RATE BASE</t>
  </si>
  <si>
    <t>PROPOSED RATE OF RETURN</t>
  </si>
  <si>
    <t>RETURN ALLOWANCE</t>
  </si>
  <si>
    <t>EXPENSES</t>
  </si>
  <si>
    <t>O &amp; M Expense</t>
  </si>
  <si>
    <t>A &amp; G Expense</t>
  </si>
  <si>
    <t>Depreciation Expense</t>
  </si>
  <si>
    <t>Other Expenses</t>
  </si>
  <si>
    <t>Taxes Other than Income</t>
  </si>
  <si>
    <t>Income Taxes - Deferred</t>
  </si>
  <si>
    <t>Total Revenue Requirement (excl. taxes)</t>
  </si>
  <si>
    <t>CURRENT INCOME TAXES</t>
  </si>
  <si>
    <t>REVENUE REQUIREMENT</t>
  </si>
  <si>
    <t>Total Expenses</t>
  </si>
  <si>
    <t>Current Income Taxes</t>
  </si>
  <si>
    <t>Total Return on Rate Base</t>
  </si>
  <si>
    <t>Total Revenue Requirement</t>
  </si>
  <si>
    <t xml:space="preserve"> Net Revenue Requirement</t>
  </si>
  <si>
    <t>Revenue to Cost Ratio (See Note 1)</t>
  </si>
  <si>
    <t>Adjusted Revenue to Cost Ratio (See Note 2)</t>
  </si>
  <si>
    <t>Note 1: Where a) Revenue Equals Revenue At Current Rates and b) Cost Equals Revenue Requirement at Proposed ROR
Note 2:  Restated to 100% for System Total</t>
  </si>
  <si>
    <t>Functional Rate Base</t>
  </si>
  <si>
    <t>Gas Supply</t>
  </si>
  <si>
    <t>Demand</t>
  </si>
  <si>
    <t>Commodity</t>
  </si>
  <si>
    <t>Sub-total</t>
  </si>
  <si>
    <t>Storage</t>
  </si>
  <si>
    <t>Transmission</t>
  </si>
  <si>
    <t>Distribution</t>
  </si>
  <si>
    <t>Customer</t>
  </si>
  <si>
    <t>TOTAL</t>
  </si>
  <si>
    <t>TOTAL RATE BASE</t>
  </si>
  <si>
    <t>Functional Revenue Requirement</t>
  </si>
  <si>
    <t xml:space="preserve">Unit Costs </t>
  </si>
  <si>
    <t>Demand (Note 1)</t>
  </si>
  <si>
    <t>Peak Day</t>
  </si>
  <si>
    <t>Annual Customers</t>
  </si>
  <si>
    <t>1</t>
  </si>
  <si>
    <t>Peak Day (excl. transport)</t>
  </si>
  <si>
    <t>Note 1: Uses Peak Day excluding transportation values for calculating total.</t>
  </si>
  <si>
    <t xml:space="preserve">Billing </t>
  </si>
  <si>
    <t xml:space="preserve">Present </t>
  </si>
  <si>
    <t>Proposed</t>
  </si>
  <si>
    <t xml:space="preserve">Difference </t>
  </si>
  <si>
    <t>Determinants</t>
  </si>
  <si>
    <t>Rates</t>
  </si>
  <si>
    <t>Revenue</t>
  </si>
  <si>
    <t>$</t>
  </si>
  <si>
    <t>BILLS</t>
  </si>
  <si>
    <t>All Therms</t>
  </si>
  <si>
    <t>Calculated Total</t>
  </si>
  <si>
    <t>Proposed Gas Cost Rate</t>
  </si>
  <si>
    <t>Total Revenue</t>
  </si>
  <si>
    <t>RATE 24</t>
  </si>
  <si>
    <t>RATE 16</t>
  </si>
  <si>
    <t>Mantles</t>
  </si>
  <si>
    <t>First 4 Mantles (each)</t>
  </si>
  <si>
    <t>5 through 9 Mantles (each)</t>
  </si>
  <si>
    <t>All over (each)</t>
  </si>
  <si>
    <t>Total Rate 11 Margin Increase</t>
  </si>
  <si>
    <t>Bills</t>
  </si>
  <si>
    <t>Gas Costs</t>
  </si>
  <si>
    <t>Margin</t>
  </si>
  <si>
    <t>Increase</t>
  </si>
  <si>
    <t>Res</t>
  </si>
  <si>
    <t>Ind</t>
  </si>
  <si>
    <t>Com</t>
  </si>
  <si>
    <t>RATE 36</t>
  </si>
  <si>
    <t>RATE 51</t>
  </si>
  <si>
    <t>Gas Cost Rate</t>
  </si>
  <si>
    <t>RATE 41</t>
  </si>
  <si>
    <t>Demand Units</t>
  </si>
  <si>
    <t>First 500 Therms</t>
  </si>
  <si>
    <t>Next 4,500 therms</t>
  </si>
  <si>
    <t>All over 5,000 therms</t>
  </si>
  <si>
    <t>Heat Conservation Factor</t>
  </si>
  <si>
    <t>Proposed Gas Cost Rate for Demand Charge Rate</t>
  </si>
  <si>
    <t>RATE 50</t>
  </si>
  <si>
    <t xml:space="preserve">RATE 85  </t>
  </si>
  <si>
    <t>First 25,000 Therms</t>
  </si>
  <si>
    <t>Next 25,000 Therms</t>
  </si>
  <si>
    <t>All over 50,000 Therms</t>
  </si>
  <si>
    <t>Porposed Gas Cost Rate for Demand Charge Rate</t>
  </si>
  <si>
    <t>RATE 86</t>
  </si>
  <si>
    <t>First 1,000 therms</t>
  </si>
  <si>
    <t>All over 1,000 therms</t>
  </si>
  <si>
    <t>RATE 87</t>
  </si>
  <si>
    <t>Next 50,000 Therms</t>
  </si>
  <si>
    <t>Next 100,000 therms</t>
  </si>
  <si>
    <t>Next 300,000 therms</t>
  </si>
  <si>
    <t>All over 500,000 therms</t>
  </si>
  <si>
    <t>Contract Volume Charge</t>
  </si>
  <si>
    <t>RATE 57</t>
  </si>
  <si>
    <t>Next 100,000 Therms</t>
  </si>
  <si>
    <t>Next 300,000 Therms</t>
  </si>
  <si>
    <t>All over 500,000 Therms</t>
  </si>
  <si>
    <t>Proposed Gas Cost Rate for JP</t>
  </si>
  <si>
    <t>Calculated Rate</t>
  </si>
  <si>
    <t>Net Margin Increase</t>
  </si>
  <si>
    <t>Rate</t>
  </si>
  <si>
    <t>l</t>
  </si>
  <si>
    <t>Puget Sound Energy - Gas</t>
  </si>
  <si>
    <t>Rate Design Schedules</t>
  </si>
  <si>
    <t>TARGET</t>
  </si>
  <si>
    <t>DIFFERENCE</t>
  </si>
  <si>
    <t>TOTAL RESIDENTIAL</t>
  </si>
  <si>
    <t>Rate 11 Detail</t>
  </si>
  <si>
    <t>total</t>
  </si>
  <si>
    <t>::</t>
  </si>
  <si>
    <t>TARGET 87</t>
  </si>
  <si>
    <t>Proposed Gas Cost  - Demand Rate</t>
  </si>
  <si>
    <t>TARGET 57</t>
  </si>
  <si>
    <t>TOTAL REVENUE</t>
  </si>
  <si>
    <t>TOTAL DIFFERENCE</t>
  </si>
  <si>
    <t>Difference From Rate Design at Current Rates</t>
  </si>
  <si>
    <t>Adjustments within Proforma Rrevenue Calculation</t>
  </si>
  <si>
    <t>Target Increase</t>
  </si>
  <si>
    <t>RATE 23/53/RES 11</t>
  </si>
  <si>
    <t>Schedule 101 Gas Costs
(a)</t>
  </si>
  <si>
    <t>RAF
(b)</t>
  </si>
  <si>
    <t>Proposed Gas Cost Rate
(c = a * b)</t>
  </si>
  <si>
    <r>
      <t xml:space="preserve">RATE 31/ C&amp;I 11  </t>
    </r>
    <r>
      <rPr>
        <b/>
        <sz val="8"/>
        <rFont val="Arial"/>
        <family val="2"/>
      </rPr>
      <t>[1]</t>
    </r>
  </si>
  <si>
    <t>[1]  From "App3 - Rate Design Residential" Sheet</t>
  </si>
  <si>
    <t>Minimum Bill</t>
  </si>
  <si>
    <t xml:space="preserve">Proposed Gas Cost Rate for Demand Charge
(d) </t>
  </si>
  <si>
    <t xml:space="preserve">Proposed Gas Cost Rate
(e) </t>
  </si>
  <si>
    <t>Total Proposed Gas Costs
(f)</t>
  </si>
  <si>
    <t>Total = Rate * Volume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</si>
</sst>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"/>
    <numFmt numFmtId="170" formatCode="&quot;$&quot;#,##0.00"/>
    <numFmt numFmtId="171" formatCode="0.00000"/>
    <numFmt numFmtId="172" formatCode="#,##0.00000"/>
    <numFmt numFmtId="173" formatCode="&quot;$&quot;#,##0.00000"/>
    <numFmt numFmtId="174" formatCode="&quot;$&quot;#,##0.0000"/>
    <numFmt numFmtId="175" formatCode="0.000%"/>
    <numFmt numFmtId="176" formatCode="_(* #,##0.000_);_(* \(#,##0.000\);_(* &quot;-&quot;??_);_(@_)"/>
    <numFmt numFmtId="177" formatCode="_(* #,##0.0000000000_);_(* \(#,##0.0000000000\);_(* &quot;-&quot;_);_(@_)"/>
    <numFmt numFmtId="178" formatCode="_(&quot;$&quot;* #,##0.0000_);_(&quot;$&quot;* \(#,##0.0000\);_(&quot;$&quot;* &quot;-&quot;????_);_(@_)"/>
    <numFmt numFmtId="179" formatCode="_(&quot;$&quot;* #,##0.00_);_(&quot;$&quot;* \(#,##0.00\);_(&quot;$&quot;* &quot;-&quot;????_);_(@_)"/>
    <numFmt numFmtId="180" formatCode="&quot;$&quot;#,##0.0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&quot;$&quot;#,##0.00000\ ;\(&quot;$&quot;#,##0.00000\)"/>
    <numFmt numFmtId="187" formatCode="&quot;$&quot;#,##0.00\ ;\(&quot;$&quot;#,##0.00\)"/>
    <numFmt numFmtId="188" formatCode="#,##0.0"/>
    <numFmt numFmtId="189" formatCode="&quot;$&quot;#,##0\ ;\(&quot;$&quot;#,##0\)"/>
    <numFmt numFmtId="190" formatCode="#,##0.000000"/>
    <numFmt numFmtId="191" formatCode="&quot;$&quot;#,##0.0000\ ;\(&quot;$&quot;#,##0.0000\)"/>
    <numFmt numFmtId="192" formatCode="&quot;$&quot;#,##0.000000\ ;\(&quot;$&quot;#,##0.000000\)"/>
    <numFmt numFmtId="193" formatCode="&quot;$&quot;#,##0.0000000\ ;\(&quot;$&quot;#,##0.0000000\)"/>
    <numFmt numFmtId="194" formatCode="&quot;$&quot;#,##0.000\ ;\(&quot;$&quot;#,##0.000\)"/>
    <numFmt numFmtId="195" formatCode="&quot;$&quot;#,##0.0\ ;\(&quot;$&quot;#,##0.0\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56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2" borderId="0">
      <alignment/>
      <protection/>
    </xf>
    <xf numFmtId="42" fontId="2" fillId="3" borderId="1">
      <alignment vertical="center"/>
      <protection/>
    </xf>
    <xf numFmtId="0" fontId="1" fillId="2" borderId="2" applyNumberFormat="0">
      <alignment horizontal="center" vertical="center" wrapText="1"/>
      <protection/>
    </xf>
    <xf numFmtId="178" fontId="0" fillId="2" borderId="0">
      <alignment/>
      <protection/>
    </xf>
    <xf numFmtId="42" fontId="4" fillId="2" borderId="3">
      <alignment horizontal="left"/>
      <protection/>
    </xf>
    <xf numFmtId="0" fontId="1" fillId="2" borderId="0">
      <alignment horizontal="left" wrapText="1"/>
      <protection/>
    </xf>
    <xf numFmtId="0" fontId="3" fillId="0" borderId="0">
      <alignment horizontal="left" vertical="center"/>
      <protection/>
    </xf>
  </cellStyleXfs>
  <cellXfs count="396"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168" fontId="0" fillId="0" borderId="0" xfId="19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3" fillId="0" borderId="0" xfId="30">
      <alignment horizontal="left" vertical="center"/>
      <protection/>
    </xf>
    <xf numFmtId="0" fontId="4" fillId="0" borderId="0" xfId="0" applyFont="1" applyAlignment="1">
      <alignment/>
    </xf>
    <xf numFmtId="0" fontId="1" fillId="2" borderId="0" xfId="29">
      <alignment horizontal="left" wrapText="1"/>
      <protection/>
    </xf>
    <xf numFmtId="0" fontId="1" fillId="2" borderId="2" xfId="26">
      <alignment horizontal="center" vertical="center" wrapText="1"/>
      <protection/>
    </xf>
    <xf numFmtId="0" fontId="1" fillId="0" borderId="0" xfId="0" applyFont="1" applyAlignment="1">
      <alignment/>
    </xf>
    <xf numFmtId="42" fontId="0" fillId="2" borderId="0" xfId="29" applyNumberFormat="1" applyFont="1">
      <alignment horizontal="left" wrapText="1"/>
      <protection/>
    </xf>
    <xf numFmtId="10" fontId="0" fillId="2" borderId="0" xfId="29" applyNumberFormat="1" applyFont="1" applyAlignment="1">
      <alignment horizontal="right" wrapText="1"/>
      <protection/>
    </xf>
    <xf numFmtId="168" fontId="0" fillId="2" borderId="0" xfId="29" applyNumberFormat="1" applyFont="1">
      <alignment horizontal="left" wrapText="1"/>
      <protection/>
    </xf>
    <xf numFmtId="42" fontId="0" fillId="2" borderId="0" xfId="24">
      <alignment/>
      <protection/>
    </xf>
    <xf numFmtId="0" fontId="0" fillId="0" borderId="0" xfId="0" applyFont="1" applyAlignment="1">
      <alignment/>
    </xf>
    <xf numFmtId="0" fontId="0" fillId="2" borderId="0" xfId="29" applyFont="1">
      <alignment horizontal="left" wrapText="1"/>
      <protection/>
    </xf>
    <xf numFmtId="0" fontId="0" fillId="2" borderId="2" xfId="29" applyFont="1" applyBorder="1">
      <alignment horizontal="left" wrapText="1"/>
      <protection/>
    </xf>
    <xf numFmtId="168" fontId="0" fillId="2" borderId="2" xfId="29" applyNumberFormat="1" applyFont="1" applyBorder="1">
      <alignment horizontal="left" wrapText="1"/>
      <protection/>
    </xf>
    <xf numFmtId="42" fontId="4" fillId="2" borderId="3" xfId="28" applyFont="1">
      <alignment horizontal="left"/>
      <protection/>
    </xf>
    <xf numFmtId="42" fontId="0" fillId="2" borderId="0" xfId="24" applyFont="1">
      <alignment/>
      <protection/>
    </xf>
    <xf numFmtId="42" fontId="4" fillId="2" borderId="3" xfId="28">
      <alignment horizontal="left"/>
      <protection/>
    </xf>
    <xf numFmtId="42" fontId="2" fillId="3" borderId="1" xfId="25" applyFont="1">
      <alignment vertical="center"/>
      <protection/>
    </xf>
    <xf numFmtId="42" fontId="2" fillId="3" borderId="1" xfId="25">
      <alignment vertical="center"/>
      <protection/>
    </xf>
    <xf numFmtId="0" fontId="0" fillId="0" borderId="0" xfId="0" applyFill="1" applyBorder="1" applyAlignment="1">
      <alignment/>
    </xf>
    <xf numFmtId="42" fontId="4" fillId="0" borderId="0" xfId="25" applyFont="1" applyFill="1" applyBorder="1" applyAlignment="1">
      <alignment/>
      <protection/>
    </xf>
    <xf numFmtId="42" fontId="2" fillId="0" borderId="0" xfId="25" applyFill="1" applyBorder="1" applyAlignment="1">
      <alignment/>
      <protection/>
    </xf>
    <xf numFmtId="10" fontId="2" fillId="3" borderId="1" xfId="25" applyNumberFormat="1">
      <alignment vertical="center"/>
      <protection/>
    </xf>
    <xf numFmtId="0" fontId="3" fillId="0" borderId="0" xfId="30" applyFont="1">
      <alignment horizontal="left" vertical="center"/>
      <protection/>
    </xf>
    <xf numFmtId="0" fontId="1" fillId="2" borderId="2" xfId="26" applyFont="1">
      <alignment horizontal="center" vertical="center" wrapText="1"/>
      <protection/>
    </xf>
    <xf numFmtId="41" fontId="1" fillId="2" borderId="2" xfId="26" applyNumberFormat="1">
      <alignment horizontal="center" vertical="center" wrapText="1"/>
      <protection/>
    </xf>
    <xf numFmtId="41" fontId="1" fillId="0" borderId="0" xfId="0" applyNumberFormat="1" applyFont="1" applyAlignment="1">
      <alignment/>
    </xf>
    <xf numFmtId="41" fontId="0" fillId="2" borderId="0" xfId="15">
      <alignment/>
      <protection/>
    </xf>
    <xf numFmtId="177" fontId="0" fillId="0" borderId="0" xfId="0" applyNumberFormat="1" applyAlignment="1">
      <alignment/>
    </xf>
    <xf numFmtId="177" fontId="0" fillId="2" borderId="0" xfId="15" applyNumberFormat="1">
      <alignment/>
      <protection/>
    </xf>
    <xf numFmtId="178" fontId="0" fillId="2" borderId="0" xfId="27" applyNumberFormat="1">
      <alignment/>
      <protection/>
    </xf>
    <xf numFmtId="178" fontId="0" fillId="2" borderId="0" xfId="27">
      <alignment/>
      <protection/>
    </xf>
    <xf numFmtId="41" fontId="0" fillId="0" borderId="0" xfId="15" applyFill="1">
      <alignment/>
      <protection/>
    </xf>
    <xf numFmtId="37" fontId="2" fillId="3" borderId="1" xfId="25" applyNumberFormat="1">
      <alignment vertical="center"/>
      <protection/>
    </xf>
    <xf numFmtId="17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 horizontal="right"/>
    </xf>
    <xf numFmtId="187" fontId="0" fillId="0" borderId="0" xfId="0" applyNumberFormat="1" applyAlignment="1">
      <alignment/>
    </xf>
    <xf numFmtId="175" fontId="0" fillId="0" borderId="6" xfId="0" applyNumberFormat="1" applyBorder="1" applyAlignment="1">
      <alignment horizontal="right"/>
    </xf>
    <xf numFmtId="0" fontId="0" fillId="0" borderId="4" xfId="0" applyBorder="1" applyAlignment="1">
      <alignment/>
    </xf>
    <xf numFmtId="187" fontId="0" fillId="0" borderId="0" xfId="0" applyNumberFormat="1" applyAlignment="1">
      <alignment/>
    </xf>
    <xf numFmtId="175" fontId="0" fillId="0" borderId="6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87" fontId="0" fillId="0" borderId="2" xfId="0" applyNumberFormat="1" applyBorder="1" applyAlignment="1">
      <alignment horizontal="center"/>
    </xf>
    <xf numFmtId="187" fontId="0" fillId="0" borderId="2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0" fontId="5" fillId="0" borderId="5" xfId="0" applyFont="1" applyBorder="1" applyAlignment="1" applyProtection="1">
      <alignment/>
      <protection locked="0"/>
    </xf>
    <xf numFmtId="0" fontId="0" fillId="0" borderId="8" xfId="0" applyBorder="1" applyAlignment="1">
      <alignment horizontal="center"/>
    </xf>
    <xf numFmtId="0" fontId="0" fillId="0" borderId="4" xfId="0" applyBorder="1" applyAlignment="1" applyProtection="1">
      <alignment/>
      <protection locked="0"/>
    </xf>
    <xf numFmtId="189" fontId="0" fillId="0" borderId="9" xfId="0" applyNumberFormat="1" applyBorder="1" applyAlignment="1">
      <alignment horizontal="center"/>
    </xf>
    <xf numFmtId="186" fontId="0" fillId="0" borderId="0" xfId="0" applyNumberFormat="1" applyAlignment="1">
      <alignment/>
    </xf>
    <xf numFmtId="189" fontId="0" fillId="0" borderId="10" xfId="0" applyNumberFormat="1" applyBorder="1" applyAlignment="1">
      <alignment horizontal="center"/>
    </xf>
    <xf numFmtId="187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87" fontId="0" fillId="0" borderId="2" xfId="0" applyNumberFormat="1" applyBorder="1" applyAlignment="1">
      <alignment/>
    </xf>
    <xf numFmtId="0" fontId="5" fillId="0" borderId="0" xfId="0" applyFont="1" applyAlignment="1">
      <alignment/>
    </xf>
    <xf numFmtId="187" fontId="0" fillId="0" borderId="3" xfId="0" applyNumberFormat="1" applyBorder="1" applyAlignment="1">
      <alignment/>
    </xf>
    <xf numFmtId="0" fontId="5" fillId="0" borderId="4" xfId="0" applyFon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Border="1" applyAlignment="1">
      <alignment horizontal="center"/>
    </xf>
    <xf numFmtId="188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189" fontId="0" fillId="0" borderId="0" xfId="0" applyNumberFormat="1" applyAlignment="1">
      <alignment/>
    </xf>
    <xf numFmtId="0" fontId="0" fillId="0" borderId="1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187" fontId="0" fillId="0" borderId="3" xfId="0" applyNumberFormat="1" applyBorder="1" applyAlignment="1">
      <alignment horizontal="centerContinuous"/>
    </xf>
    <xf numFmtId="187" fontId="0" fillId="0" borderId="3" xfId="0" applyNumberForma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87" fontId="0" fillId="0" borderId="0" xfId="0" applyNumberFormat="1" applyAlignment="1">
      <alignment horizontal="centerContinuous"/>
    </xf>
    <xf numFmtId="187" fontId="0" fillId="0" borderId="0" xfId="0" applyNumberFormat="1" applyAlignment="1">
      <alignment horizontal="centerContinuous"/>
    </xf>
    <xf numFmtId="175" fontId="0" fillId="0" borderId="6" xfId="0" applyNumberFormat="1" applyBorder="1" applyAlignment="1">
      <alignment horizontal="centerContinuous"/>
    </xf>
    <xf numFmtId="187" fontId="5" fillId="0" borderId="0" xfId="0" applyNumberFormat="1" applyFont="1" applyAlignment="1">
      <alignment/>
    </xf>
    <xf numFmtId="175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175" fontId="5" fillId="0" borderId="6" xfId="0" applyNumberFormat="1" applyFont="1" applyBorder="1" applyAlignment="1">
      <alignment/>
    </xf>
    <xf numFmtId="187" fontId="0" fillId="0" borderId="11" xfId="0" applyNumberFormat="1" applyBorder="1" applyAlignment="1">
      <alignment horizontal="center"/>
    </xf>
    <xf numFmtId="187" fontId="0" fillId="0" borderId="2" xfId="0" applyNumberFormat="1" applyBorder="1" applyAlignment="1">
      <alignment/>
    </xf>
    <xf numFmtId="175" fontId="0" fillId="0" borderId="7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0" fillId="0" borderId="0" xfId="0" applyNumberFormat="1" applyAlignment="1">
      <alignment horizontal="center"/>
    </xf>
    <xf numFmtId="175" fontId="0" fillId="0" borderId="6" xfId="0" applyNumberFormat="1" applyBorder="1" applyAlignment="1">
      <alignment horizontal="center"/>
    </xf>
    <xf numFmtId="0" fontId="0" fillId="0" borderId="4" xfId="0" applyBorder="1" applyAlignment="1" applyProtection="1">
      <alignment/>
      <protection locked="0"/>
    </xf>
    <xf numFmtId="187" fontId="0" fillId="0" borderId="0" xfId="0" applyNumberFormat="1" applyAlignment="1">
      <alignment horizontal="right"/>
    </xf>
    <xf numFmtId="187" fontId="0" fillId="0" borderId="11" xfId="0" applyNumberFormat="1" applyBorder="1" applyAlignment="1">
      <alignment horizontal="right"/>
    </xf>
    <xf numFmtId="187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/>
    </xf>
    <xf numFmtId="187" fontId="0" fillId="0" borderId="3" xfId="0" applyNumberFormat="1" applyFont="1" applyBorder="1" applyAlignment="1">
      <alignment/>
    </xf>
    <xf numFmtId="187" fontId="0" fillId="0" borderId="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75" fontId="0" fillId="0" borderId="6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75" fontId="0" fillId="0" borderId="6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175" fontId="0" fillId="0" borderId="6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87" fontId="0" fillId="0" borderId="2" xfId="0" applyNumberFormat="1" applyFont="1" applyBorder="1" applyAlignment="1">
      <alignment horizontal="center"/>
    </xf>
    <xf numFmtId="187" fontId="0" fillId="0" borderId="2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89" fontId="0" fillId="0" borderId="6" xfId="0" applyNumberFormat="1" applyFont="1" applyBorder="1" applyAlignment="1">
      <alignment horizontal="right"/>
    </xf>
    <xf numFmtId="0" fontId="1" fillId="0" borderId="5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187" fontId="0" fillId="0" borderId="11" xfId="0" applyNumberFormat="1" applyFont="1" applyBorder="1" applyAlignment="1">
      <alignment/>
    </xf>
    <xf numFmtId="187" fontId="0" fillId="0" borderId="11" xfId="0" applyNumberFormat="1" applyFont="1" applyBorder="1" applyAlignment="1">
      <alignment/>
    </xf>
    <xf numFmtId="187" fontId="0" fillId="0" borderId="0" xfId="19" applyNumberFormat="1" applyFont="1" applyBorder="1" applyAlignment="1">
      <alignment/>
    </xf>
    <xf numFmtId="175" fontId="0" fillId="0" borderId="6" xfId="23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ont="1" applyBorder="1" applyAlignment="1">
      <alignment/>
    </xf>
    <xf numFmtId="9" fontId="0" fillId="0" borderId="0" xfId="23" applyFont="1" applyBorder="1" applyAlignment="1">
      <alignment/>
    </xf>
    <xf numFmtId="0" fontId="1" fillId="0" borderId="4" xfId="0" applyFont="1" applyBorder="1" applyAlignment="1">
      <alignment/>
    </xf>
    <xf numFmtId="4" fontId="1" fillId="0" borderId="11" xfId="0" applyNumberFormat="1" applyFont="1" applyBorder="1" applyAlignment="1">
      <alignment/>
    </xf>
    <xf numFmtId="189" fontId="0" fillId="0" borderId="6" xfId="0" applyNumberFormat="1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187" fontId="0" fillId="0" borderId="2" xfId="0" applyNumberFormat="1" applyFont="1" applyBorder="1" applyAlignment="1">
      <alignment/>
    </xf>
    <xf numFmtId="189" fontId="0" fillId="0" borderId="7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/>
    </xf>
    <xf numFmtId="3" fontId="0" fillId="0" borderId="3" xfId="0" applyNumberFormat="1" applyFont="1" applyBorder="1" applyAlignment="1">
      <alignment/>
    </xf>
    <xf numFmtId="186" fontId="0" fillId="0" borderId="3" xfId="0" applyNumberFormat="1" applyFont="1" applyBorder="1" applyAlignment="1">
      <alignment/>
    </xf>
    <xf numFmtId="187" fontId="0" fillId="0" borderId="3" xfId="0" applyNumberFormat="1" applyFont="1" applyBorder="1" applyAlignment="1">
      <alignment/>
    </xf>
    <xf numFmtId="187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8" fontId="0" fillId="0" borderId="4" xfId="0" applyNumberFormat="1" applyFont="1" applyBorder="1" applyAlignment="1">
      <alignment horizontal="left" indent="2"/>
    </xf>
    <xf numFmtId="188" fontId="0" fillId="0" borderId="0" xfId="0" applyNumberFormat="1" applyFont="1" applyBorder="1" applyAlignment="1">
      <alignment/>
    </xf>
    <xf numFmtId="3" fontId="0" fillId="0" borderId="0" xfId="18" applyFont="1" applyBorder="1" applyAlignment="1">
      <alignment/>
    </xf>
    <xf numFmtId="44" fontId="0" fillId="0" borderId="0" xfId="19" applyFont="1" applyBorder="1" applyAlignment="1">
      <alignment/>
    </xf>
    <xf numFmtId="0" fontId="0" fillId="0" borderId="4" xfId="0" applyFont="1" applyBorder="1" applyAlignment="1">
      <alignment horizontal="left" indent="2"/>
    </xf>
    <xf numFmtId="3" fontId="0" fillId="0" borderId="0" xfId="18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18" applyFont="1" applyBorder="1" applyAlignment="1">
      <alignment/>
    </xf>
    <xf numFmtId="44" fontId="0" fillId="0" borderId="2" xfId="19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18" applyFont="1" applyBorder="1" applyAlignment="1">
      <alignment/>
    </xf>
    <xf numFmtId="187" fontId="0" fillId="0" borderId="14" xfId="0" applyNumberFormat="1" applyFont="1" applyBorder="1" applyAlignment="1">
      <alignment/>
    </xf>
    <xf numFmtId="189" fontId="0" fillId="0" borderId="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5" xfId="0" applyFont="1" applyBorder="1" applyAlignment="1">
      <alignment/>
    </xf>
    <xf numFmtId="189" fontId="0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189" fontId="0" fillId="0" borderId="0" xfId="0" applyNumberFormat="1" applyFont="1" applyAlignment="1">
      <alignment horizontal="right"/>
    </xf>
    <xf numFmtId="189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7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187" fontId="0" fillId="0" borderId="0" xfId="0" applyNumberFormat="1" applyBorder="1" applyAlignment="1">
      <alignment horizontal="centerContinuous"/>
    </xf>
    <xf numFmtId="187" fontId="0" fillId="0" borderId="0" xfId="0" applyNumberFormat="1" applyBorder="1" applyAlignment="1">
      <alignment horizontal="centerContinuous"/>
    </xf>
    <xf numFmtId="175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187" fontId="0" fillId="0" borderId="0" xfId="0" applyNumberFormat="1" applyBorder="1" applyAlignment="1">
      <alignment horizontal="right"/>
    </xf>
    <xf numFmtId="191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87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187" fontId="0" fillId="0" borderId="0" xfId="0" applyNumberFormat="1" applyBorder="1" applyAlignment="1">
      <alignment horizontal="center"/>
    </xf>
    <xf numFmtId="187" fontId="5" fillId="0" borderId="0" xfId="0" applyNumberFormat="1" applyFont="1" applyBorder="1" applyAlignment="1">
      <alignment/>
    </xf>
    <xf numFmtId="3" fontId="0" fillId="0" borderId="3" xfId="0" applyNumberFormat="1" applyBorder="1" applyAlignment="1">
      <alignment horizontal="centerContinuous"/>
    </xf>
    <xf numFmtId="186" fontId="0" fillId="0" borderId="3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186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186" fontId="0" fillId="0" borderId="2" xfId="0" applyNumberFormat="1" applyBorder="1" applyAlignment="1">
      <alignment horizontal="center"/>
    </xf>
    <xf numFmtId="175" fontId="0" fillId="0" borderId="6" xfId="0" applyNumberForma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186" fontId="0" fillId="0" borderId="2" xfId="0" applyNumberFormat="1" applyBorder="1" applyAlignment="1">
      <alignment/>
    </xf>
    <xf numFmtId="187" fontId="0" fillId="0" borderId="2" xfId="0" applyNumberFormat="1" applyBorder="1" applyAlignment="1">
      <alignment horizontal="right"/>
    </xf>
    <xf numFmtId="175" fontId="0" fillId="0" borderId="7" xfId="0" applyNumberFormat="1" applyBorder="1" applyAlignment="1">
      <alignment/>
    </xf>
    <xf numFmtId="187" fontId="0" fillId="0" borderId="3" xfId="0" applyNumberFormat="1" applyBorder="1" applyAlignment="1">
      <alignment horizontal="right"/>
    </xf>
    <xf numFmtId="187" fontId="0" fillId="0" borderId="2" xfId="0" applyNumberFormat="1" applyBorder="1" applyAlignment="1">
      <alignment horizontal="right"/>
    </xf>
    <xf numFmtId="175" fontId="0" fillId="0" borderId="6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86" fontId="0" fillId="0" borderId="2" xfId="0" applyNumberFormat="1" applyBorder="1" applyAlignment="1">
      <alignment/>
    </xf>
    <xf numFmtId="175" fontId="0" fillId="0" borderId="7" xfId="0" applyNumberFormat="1" applyBorder="1" applyAlignment="1">
      <alignment horizontal="right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right"/>
    </xf>
    <xf numFmtId="186" fontId="0" fillId="0" borderId="15" xfId="0" applyNumberFormat="1" applyFont="1" applyBorder="1" applyAlignment="1">
      <alignment/>
    </xf>
    <xf numFmtId="187" fontId="0" fillId="0" borderId="16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7" fontId="0" fillId="0" borderId="17" xfId="0" applyNumberFormat="1" applyFont="1" applyBorder="1" applyAlignment="1">
      <alignment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189" fontId="0" fillId="0" borderId="6" xfId="0" applyNumberFormat="1" applyBorder="1" applyAlignment="1">
      <alignment horizontal="center"/>
    </xf>
    <xf numFmtId="189" fontId="0" fillId="0" borderId="7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189" fontId="0" fillId="0" borderId="7" xfId="0" applyNumberFormat="1" applyFont="1" applyBorder="1" applyAlignment="1">
      <alignment horizontal="center"/>
    </xf>
    <xf numFmtId="187" fontId="0" fillId="0" borderId="13" xfId="0" applyNumberFormat="1" applyFont="1" applyBorder="1" applyAlignment="1">
      <alignment horizontal="center"/>
    </xf>
    <xf numFmtId="187" fontId="0" fillId="0" borderId="6" xfId="0" applyNumberFormat="1" applyFont="1" applyBorder="1" applyAlignment="1">
      <alignment horizontal="center"/>
    </xf>
    <xf numFmtId="187" fontId="0" fillId="0" borderId="7" xfId="0" applyNumberFormat="1" applyFont="1" applyBorder="1" applyAlignment="1">
      <alignment horizontal="center"/>
    </xf>
    <xf numFmtId="18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center"/>
      <protection locked="0"/>
    </xf>
    <xf numFmtId="190" fontId="0" fillId="0" borderId="0" xfId="0" applyNumberFormat="1" applyFont="1" applyBorder="1" applyAlignment="1">
      <alignment/>
    </xf>
    <xf numFmtId="187" fontId="0" fillId="0" borderId="9" xfId="0" applyNumberFormat="1" applyBorder="1" applyAlignment="1">
      <alignment/>
    </xf>
    <xf numFmtId="187" fontId="0" fillId="0" borderId="6" xfId="0" applyNumberFormat="1" applyBorder="1" applyAlignment="1">
      <alignment/>
    </xf>
    <xf numFmtId="3" fontId="0" fillId="0" borderId="0" xfId="0" applyNumberFormat="1" applyBorder="1" applyAlignment="1">
      <alignment horizontal="centerContinuous"/>
    </xf>
    <xf numFmtId="186" fontId="0" fillId="0" borderId="0" xfId="0" applyNumberFormat="1" applyBorder="1" applyAlignment="1">
      <alignment horizontal="centerContinuous"/>
    </xf>
    <xf numFmtId="186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168" fontId="0" fillId="0" borderId="0" xfId="19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19" applyFill="1" applyAlignment="1">
      <alignment/>
    </xf>
    <xf numFmtId="175" fontId="0" fillId="0" borderId="0" xfId="23" applyNumberFormat="1" applyFont="1" applyFill="1" applyAlignment="1">
      <alignment/>
    </xf>
    <xf numFmtId="44" fontId="0" fillId="0" borderId="0" xfId="19" applyFill="1" applyBorder="1" applyAlignment="1">
      <alignment/>
    </xf>
    <xf numFmtId="175" fontId="0" fillId="0" borderId="0" xfId="23" applyNumberFormat="1" applyFont="1" applyFill="1" applyBorder="1" applyAlignment="1">
      <alignment/>
    </xf>
    <xf numFmtId="44" fontId="0" fillId="0" borderId="0" xfId="19" applyNumberFormat="1" applyFont="1" applyFill="1" applyBorder="1" applyAlignment="1">
      <alignment/>
    </xf>
    <xf numFmtId="168" fontId="0" fillId="0" borderId="0" xfId="19" applyNumberFormat="1" applyFont="1" applyFill="1" applyBorder="1" applyAlignment="1">
      <alignment/>
    </xf>
    <xf numFmtId="168" fontId="0" fillId="0" borderId="0" xfId="19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68" fontId="0" fillId="0" borderId="0" xfId="19" applyNumberFormat="1" applyFont="1" applyFill="1" applyAlignment="1">
      <alignment horizontal="center"/>
    </xf>
    <xf numFmtId="166" fontId="0" fillId="0" borderId="0" xfId="16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19" applyNumberFormat="1" applyFont="1" applyFill="1" applyAlignment="1">
      <alignment/>
    </xf>
    <xf numFmtId="166" fontId="0" fillId="0" borderId="0" xfId="16" applyNumberFormat="1" applyFont="1" applyFill="1" applyAlignment="1">
      <alignment/>
    </xf>
    <xf numFmtId="44" fontId="0" fillId="0" borderId="0" xfId="19" applyFont="1" applyFill="1" applyAlignment="1">
      <alignment/>
    </xf>
    <xf numFmtId="10" fontId="0" fillId="0" borderId="0" xfId="23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Alignment="1">
      <alignment/>
    </xf>
    <xf numFmtId="44" fontId="0" fillId="0" borderId="1" xfId="19" applyNumberFormat="1" applyFont="1" applyFill="1" applyBorder="1" applyAlignment="1">
      <alignment/>
    </xf>
    <xf numFmtId="168" fontId="0" fillId="0" borderId="1" xfId="19" applyNumberFormat="1" applyFont="1" applyFill="1" applyBorder="1" applyAlignment="1">
      <alignment/>
    </xf>
    <xf numFmtId="166" fontId="0" fillId="0" borderId="1" xfId="16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4" fontId="0" fillId="0" borderId="1" xfId="19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44" fontId="0" fillId="0" borderId="11" xfId="19" applyNumberFormat="1" applyFont="1" applyFill="1" applyBorder="1" applyAlignment="1">
      <alignment/>
    </xf>
    <xf numFmtId="168" fontId="0" fillId="0" borderId="11" xfId="19" applyNumberFormat="1" applyFont="1" applyFill="1" applyBorder="1" applyAlignment="1">
      <alignment/>
    </xf>
    <xf numFmtId="166" fontId="0" fillId="0" borderId="11" xfId="16" applyNumberFormat="1" applyFont="1" applyFill="1" applyBorder="1" applyAlignment="1">
      <alignment/>
    </xf>
    <xf numFmtId="44" fontId="0" fillId="0" borderId="11" xfId="19" applyFont="1" applyFill="1" applyBorder="1" applyAlignment="1">
      <alignment/>
    </xf>
    <xf numFmtId="10" fontId="0" fillId="0" borderId="11" xfId="23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68" fontId="0" fillId="0" borderId="3" xfId="19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44" fontId="0" fillId="0" borderId="0" xfId="19" applyFont="1" applyFill="1" applyBorder="1" applyAlignment="1">
      <alignment/>
    </xf>
    <xf numFmtId="166" fontId="0" fillId="0" borderId="0" xfId="16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4" fontId="0" fillId="0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44" fontId="0" fillId="0" borderId="11" xfId="0" applyNumberFormat="1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0" fontId="0" fillId="0" borderId="0" xfId="23" applyNumberFormat="1" applyFont="1" applyFill="1" applyBorder="1" applyAlignment="1">
      <alignment/>
    </xf>
    <xf numFmtId="10" fontId="0" fillId="0" borderId="1" xfId="23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wrapText="1"/>
    </xf>
    <xf numFmtId="168" fontId="0" fillId="0" borderId="2" xfId="19" applyNumberFormat="1" applyFont="1" applyFill="1" applyBorder="1" applyAlignment="1">
      <alignment horizontal="center" wrapText="1"/>
    </xf>
    <xf numFmtId="164" fontId="0" fillId="0" borderId="0" xfId="23" applyNumberFormat="1" applyFont="1" applyFill="1" applyAlignment="1">
      <alignment/>
    </xf>
    <xf numFmtId="175" fontId="0" fillId="0" borderId="1" xfId="23" applyNumberFormat="1" applyFont="1" applyFill="1" applyBorder="1" applyAlignment="1">
      <alignment/>
    </xf>
    <xf numFmtId="175" fontId="0" fillId="0" borderId="11" xfId="23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right"/>
    </xf>
    <xf numFmtId="10" fontId="0" fillId="0" borderId="3" xfId="23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4" fontId="4" fillId="0" borderId="21" xfId="19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168" fontId="0" fillId="0" borderId="0" xfId="19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0" fontId="0" fillId="0" borderId="0" xfId="23" applyNumberFormat="1" applyFill="1" applyAlignment="1">
      <alignment/>
    </xf>
    <xf numFmtId="44" fontId="0" fillId="0" borderId="0" xfId="0" applyNumberFormat="1" applyFill="1" applyAlignment="1">
      <alignment/>
    </xf>
    <xf numFmtId="10" fontId="0" fillId="0" borderId="21" xfId="23" applyNumberFormat="1" applyFill="1" applyBorder="1" applyAlignment="1">
      <alignment/>
    </xf>
    <xf numFmtId="186" fontId="0" fillId="0" borderId="0" xfId="0" applyNumberFormat="1" applyFont="1" applyAlignment="1">
      <alignment horizontal="center"/>
    </xf>
    <xf numFmtId="172" fontId="1" fillId="0" borderId="11" xfId="0" applyNumberFormat="1" applyFont="1" applyBorder="1" applyAlignment="1">
      <alignment/>
    </xf>
    <xf numFmtId="171" fontId="0" fillId="0" borderId="0" xfId="0" applyNumberFormat="1" applyFont="1" applyAlignment="1">
      <alignment horizontal="center"/>
    </xf>
    <xf numFmtId="9" fontId="0" fillId="0" borderId="0" xfId="23" applyFont="1" applyBorder="1" applyAlignment="1">
      <alignment/>
    </xf>
    <xf numFmtId="187" fontId="0" fillId="0" borderId="0" xfId="19" applyNumberFormat="1" applyFont="1" applyBorder="1" applyAlignment="1">
      <alignment/>
    </xf>
    <xf numFmtId="175" fontId="0" fillId="0" borderId="6" xfId="23" applyNumberFormat="1" applyFont="1" applyBorder="1" applyAlignment="1">
      <alignment/>
    </xf>
    <xf numFmtId="9" fontId="0" fillId="0" borderId="0" xfId="23" applyFont="1" applyBorder="1" applyAlignment="1">
      <alignment/>
    </xf>
    <xf numFmtId="0" fontId="0" fillId="0" borderId="4" xfId="0" applyBorder="1" applyAlignment="1">
      <alignment wrapText="1"/>
    </xf>
    <xf numFmtId="175" fontId="0" fillId="0" borderId="12" xfId="0" applyNumberForma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wrapText="1"/>
    </xf>
    <xf numFmtId="175" fontId="0" fillId="0" borderId="6" xfId="23" applyNumberFormat="1" applyFont="1" applyBorder="1" applyAlignment="1">
      <alignment wrapText="1"/>
    </xf>
    <xf numFmtId="0" fontId="0" fillId="0" borderId="0" xfId="0" applyAlignment="1">
      <alignment wrapText="1"/>
    </xf>
    <xf numFmtId="175" fontId="0" fillId="0" borderId="4" xfId="0" applyNumberFormat="1" applyBorder="1" applyAlignment="1">
      <alignment horizontal="right"/>
    </xf>
    <xf numFmtId="186" fontId="0" fillId="0" borderId="0" xfId="0" applyNumberForma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5" fontId="0" fillId="0" borderId="5" xfId="0" applyNumberFormat="1" applyBorder="1" applyAlignment="1">
      <alignment horizontal="right"/>
    </xf>
    <xf numFmtId="170" fontId="0" fillId="0" borderId="2" xfId="19" applyNumberFormat="1" applyBorder="1" applyAlignment="1">
      <alignment horizontal="center"/>
    </xf>
    <xf numFmtId="170" fontId="0" fillId="0" borderId="7" xfId="19" applyNumberFormat="1" applyBorder="1" applyAlignment="1">
      <alignment horizontal="center"/>
    </xf>
    <xf numFmtId="170" fontId="0" fillId="0" borderId="0" xfId="0" applyNumberFormat="1" applyBorder="1" applyAlignment="1">
      <alignment/>
    </xf>
    <xf numFmtId="175" fontId="0" fillId="0" borderId="6" xfId="23" applyNumberFormat="1" applyFont="1" applyBorder="1" applyAlignment="1">
      <alignment/>
    </xf>
    <xf numFmtId="187" fontId="0" fillId="0" borderId="0" xfId="23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175" fontId="0" fillId="0" borderId="6" xfId="19" applyNumberFormat="1" applyFont="1" applyBorder="1" applyAlignment="1">
      <alignment/>
    </xf>
    <xf numFmtId="187" fontId="0" fillId="0" borderId="2" xfId="23" applyNumberFormat="1" applyFont="1" applyBorder="1" applyAlignment="1">
      <alignment/>
    </xf>
    <xf numFmtId="175" fontId="0" fillId="0" borderId="7" xfId="23" applyNumberFormat="1" applyFont="1" applyBorder="1" applyAlignment="1">
      <alignment/>
    </xf>
    <xf numFmtId="187" fontId="0" fillId="0" borderId="6" xfId="0" applyNumberFormat="1" applyBorder="1" applyAlignment="1">
      <alignment horizontal="center"/>
    </xf>
    <xf numFmtId="3" fontId="0" fillId="0" borderId="0" xfId="18" applyAlignment="1">
      <alignment/>
    </xf>
    <xf numFmtId="171" fontId="0" fillId="0" borderId="0" xfId="22" applyNumberFormat="1" applyAlignment="1">
      <alignment horizontal="center"/>
    </xf>
    <xf numFmtId="189" fontId="0" fillId="0" borderId="0" xfId="21" applyAlignment="1">
      <alignment/>
    </xf>
    <xf numFmtId="0" fontId="0" fillId="0" borderId="21" xfId="0" applyFill="1" applyBorder="1" applyAlignment="1">
      <alignment horizontal="center"/>
    </xf>
    <xf numFmtId="42" fontId="4" fillId="0" borderId="3" xfId="25" applyFont="1" applyFill="1" applyBorder="1" applyAlignment="1">
      <alignment wrapText="1"/>
      <protection/>
    </xf>
    <xf numFmtId="0" fontId="6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187" fontId="0" fillId="0" borderId="25" xfId="0" applyNumberFormat="1" applyFont="1" applyBorder="1" applyAlignment="1">
      <alignment horizontal="center"/>
    </xf>
    <xf numFmtId="187" fontId="0" fillId="0" borderId="26" xfId="0" applyNumberFormat="1" applyFont="1" applyBorder="1" applyAlignment="1">
      <alignment horizontal="center"/>
    </xf>
    <xf numFmtId="187" fontId="0" fillId="0" borderId="4" xfId="0" applyNumberFormat="1" applyFont="1" applyBorder="1" applyAlignment="1">
      <alignment horizontal="center"/>
    </xf>
    <xf numFmtId="187" fontId="0" fillId="0" borderId="6" xfId="0" applyNumberFormat="1" applyFont="1" applyBorder="1" applyAlignment="1">
      <alignment horizontal="center"/>
    </xf>
    <xf numFmtId="187" fontId="0" fillId="0" borderId="27" xfId="0" applyNumberFormat="1" applyFont="1" applyBorder="1" applyAlignment="1">
      <alignment horizontal="center"/>
    </xf>
    <xf numFmtId="187" fontId="0" fillId="0" borderId="28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7">
    <cellStyle name="Normal" xfId="0"/>
    <cellStyle name="Calculation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Fixed" xfId="22"/>
    <cellStyle name="Percent" xfId="23"/>
    <cellStyle name="Report" xfId="24"/>
    <cellStyle name="Report Bar" xfId="25"/>
    <cellStyle name="Report Heading" xfId="26"/>
    <cellStyle name="Report Unit Cost" xfId="27"/>
    <cellStyle name="Reports Total" xfId="28"/>
    <cellStyle name="Title: Minor" xfId="29"/>
    <cellStyle name="Title: Workshee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7"/>
  <sheetViews>
    <sheetView tabSelected="1" workbookViewId="0" topLeftCell="A1">
      <selection activeCell="E27" sqref="E26:E27"/>
    </sheetView>
  </sheetViews>
  <sheetFormatPr defaultColWidth="9.140625" defaultRowHeight="12.75"/>
  <cols>
    <col min="1" max="1" width="1.8515625" style="0" customWidth="1"/>
    <col min="2" max="2" width="3.28125" style="0" customWidth="1"/>
    <col min="3" max="3" width="39.28125" style="0" customWidth="1"/>
    <col min="4" max="4" width="2.00390625" style="0" customWidth="1"/>
    <col min="5" max="5" width="18.421875" style="0" customWidth="1"/>
    <col min="6" max="6" width="1.57421875" style="0" customWidth="1"/>
    <col min="7" max="8" width="15.421875" style="0" customWidth="1"/>
    <col min="9" max="9" width="14.140625" style="0" customWidth="1"/>
    <col min="10" max="10" width="13.00390625" style="0" customWidth="1"/>
    <col min="11" max="13" width="14.140625" style="0" customWidth="1"/>
    <col min="14" max="14" width="13.28125" style="0" customWidth="1"/>
    <col min="15" max="15" width="14.140625" style="0" customWidth="1"/>
    <col min="16" max="16" width="15.140625" style="0" customWidth="1"/>
    <col min="17" max="17" width="15.140625" style="0" hidden="1" customWidth="1"/>
  </cols>
  <sheetData>
    <row r="2" ht="18">
      <c r="A2" s="11" t="s">
        <v>96</v>
      </c>
    </row>
    <row r="3" s="13" customFormat="1" ht="12.75">
      <c r="A3" s="12" t="s">
        <v>97</v>
      </c>
    </row>
    <row r="4" spans="3:4" s="13" customFormat="1" ht="12.75">
      <c r="C4"/>
      <c r="D4"/>
    </row>
    <row r="5" spans="2:17" s="13" customFormat="1" ht="25.5">
      <c r="B5" s="14"/>
      <c r="C5" s="14"/>
      <c r="D5" s="14"/>
      <c r="E5" s="14" t="s">
        <v>98</v>
      </c>
      <c r="F5" s="14"/>
      <c r="G5" s="14" t="s">
        <v>7</v>
      </c>
      <c r="H5" s="14" t="s">
        <v>99</v>
      </c>
      <c r="I5" s="14" t="s">
        <v>100</v>
      </c>
      <c r="J5" s="14" t="s">
        <v>101</v>
      </c>
      <c r="K5" s="14" t="s">
        <v>102</v>
      </c>
      <c r="L5" s="14" t="s">
        <v>103</v>
      </c>
      <c r="M5" s="14" t="s">
        <v>104</v>
      </c>
      <c r="N5" s="14" t="s">
        <v>81</v>
      </c>
      <c r="O5" s="14" t="s">
        <v>105</v>
      </c>
      <c r="P5" s="14" t="s">
        <v>83</v>
      </c>
      <c r="Q5" s="14" t="s">
        <v>106</v>
      </c>
    </row>
    <row r="6" spans="1:17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13"/>
      <c r="B7" s="15" t="s">
        <v>107</v>
      </c>
      <c r="C7" s="13"/>
      <c r="D7" s="13"/>
      <c r="E7" s="16">
        <v>974041859.7447584</v>
      </c>
      <c r="F7" s="13"/>
      <c r="G7" s="16">
        <v>626829987.489675</v>
      </c>
      <c r="H7" s="16">
        <v>168405495.46435052</v>
      </c>
      <c r="I7" s="16">
        <v>43644422.738913</v>
      </c>
      <c r="J7" s="16">
        <v>7343633.109110484</v>
      </c>
      <c r="K7" s="16">
        <v>23610403.269236043</v>
      </c>
      <c r="L7" s="16">
        <v>14543908.019295203</v>
      </c>
      <c r="M7" s="16">
        <v>35698764.42596205</v>
      </c>
      <c r="N7" s="16">
        <v>11998673.726180658</v>
      </c>
      <c r="O7" s="16">
        <v>223290.90144482857</v>
      </c>
      <c r="P7" s="16">
        <v>41743280.600590445</v>
      </c>
      <c r="Q7" s="16">
        <v>0</v>
      </c>
    </row>
    <row r="8" spans="1:17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2.75">
      <c r="A9" s="13"/>
      <c r="B9" s="15" t="s">
        <v>108</v>
      </c>
      <c r="C9" s="13"/>
      <c r="D9" s="13"/>
      <c r="E9" s="17">
        <v>0.08759999999999998</v>
      </c>
      <c r="F9" s="13"/>
      <c r="G9" s="17">
        <v>0.0876</v>
      </c>
      <c r="H9" s="17">
        <v>0.08760000000000001</v>
      </c>
      <c r="I9" s="17">
        <v>0.0876</v>
      </c>
      <c r="J9" s="17">
        <v>0.0876</v>
      </c>
      <c r="K9" s="17">
        <v>0.0876</v>
      </c>
      <c r="L9" s="17">
        <v>0.0876</v>
      </c>
      <c r="M9" s="17">
        <v>0.08759999999999998</v>
      </c>
      <c r="N9" s="17">
        <v>0.08760000000000001</v>
      </c>
      <c r="O9" s="17">
        <v>0.0876</v>
      </c>
      <c r="P9" s="17">
        <v>0.0876</v>
      </c>
      <c r="Q9" s="17">
        <v>0.0876</v>
      </c>
    </row>
    <row r="10" spans="1:17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2.75">
      <c r="A11" s="13"/>
      <c r="B11" s="15" t="s">
        <v>109</v>
      </c>
      <c r="C11" s="13"/>
      <c r="D11" s="13"/>
      <c r="E11" s="18">
        <v>85326066.91364081</v>
      </c>
      <c r="F11" s="13"/>
      <c r="G11" s="18">
        <v>54910306.90409553</v>
      </c>
      <c r="H11" s="18">
        <v>14752321.402677108</v>
      </c>
      <c r="I11" s="18">
        <v>3823251.4319287785</v>
      </c>
      <c r="J11" s="18">
        <v>643302.2603580784</v>
      </c>
      <c r="K11" s="18">
        <v>2068271.3263850773</v>
      </c>
      <c r="L11" s="18">
        <v>1274046.3424902598</v>
      </c>
      <c r="M11" s="18">
        <v>3127211.7637142753</v>
      </c>
      <c r="N11" s="18">
        <v>1051083.8184134257</v>
      </c>
      <c r="O11" s="18">
        <v>19560.28296656698</v>
      </c>
      <c r="P11" s="18">
        <v>3656711.380611723</v>
      </c>
      <c r="Q11" s="18">
        <v>0</v>
      </c>
    </row>
    <row r="12" spans="1:17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2.75">
      <c r="B13" s="15" t="s">
        <v>110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2:17" ht="12.75">
      <c r="B14" s="15"/>
      <c r="C14" t="s">
        <v>111</v>
      </c>
      <c r="E14" s="19">
        <v>402908258.47999996</v>
      </c>
      <c r="F14" s="19"/>
      <c r="G14" s="19">
        <v>242869128.5893879</v>
      </c>
      <c r="H14" s="19">
        <v>92322907.48611312</v>
      </c>
      <c r="I14" s="19">
        <v>21335534.999796223</v>
      </c>
      <c r="J14" s="19">
        <v>8805802.834890312</v>
      </c>
      <c r="K14" s="19">
        <v>11772148.161275683</v>
      </c>
      <c r="L14" s="19">
        <v>23118905.060219362</v>
      </c>
      <c r="M14" s="19">
        <v>1086572.9321762372</v>
      </c>
      <c r="N14" s="19">
        <v>305092.1067464217</v>
      </c>
      <c r="O14" s="19">
        <v>75664.70125648577</v>
      </c>
      <c r="P14" s="19">
        <v>1216501.6081381286</v>
      </c>
      <c r="Q14" s="19">
        <v>0</v>
      </c>
    </row>
    <row r="15" spans="2:17" ht="12.75">
      <c r="B15" s="15"/>
      <c r="C15" t="s">
        <v>112</v>
      </c>
      <c r="E15" s="19">
        <v>24097439.380000003</v>
      </c>
      <c r="F15" s="19"/>
      <c r="G15" s="19">
        <v>15129540.501225062</v>
      </c>
      <c r="H15" s="19">
        <v>3770122.138547982</v>
      </c>
      <c r="I15" s="19">
        <v>1079782.0272232352</v>
      </c>
      <c r="J15" s="19">
        <v>284757.0587362202</v>
      </c>
      <c r="K15" s="19">
        <v>526875.9593195205</v>
      </c>
      <c r="L15" s="19">
        <v>683869.1192167487</v>
      </c>
      <c r="M15" s="19">
        <v>1712460.1944745278</v>
      </c>
      <c r="N15" s="19">
        <v>505230.47292844654</v>
      </c>
      <c r="O15" s="19">
        <v>13992.357141591188</v>
      </c>
      <c r="P15" s="19">
        <v>390809.551186666</v>
      </c>
      <c r="Q15" s="19">
        <v>0</v>
      </c>
    </row>
    <row r="16" spans="2:17" ht="12.75">
      <c r="B16" s="15"/>
      <c r="C16" t="s">
        <v>113</v>
      </c>
      <c r="E16" s="19">
        <v>50232916.89999999</v>
      </c>
      <c r="F16" s="19"/>
      <c r="G16" s="19">
        <v>28261059.578794368</v>
      </c>
      <c r="H16" s="19">
        <v>7720619.408593666</v>
      </c>
      <c r="I16" s="19">
        <v>1965624.285458154</v>
      </c>
      <c r="J16" s="19">
        <v>312900.4867801358</v>
      </c>
      <c r="K16" s="19">
        <v>1069329.9356595208</v>
      </c>
      <c r="L16" s="19">
        <v>603223.5111713833</v>
      </c>
      <c r="M16" s="19">
        <v>1451096.0073098205</v>
      </c>
      <c r="N16" s="19">
        <v>495242.54584443866</v>
      </c>
      <c r="O16" s="19">
        <v>10360.790550917774</v>
      </c>
      <c r="P16" s="19">
        <v>8343460.34983759</v>
      </c>
      <c r="Q16" s="19">
        <v>0</v>
      </c>
    </row>
    <row r="17" spans="2:17" ht="12.75">
      <c r="B17" s="15"/>
      <c r="C17" t="s">
        <v>114</v>
      </c>
      <c r="E17" s="19">
        <v>7535361.930000002</v>
      </c>
      <c r="F17" s="19"/>
      <c r="G17" s="19">
        <v>5052974.162509175</v>
      </c>
      <c r="H17" s="19">
        <v>1411917.7745104735</v>
      </c>
      <c r="I17" s="19">
        <v>356723.05460144824</v>
      </c>
      <c r="J17" s="19">
        <v>56946.43959916716</v>
      </c>
      <c r="K17" s="19">
        <v>195184.42691684896</v>
      </c>
      <c r="L17" s="19">
        <v>109348.32782353209</v>
      </c>
      <c r="M17" s="19">
        <v>260824.67864898994</v>
      </c>
      <c r="N17" s="19">
        <v>90768.13773772547</v>
      </c>
      <c r="O17" s="19">
        <v>674.9276526399874</v>
      </c>
      <c r="P17" s="19">
        <v>0</v>
      </c>
      <c r="Q17" s="19">
        <v>0</v>
      </c>
    </row>
    <row r="18" spans="3:17" ht="12.75">
      <c r="C18" s="20" t="s">
        <v>115</v>
      </c>
      <c r="E18" s="19">
        <v>38746428</v>
      </c>
      <c r="F18" s="19"/>
      <c r="G18" s="19">
        <v>24046217.596570056</v>
      </c>
      <c r="H18" s="19">
        <v>7824001.231281506</v>
      </c>
      <c r="I18" s="19">
        <v>1879864.8590192634</v>
      </c>
      <c r="J18" s="19">
        <v>519123.4203674324</v>
      </c>
      <c r="K18" s="19">
        <v>1037348.9559986326</v>
      </c>
      <c r="L18" s="19">
        <v>1247491.766198507</v>
      </c>
      <c r="M18" s="19">
        <v>843748.0952012246</v>
      </c>
      <c r="N18" s="19">
        <v>286979.5622237777</v>
      </c>
      <c r="O18" s="19">
        <v>6791.992219562349</v>
      </c>
      <c r="P18" s="19">
        <v>1054860.5209200347</v>
      </c>
      <c r="Q18" s="19">
        <v>0</v>
      </c>
    </row>
    <row r="19" spans="1:17" ht="12.75">
      <c r="A19" s="13"/>
      <c r="B19" s="13"/>
      <c r="C19" s="21" t="s">
        <v>116</v>
      </c>
      <c r="D19" s="22"/>
      <c r="E19" s="23">
        <v>2117650</v>
      </c>
      <c r="F19" s="22"/>
      <c r="G19" s="23">
        <v>1362781.8042187095</v>
      </c>
      <c r="H19" s="23">
        <v>366127.89676568186</v>
      </c>
      <c r="I19" s="23">
        <v>94886.69392224896</v>
      </c>
      <c r="J19" s="23">
        <v>15965.68412119671</v>
      </c>
      <c r="K19" s="23">
        <v>51331.02852088871</v>
      </c>
      <c r="L19" s="23">
        <v>31619.695302552096</v>
      </c>
      <c r="M19" s="23">
        <v>77612.15571007214</v>
      </c>
      <c r="N19" s="23">
        <v>26086.139073021674</v>
      </c>
      <c r="O19" s="23">
        <v>485.45344608551875</v>
      </c>
      <c r="P19" s="23">
        <v>90753.44891954056</v>
      </c>
      <c r="Q19" s="18">
        <v>0</v>
      </c>
    </row>
    <row r="20" spans="1:17" ht="12.75">
      <c r="A20" s="13"/>
      <c r="B20" s="13"/>
      <c r="C20" s="24" t="s">
        <v>117</v>
      </c>
      <c r="D20" s="21"/>
      <c r="E20" s="18">
        <v>610964121.6036407</v>
      </c>
      <c r="F20" s="21"/>
      <c r="G20" s="18">
        <v>371632009.1368008</v>
      </c>
      <c r="H20" s="18">
        <v>128168017.33848953</v>
      </c>
      <c r="I20" s="18">
        <v>30535667.351949356</v>
      </c>
      <c r="J20" s="18">
        <v>10638798.184852542</v>
      </c>
      <c r="K20" s="18">
        <v>16720489.794076173</v>
      </c>
      <c r="L20" s="18">
        <v>27068503.822422344</v>
      </c>
      <c r="M20" s="18">
        <v>8559525.827235145</v>
      </c>
      <c r="N20" s="18">
        <v>2760482.7829672573</v>
      </c>
      <c r="O20" s="18">
        <v>127530.50523384959</v>
      </c>
      <c r="P20" s="18">
        <v>14753096.859613681</v>
      </c>
      <c r="Q20" s="18">
        <v>0</v>
      </c>
    </row>
    <row r="21" spans="1:17" ht="12.75">
      <c r="A21" s="13"/>
      <c r="B21" s="13"/>
      <c r="C21" s="21"/>
      <c r="D21" s="21"/>
      <c r="E21" s="18"/>
      <c r="F21" s="2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2.75">
      <c r="A22" s="13"/>
      <c r="B22" s="15" t="s">
        <v>118</v>
      </c>
      <c r="C22" s="21"/>
      <c r="D22" s="21"/>
      <c r="E22" s="18">
        <v>21302136.000000007</v>
      </c>
      <c r="F22" s="21"/>
      <c r="G22" s="18">
        <v>12957480.350574816</v>
      </c>
      <c r="H22" s="18">
        <v>4468760.831697574</v>
      </c>
      <c r="I22" s="18">
        <v>1064669.6193462848</v>
      </c>
      <c r="J22" s="18">
        <v>370936.8812286924</v>
      </c>
      <c r="K22" s="18">
        <v>582983.7383005836</v>
      </c>
      <c r="L22" s="18">
        <v>943782.014937757</v>
      </c>
      <c r="M22" s="18">
        <v>298440.0831732721</v>
      </c>
      <c r="N22" s="18">
        <v>96248.17168327257</v>
      </c>
      <c r="O22" s="18">
        <v>4446.533062382674</v>
      </c>
      <c r="P22" s="18">
        <v>514387.7759953735</v>
      </c>
      <c r="Q22" s="18">
        <v>0</v>
      </c>
    </row>
    <row r="24" spans="2:17" ht="12.75">
      <c r="B24" s="15" t="s">
        <v>119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2.75">
      <c r="A25" s="19"/>
      <c r="B25" s="19"/>
      <c r="C25" s="19" t="s">
        <v>120</v>
      </c>
      <c r="D25" s="19"/>
      <c r="E25" s="19">
        <v>525638054.68999994</v>
      </c>
      <c r="F25" s="19"/>
      <c r="G25" s="19">
        <v>316721702.2327053</v>
      </c>
      <c r="H25" s="19">
        <v>113415695.93581243</v>
      </c>
      <c r="I25" s="19">
        <v>26712415.920020577</v>
      </c>
      <c r="J25" s="19">
        <v>9995495.924494464</v>
      </c>
      <c r="K25" s="19">
        <v>14652218.467691096</v>
      </c>
      <c r="L25" s="19">
        <v>25794457.479932085</v>
      </c>
      <c r="M25" s="19">
        <v>5432314.063520872</v>
      </c>
      <c r="N25" s="19">
        <v>1709398.9645538316</v>
      </c>
      <c r="O25" s="19">
        <v>107970.2222672826</v>
      </c>
      <c r="P25" s="19">
        <v>11096385.47900196</v>
      </c>
      <c r="Q25" s="19">
        <v>0</v>
      </c>
    </row>
    <row r="26" spans="1:17" ht="12.75">
      <c r="A26" s="19"/>
      <c r="B26" s="19"/>
      <c r="C26" s="25" t="s">
        <v>121</v>
      </c>
      <c r="D26" s="19"/>
      <c r="E26" s="19">
        <v>21302136.000000007</v>
      </c>
      <c r="F26" s="19"/>
      <c r="G26" s="19">
        <v>12957480.350574816</v>
      </c>
      <c r="H26" s="19">
        <v>4468760.831697574</v>
      </c>
      <c r="I26" s="19">
        <v>1064669.6193462848</v>
      </c>
      <c r="J26" s="19">
        <v>370936.8812286924</v>
      </c>
      <c r="K26" s="19">
        <v>582983.7383005836</v>
      </c>
      <c r="L26" s="19">
        <v>943782.014937757</v>
      </c>
      <c r="M26" s="19">
        <v>298440.0831732721</v>
      </c>
      <c r="N26" s="19">
        <v>96248.17168327257</v>
      </c>
      <c r="O26" s="19">
        <v>4446.533062382674</v>
      </c>
      <c r="P26" s="19">
        <v>514387.7759953735</v>
      </c>
      <c r="Q26" s="19">
        <v>0</v>
      </c>
    </row>
    <row r="27" spans="1:17" s="20" customFormat="1" ht="12.75">
      <c r="A27" s="25"/>
      <c r="B27" s="25"/>
      <c r="C27" s="25" t="s">
        <v>122</v>
      </c>
      <c r="D27" s="25"/>
      <c r="E27" s="25">
        <v>85326066.91364081</v>
      </c>
      <c r="F27" s="25"/>
      <c r="G27" s="25">
        <v>54910306.90409553</v>
      </c>
      <c r="H27" s="25">
        <v>14752321.402677108</v>
      </c>
      <c r="I27" s="25">
        <v>3823251.4319287785</v>
      </c>
      <c r="J27" s="25">
        <v>643302.2603580784</v>
      </c>
      <c r="K27" s="25">
        <v>2068271.3263850773</v>
      </c>
      <c r="L27" s="25">
        <v>1274046.3424902598</v>
      </c>
      <c r="M27" s="25">
        <v>3127211.7637142753</v>
      </c>
      <c r="N27" s="25">
        <v>1051083.8184134257</v>
      </c>
      <c r="O27" s="25">
        <v>19560.28296656698</v>
      </c>
      <c r="P27" s="25">
        <v>3656711.380611723</v>
      </c>
      <c r="Q27" s="25">
        <v>0</v>
      </c>
    </row>
    <row r="28" spans="1:17" ht="12.75">
      <c r="A28" s="19"/>
      <c r="B28" s="19"/>
      <c r="C28" s="26" t="s">
        <v>123</v>
      </c>
      <c r="D28" s="26"/>
      <c r="E28" s="26">
        <v>632266257.6036408</v>
      </c>
      <c r="F28" s="26"/>
      <c r="G28" s="26">
        <v>384589489.4873756</v>
      </c>
      <c r="H28" s="26">
        <v>132636778.1701871</v>
      </c>
      <c r="I28" s="26">
        <v>31600336.97129564</v>
      </c>
      <c r="J28" s="26">
        <v>11009735.066081235</v>
      </c>
      <c r="K28" s="26">
        <v>17303473.53237676</v>
      </c>
      <c r="L28" s="26">
        <v>28012285.837360103</v>
      </c>
      <c r="M28" s="26">
        <v>8857965.910408419</v>
      </c>
      <c r="N28" s="26">
        <v>2856730.9546505297</v>
      </c>
      <c r="O28" s="26">
        <v>131977.03829623226</v>
      </c>
      <c r="P28" s="26">
        <v>15267484.635609057</v>
      </c>
      <c r="Q28" s="26">
        <v>0</v>
      </c>
    </row>
    <row r="29" spans="1:17" ht="12.75">
      <c r="A29" s="19"/>
      <c r="B29" s="19"/>
      <c r="C29" s="2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20.25" customHeight="1">
      <c r="B30" s="27" t="s">
        <v>124</v>
      </c>
      <c r="C30" s="28"/>
      <c r="D30" s="28"/>
      <c r="E30" s="28">
        <v>632266257.6036408</v>
      </c>
      <c r="F30" s="28"/>
      <c r="G30" s="28">
        <v>384589489.4873756</v>
      </c>
      <c r="H30" s="28">
        <v>132636778.1701871</v>
      </c>
      <c r="I30" s="28">
        <v>31600336.97129564</v>
      </c>
      <c r="J30" s="28">
        <v>11009735.066081235</v>
      </c>
      <c r="K30" s="28">
        <v>17303473.53237676</v>
      </c>
      <c r="L30" s="28">
        <v>28012285.837360103</v>
      </c>
      <c r="M30" s="28">
        <v>8857965.910408419</v>
      </c>
      <c r="N30" s="28">
        <v>2856730.9546505297</v>
      </c>
      <c r="O30" s="28">
        <v>131977.03829623226</v>
      </c>
      <c r="P30" s="28">
        <v>15267484.635609057</v>
      </c>
      <c r="Q30" s="28">
        <v>0</v>
      </c>
    </row>
    <row r="31" spans="2:17" s="29" customFormat="1" ht="36" customHeight="1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2:17" ht="20.25" customHeight="1">
      <c r="B32" s="27" t="s">
        <v>125</v>
      </c>
      <c r="C32" s="28"/>
      <c r="D32" s="32"/>
      <c r="E32" s="32">
        <v>0.9355376107557661</v>
      </c>
      <c r="F32" s="32"/>
      <c r="G32" s="32">
        <v>0.9189443254704471</v>
      </c>
      <c r="H32" s="32">
        <v>1.0325263089870695</v>
      </c>
      <c r="I32" s="32">
        <v>0.9260527514811552</v>
      </c>
      <c r="J32" s="32">
        <v>1.0623727028667902</v>
      </c>
      <c r="K32" s="32">
        <v>0.8608315533947022</v>
      </c>
      <c r="L32" s="32">
        <v>0.9114728497432092</v>
      </c>
      <c r="M32" s="32">
        <v>1.0848017589127243</v>
      </c>
      <c r="N32" s="32">
        <v>0.653525666097733</v>
      </c>
      <c r="O32" s="32">
        <v>0.4271955237656637</v>
      </c>
      <c r="P32" s="32">
        <v>0.5384824806586114</v>
      </c>
      <c r="Q32" s="32" t="e">
        <v>#DIV/0!</v>
      </c>
    </row>
    <row r="33" spans="2:17" ht="20.25" customHeight="1">
      <c r="B33" s="27" t="s">
        <v>126</v>
      </c>
      <c r="C33" s="28"/>
      <c r="D33" s="32"/>
      <c r="E33" s="32">
        <v>1</v>
      </c>
      <c r="F33" s="32"/>
      <c r="G33" s="32">
        <v>0.9822633691103939</v>
      </c>
      <c r="H33" s="32">
        <v>1.1036716184536417</v>
      </c>
      <c r="I33" s="32">
        <v>0.9898615949101729</v>
      </c>
      <c r="J33" s="32">
        <v>1.1355745516297966</v>
      </c>
      <c r="K33" s="32">
        <v>0.9201463880209869</v>
      </c>
      <c r="L33" s="32">
        <v>0.9742770779753939</v>
      </c>
      <c r="M33" s="32">
        <v>1.1595490618879303</v>
      </c>
      <c r="N33" s="32">
        <v>0.6985562724408139</v>
      </c>
      <c r="O33" s="32">
        <v>0.4566310524069229</v>
      </c>
      <c r="P33" s="32">
        <v>0.5755861383526878</v>
      </c>
      <c r="Q33" s="32" t="e">
        <v>#DIV/0!</v>
      </c>
    </row>
    <row r="34" spans="2:17" s="29" customFormat="1" ht="36" customHeight="1">
      <c r="B34" s="374" t="s">
        <v>127</v>
      </c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1"/>
    </row>
    <row r="35" ht="18">
      <c r="A35" s="33" t="s">
        <v>128</v>
      </c>
    </row>
    <row r="36" spans="2:17" ht="25.5">
      <c r="B36" s="14"/>
      <c r="C36" s="14"/>
      <c r="D36" s="14"/>
      <c r="E36" s="34" t="s">
        <v>98</v>
      </c>
      <c r="F36" s="34"/>
      <c r="G36" s="35" t="s">
        <v>7</v>
      </c>
      <c r="H36" s="35" t="s">
        <v>99</v>
      </c>
      <c r="I36" s="35" t="s">
        <v>100</v>
      </c>
      <c r="J36" s="35" t="s">
        <v>101</v>
      </c>
      <c r="K36" s="35" t="s">
        <v>102</v>
      </c>
      <c r="L36" s="35" t="s">
        <v>103</v>
      </c>
      <c r="M36" s="35" t="s">
        <v>104</v>
      </c>
      <c r="N36" s="35" t="s">
        <v>81</v>
      </c>
      <c r="O36" s="35" t="s">
        <v>105</v>
      </c>
      <c r="P36" s="35" t="s">
        <v>83</v>
      </c>
      <c r="Q36" s="35" t="s">
        <v>106</v>
      </c>
    </row>
    <row r="38" spans="2:17" ht="12.75">
      <c r="B38" s="36" t="s">
        <v>129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2:17" ht="12.75">
      <c r="C39" s="37" t="s">
        <v>130</v>
      </c>
      <c r="E39" s="19">
        <v>3304901.654082168</v>
      </c>
      <c r="F39" s="19"/>
      <c r="G39" s="19">
        <v>2230775.567844532</v>
      </c>
      <c r="H39" s="19">
        <v>760780.0146081586</v>
      </c>
      <c r="I39" s="19">
        <v>103697.76151618487</v>
      </c>
      <c r="J39" s="19">
        <v>45111.07340257577</v>
      </c>
      <c r="K39" s="19">
        <v>77811.93109199642</v>
      </c>
      <c r="L39" s="19">
        <v>86492.99086096653</v>
      </c>
      <c r="M39" s="19">
        <v>97.18562451913749</v>
      </c>
      <c r="N39" s="19">
        <v>31.89710239137212</v>
      </c>
      <c r="O39" s="19">
        <v>103.23203084275482</v>
      </c>
      <c r="P39" s="19">
        <v>0</v>
      </c>
      <c r="Q39" s="19">
        <v>0</v>
      </c>
    </row>
    <row r="40" spans="2:17" ht="12.75">
      <c r="C40" s="37" t="s">
        <v>131</v>
      </c>
      <c r="E40" s="19">
        <v>3410263.999687976</v>
      </c>
      <c r="F40" s="19"/>
      <c r="G40" s="19">
        <v>1852083.9055569414</v>
      </c>
      <c r="H40" s="19">
        <v>774330.9587707773</v>
      </c>
      <c r="I40" s="19">
        <v>201798.03070504178</v>
      </c>
      <c r="J40" s="19">
        <v>87704.00737502184</v>
      </c>
      <c r="K40" s="19">
        <v>97981.6317174945</v>
      </c>
      <c r="L40" s="19">
        <v>230559.4277590437</v>
      </c>
      <c r="M40" s="19">
        <v>124650.22736618422</v>
      </c>
      <c r="N40" s="19">
        <v>40911.20559321049</v>
      </c>
      <c r="O40" s="19">
        <v>244.60484426040307</v>
      </c>
      <c r="P40" s="19">
        <v>0</v>
      </c>
      <c r="Q40" s="19">
        <v>0</v>
      </c>
    </row>
    <row r="41" spans="2:17" ht="12.75" hidden="1">
      <c r="B41" t="s">
        <v>106</v>
      </c>
      <c r="C41" s="37" t="s">
        <v>106</v>
      </c>
      <c r="E41" s="19">
        <v>0</v>
      </c>
      <c r="F41" s="19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</row>
    <row r="42" spans="2:17" ht="12.75" hidden="1">
      <c r="B42" s="38" t="s">
        <v>106</v>
      </c>
      <c r="C42" s="39" t="s">
        <v>106</v>
      </c>
      <c r="E42" s="19">
        <v>0</v>
      </c>
      <c r="F42" s="19"/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</row>
    <row r="43" spans="2:17" ht="12.75" hidden="1">
      <c r="B43" s="38" t="s">
        <v>106</v>
      </c>
      <c r="C43" s="39" t="s">
        <v>106</v>
      </c>
      <c r="E43" s="19">
        <v>0</v>
      </c>
      <c r="F43" s="19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</row>
    <row r="44" spans="2:17" ht="12.75" hidden="1">
      <c r="B44" t="s">
        <v>106</v>
      </c>
      <c r="C44" s="37" t="s">
        <v>106</v>
      </c>
      <c r="E44" s="19">
        <v>0</v>
      </c>
      <c r="F44" s="19"/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</row>
    <row r="45" spans="2:17" ht="12.75">
      <c r="C45" s="26" t="s">
        <v>132</v>
      </c>
      <c r="D45" s="26"/>
      <c r="E45" s="26">
        <v>6715165.653770144</v>
      </c>
      <c r="F45" s="26"/>
      <c r="G45" s="26">
        <v>4082859.4734014734</v>
      </c>
      <c r="H45" s="26">
        <v>1535110.9733789358</v>
      </c>
      <c r="I45" s="26">
        <v>305495.7922212266</v>
      </c>
      <c r="J45" s="26">
        <v>132815.0807775976</v>
      </c>
      <c r="K45" s="26">
        <v>175793.56280949092</v>
      </c>
      <c r="L45" s="26">
        <v>317052.41862001026</v>
      </c>
      <c r="M45" s="26">
        <v>124747.41299070336</v>
      </c>
      <c r="N45" s="26">
        <v>40943.10269560186</v>
      </c>
      <c r="O45" s="26">
        <v>347.8368751031579</v>
      </c>
      <c r="P45" s="26">
        <v>0</v>
      </c>
      <c r="Q45" s="26">
        <v>0</v>
      </c>
    </row>
    <row r="46" spans="2:17" ht="12.75">
      <c r="C46" s="37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12.75">
      <c r="B47" s="36" t="s">
        <v>133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2.75">
      <c r="C48" s="37" t="s">
        <v>130</v>
      </c>
      <c r="E48" s="19">
        <v>9666114.413962454</v>
      </c>
      <c r="F48" s="19"/>
      <c r="G48" s="19">
        <v>6591445.836017662</v>
      </c>
      <c r="H48" s="19">
        <v>2445999.937589214</v>
      </c>
      <c r="I48" s="19">
        <v>90814.09164872234</v>
      </c>
      <c r="J48" s="19">
        <v>62021.78726138875</v>
      </c>
      <c r="K48" s="19">
        <v>288912.4091009096</v>
      </c>
      <c r="L48" s="19">
        <v>186449.59330332556</v>
      </c>
      <c r="M48" s="19">
        <v>0</v>
      </c>
      <c r="N48" s="19">
        <v>0</v>
      </c>
      <c r="O48" s="19">
        <v>470.7590412333947</v>
      </c>
      <c r="P48" s="19">
        <v>0</v>
      </c>
      <c r="Q48" s="19">
        <v>0</v>
      </c>
    </row>
    <row r="49" spans="2:17" ht="12.75">
      <c r="C49" s="37" t="s">
        <v>131</v>
      </c>
      <c r="E49" s="19">
        <v>5961380.952474904</v>
      </c>
      <c r="F49" s="19"/>
      <c r="G49" s="19">
        <v>3481550.2991813</v>
      </c>
      <c r="H49" s="19">
        <v>1353204.5311347682</v>
      </c>
      <c r="I49" s="19">
        <v>165248.57518251432</v>
      </c>
      <c r="J49" s="19">
        <v>79681.95285256514</v>
      </c>
      <c r="K49" s="19">
        <v>164663.56656185834</v>
      </c>
      <c r="L49" s="19">
        <v>218665.86998391856</v>
      </c>
      <c r="M49" s="19">
        <v>374973.4512054251</v>
      </c>
      <c r="N49" s="19">
        <v>123073.76640700256</v>
      </c>
      <c r="O49" s="19">
        <v>318.9399655519058</v>
      </c>
      <c r="P49" s="19">
        <v>0</v>
      </c>
      <c r="Q49" s="19">
        <v>0</v>
      </c>
    </row>
    <row r="50" spans="2:17" ht="12.75" hidden="1">
      <c r="B50" t="s">
        <v>106</v>
      </c>
      <c r="C50" s="37" t="s">
        <v>106</v>
      </c>
      <c r="E50" s="19">
        <v>0</v>
      </c>
      <c r="F50" s="19"/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</row>
    <row r="51" spans="2:17" ht="12.75" hidden="1">
      <c r="B51" s="38" t="s">
        <v>106</v>
      </c>
      <c r="C51" s="39" t="s">
        <v>106</v>
      </c>
      <c r="E51" s="19">
        <v>0</v>
      </c>
      <c r="F51" s="19"/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</row>
    <row r="52" spans="2:17" ht="12.75" hidden="1">
      <c r="B52" s="38" t="s">
        <v>106</v>
      </c>
      <c r="C52" s="39" t="s">
        <v>106</v>
      </c>
      <c r="E52" s="19">
        <v>0</v>
      </c>
      <c r="F52" s="19"/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</row>
    <row r="53" spans="2:17" ht="12.75" hidden="1">
      <c r="B53" t="s">
        <v>106</v>
      </c>
      <c r="C53" s="37" t="s">
        <v>106</v>
      </c>
      <c r="E53" s="19">
        <v>0</v>
      </c>
      <c r="F53" s="19"/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</row>
    <row r="54" spans="2:17" ht="12.75">
      <c r="C54" s="26" t="s">
        <v>132</v>
      </c>
      <c r="D54" s="26"/>
      <c r="E54" s="26">
        <v>15627495.366437357</v>
      </c>
      <c r="F54" s="26"/>
      <c r="G54" s="26">
        <v>10072996.135198962</v>
      </c>
      <c r="H54" s="26">
        <v>3799204.4687239826</v>
      </c>
      <c r="I54" s="26">
        <v>256062.66683123668</v>
      </c>
      <c r="J54" s="26">
        <v>141703.74011395389</v>
      </c>
      <c r="K54" s="26">
        <v>453575.97566276795</v>
      </c>
      <c r="L54" s="26">
        <v>405115.4632872441</v>
      </c>
      <c r="M54" s="26">
        <v>374973.4512054251</v>
      </c>
      <c r="N54" s="26">
        <v>123073.76640700256</v>
      </c>
      <c r="O54" s="26">
        <v>789.6990067853005</v>
      </c>
      <c r="P54" s="26">
        <v>0</v>
      </c>
      <c r="Q54" s="26">
        <v>0</v>
      </c>
    </row>
    <row r="55" spans="2:17" ht="12.75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2.75">
      <c r="B56" s="36" t="s">
        <v>134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2:17" ht="12.75">
      <c r="C57" s="37" t="s">
        <v>130</v>
      </c>
      <c r="E57" s="19">
        <v>33510123.725281447</v>
      </c>
      <c r="F57" s="19"/>
      <c r="G57" s="19">
        <v>20855362.6688461</v>
      </c>
      <c r="H57" s="19">
        <v>7077061.977765521</v>
      </c>
      <c r="I57" s="19">
        <v>964915.2155483356</v>
      </c>
      <c r="J57" s="19">
        <v>418328.4897637126</v>
      </c>
      <c r="K57" s="19">
        <v>718360.184508099</v>
      </c>
      <c r="L57" s="19">
        <v>787813.7693073184</v>
      </c>
      <c r="M57" s="19">
        <v>1895194.6757899844</v>
      </c>
      <c r="N57" s="19">
        <v>792157.5497219766</v>
      </c>
      <c r="O57" s="19">
        <v>929.1940303916646</v>
      </c>
      <c r="P57" s="19">
        <v>0</v>
      </c>
      <c r="Q57" s="19">
        <v>0</v>
      </c>
    </row>
    <row r="58" spans="2:17" ht="12.75">
      <c r="C58" s="37" t="s">
        <v>131</v>
      </c>
      <c r="E58" s="19">
        <v>29506752.134657744</v>
      </c>
      <c r="F58" s="19"/>
      <c r="G58" s="19">
        <v>13595995.901942918</v>
      </c>
      <c r="H58" s="19">
        <v>5747118.571632089</v>
      </c>
      <c r="I58" s="19">
        <v>1531497.0637737673</v>
      </c>
      <c r="J58" s="19">
        <v>665641.6395959699</v>
      </c>
      <c r="K58" s="19">
        <v>733996.668739167</v>
      </c>
      <c r="L58" s="19">
        <v>1761770.5964294204</v>
      </c>
      <c r="M58" s="19">
        <v>4117477.167968628</v>
      </c>
      <c r="N58" s="19">
        <v>1351389.0708699413</v>
      </c>
      <c r="O58" s="19">
        <v>1865.453705849097</v>
      </c>
      <c r="P58" s="19">
        <v>0</v>
      </c>
      <c r="Q58" s="19">
        <v>0</v>
      </c>
    </row>
    <row r="59" spans="2:17" ht="12.75" hidden="1">
      <c r="B59" t="s">
        <v>106</v>
      </c>
      <c r="C59" s="37" t="s">
        <v>106</v>
      </c>
      <c r="E59" s="19">
        <v>0</v>
      </c>
      <c r="F59" s="19"/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</row>
    <row r="60" spans="2:17" ht="12.75" hidden="1">
      <c r="B60" s="38" t="s">
        <v>106</v>
      </c>
      <c r="C60" s="39" t="s">
        <v>106</v>
      </c>
      <c r="E60" s="19">
        <v>0</v>
      </c>
      <c r="F60" s="19"/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</row>
    <row r="61" spans="2:17" ht="12.75" hidden="1">
      <c r="B61" s="38" t="s">
        <v>106</v>
      </c>
      <c r="C61" s="39" t="s">
        <v>106</v>
      </c>
      <c r="E61" s="19">
        <v>0</v>
      </c>
      <c r="F61" s="19"/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</row>
    <row r="62" spans="2:17" ht="12.75" hidden="1">
      <c r="B62" t="s">
        <v>106</v>
      </c>
      <c r="C62" s="37" t="s">
        <v>106</v>
      </c>
      <c r="E62" s="19">
        <v>0</v>
      </c>
      <c r="F62" s="19"/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</row>
    <row r="63" spans="2:17" ht="12.75">
      <c r="C63" s="26" t="s">
        <v>132</v>
      </c>
      <c r="D63" s="26"/>
      <c r="E63" s="26">
        <v>63016875.85993919</v>
      </c>
      <c r="F63" s="26"/>
      <c r="G63" s="26">
        <v>34451358.57078902</v>
      </c>
      <c r="H63" s="26">
        <v>12824180.54939761</v>
      </c>
      <c r="I63" s="26">
        <v>2496412.2793221027</v>
      </c>
      <c r="J63" s="26">
        <v>1083970.1293596826</v>
      </c>
      <c r="K63" s="26">
        <v>1452356.853247266</v>
      </c>
      <c r="L63" s="26">
        <v>2549584.365736739</v>
      </c>
      <c r="M63" s="26">
        <v>6012671.843758613</v>
      </c>
      <c r="N63" s="26">
        <v>2143546.620591918</v>
      </c>
      <c r="O63" s="26">
        <v>2794.647736240762</v>
      </c>
      <c r="P63" s="26">
        <v>0</v>
      </c>
      <c r="Q63" s="26">
        <v>0</v>
      </c>
    </row>
    <row r="64" spans="2:17" ht="12.75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2:17" ht="12.75">
      <c r="B65" s="36" t="s">
        <v>135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2:17" ht="12.75">
      <c r="C66" s="37" t="s">
        <v>130</v>
      </c>
      <c r="E66" s="19">
        <v>210884268.98866957</v>
      </c>
      <c r="F66" s="19"/>
      <c r="G66" s="19">
        <v>137875083.0944497</v>
      </c>
      <c r="H66" s="19">
        <v>46786551.916767925</v>
      </c>
      <c r="I66" s="19">
        <v>6379067.467455669</v>
      </c>
      <c r="J66" s="19">
        <v>1863067.74592295</v>
      </c>
      <c r="K66" s="19">
        <v>4749088.84124806</v>
      </c>
      <c r="L66" s="19">
        <v>2909765.860529766</v>
      </c>
      <c r="M66" s="19">
        <v>7371103.934944311</v>
      </c>
      <c r="N66" s="19">
        <v>2944397.213119231</v>
      </c>
      <c r="O66" s="19">
        <v>6142.914231958819</v>
      </c>
      <c r="P66" s="19">
        <v>0</v>
      </c>
      <c r="Q66" s="19">
        <v>0</v>
      </c>
    </row>
    <row r="67" spans="2:17" ht="12.75">
      <c r="C67" s="37" t="s">
        <v>131</v>
      </c>
      <c r="E67" s="19">
        <v>211189154.39407095</v>
      </c>
      <c r="F67" s="19"/>
      <c r="G67" s="19">
        <v>109997725.39861761</v>
      </c>
      <c r="H67" s="19">
        <v>46496775.59739059</v>
      </c>
      <c r="I67" s="19">
        <v>12390500.459455293</v>
      </c>
      <c r="J67" s="19">
        <v>3327562.3236204796</v>
      </c>
      <c r="K67" s="19">
        <v>5938363.367698076</v>
      </c>
      <c r="L67" s="19">
        <v>8065151.611807591</v>
      </c>
      <c r="M67" s="19">
        <v>18855936.86101616</v>
      </c>
      <c r="N67" s="19">
        <v>6102046.414482141</v>
      </c>
      <c r="O67" s="19">
        <v>15092.3599830226</v>
      </c>
      <c r="P67" s="19">
        <v>0</v>
      </c>
      <c r="Q67" s="19">
        <v>0</v>
      </c>
    </row>
    <row r="68" spans="2:17" ht="12.75">
      <c r="C68" s="37" t="s">
        <v>136</v>
      </c>
      <c r="E68" s="19">
        <v>466608899.48187107</v>
      </c>
      <c r="F68" s="19"/>
      <c r="G68" s="19">
        <v>330349964.81721824</v>
      </c>
      <c r="H68" s="19">
        <v>56963671.95869149</v>
      </c>
      <c r="I68" s="19">
        <v>21816884.073627472</v>
      </c>
      <c r="J68" s="19">
        <v>794514.0893158204</v>
      </c>
      <c r="K68" s="19">
        <v>10841224.668570383</v>
      </c>
      <c r="L68" s="19">
        <v>297238.29931385204</v>
      </c>
      <c r="M68" s="19">
        <v>2959330.922046839</v>
      </c>
      <c r="N68" s="19">
        <v>644666.6088847637</v>
      </c>
      <c r="O68" s="19">
        <v>198123.44361171793</v>
      </c>
      <c r="P68" s="19">
        <v>41743280.600590445</v>
      </c>
      <c r="Q68" s="19">
        <v>0</v>
      </c>
    </row>
    <row r="69" spans="2:17" ht="12.75" hidden="1">
      <c r="B69" s="38" t="s">
        <v>106</v>
      </c>
      <c r="C69" s="39" t="s">
        <v>106</v>
      </c>
      <c r="E69" s="19">
        <v>0</v>
      </c>
      <c r="F69" s="19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</row>
    <row r="70" spans="2:17" ht="12.75" hidden="1">
      <c r="B70" s="38" t="s">
        <v>106</v>
      </c>
      <c r="C70" s="39" t="s">
        <v>106</v>
      </c>
      <c r="E70" s="19">
        <v>0</v>
      </c>
      <c r="F70" s="19"/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</row>
    <row r="71" spans="2:17" ht="12.75" hidden="1">
      <c r="B71" t="s">
        <v>106</v>
      </c>
      <c r="C71" s="37" t="s">
        <v>106</v>
      </c>
      <c r="E71" s="19">
        <v>0</v>
      </c>
      <c r="F71" s="19"/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</row>
    <row r="72" spans="2:17" ht="12.75">
      <c r="C72" s="26" t="s">
        <v>132</v>
      </c>
      <c r="D72" s="26"/>
      <c r="E72" s="26">
        <v>888682322.8646116</v>
      </c>
      <c r="F72" s="26"/>
      <c r="G72" s="26">
        <v>578222773.3102856</v>
      </c>
      <c r="H72" s="26">
        <v>150246999.47285002</v>
      </c>
      <c r="I72" s="26">
        <v>40586452.00053844</v>
      </c>
      <c r="J72" s="26">
        <v>5985144.15885925</v>
      </c>
      <c r="K72" s="26">
        <v>21528676.877516516</v>
      </c>
      <c r="L72" s="26">
        <v>11272155.77165121</v>
      </c>
      <c r="M72" s="26">
        <v>29186371.71800731</v>
      </c>
      <c r="N72" s="26">
        <v>9691110.236486135</v>
      </c>
      <c r="O72" s="26">
        <v>219358.71782669934</v>
      </c>
      <c r="P72" s="26">
        <v>41743280.600590445</v>
      </c>
      <c r="Q72" s="26">
        <v>0</v>
      </c>
    </row>
    <row r="73" spans="2:17" ht="12.75"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2:17" ht="12.75" hidden="1">
      <c r="B74" s="36" t="s">
        <v>106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2:17" ht="12.75" hidden="1">
      <c r="B75" t="s">
        <v>106</v>
      </c>
      <c r="C75" s="37" t="s">
        <v>106</v>
      </c>
      <c r="E75" s="19">
        <v>0</v>
      </c>
      <c r="F75" s="19"/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</row>
    <row r="76" spans="2:17" ht="12.75" hidden="1">
      <c r="B76" t="s">
        <v>106</v>
      </c>
      <c r="C76" s="37" t="s">
        <v>106</v>
      </c>
      <c r="E76" s="19">
        <v>0</v>
      </c>
      <c r="F76" s="19"/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</row>
    <row r="77" spans="2:17" ht="12.75" hidden="1">
      <c r="B77" t="s">
        <v>106</v>
      </c>
      <c r="C77" s="37" t="s">
        <v>106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</row>
    <row r="78" spans="2:17" ht="12.75" hidden="1">
      <c r="B78" s="38" t="s">
        <v>106</v>
      </c>
      <c r="C78" s="39" t="s">
        <v>106</v>
      </c>
      <c r="E78" s="19">
        <v>0</v>
      </c>
      <c r="F78" s="19"/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</row>
    <row r="79" spans="2:17" ht="12.75" hidden="1">
      <c r="B79" s="38" t="s">
        <v>106</v>
      </c>
      <c r="C79" s="39" t="s">
        <v>106</v>
      </c>
      <c r="E79" s="19">
        <v>0</v>
      </c>
      <c r="F79" s="19"/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</row>
    <row r="80" spans="2:17" ht="12.75" hidden="1">
      <c r="B80" t="s">
        <v>106</v>
      </c>
      <c r="C80" s="37" t="s">
        <v>106</v>
      </c>
      <c r="E80" s="19">
        <v>0</v>
      </c>
      <c r="F80" s="19"/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</row>
    <row r="81" spans="2:17" ht="12.75" hidden="1">
      <c r="B81" t="s">
        <v>106</v>
      </c>
      <c r="C81" s="26" t="s">
        <v>106</v>
      </c>
      <c r="D81" s="26"/>
      <c r="E81" s="26">
        <v>0</v>
      </c>
      <c r="F81" s="26"/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</row>
    <row r="82" spans="2:17" ht="12.75" hidden="1">
      <c r="B82" t="s">
        <v>106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2:17" ht="12.75" hidden="1">
      <c r="B83" s="36" t="s">
        <v>106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2:17" ht="12.75" hidden="1">
      <c r="B84" t="s">
        <v>106</v>
      </c>
      <c r="C84" s="37" t="s">
        <v>106</v>
      </c>
      <c r="E84" s="19">
        <v>0</v>
      </c>
      <c r="F84" s="19"/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</row>
    <row r="85" spans="2:17" ht="12.75" hidden="1">
      <c r="B85" t="s">
        <v>106</v>
      </c>
      <c r="C85" s="37" t="s">
        <v>106</v>
      </c>
      <c r="E85" s="19">
        <v>0</v>
      </c>
      <c r="F85" s="19"/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</row>
    <row r="86" spans="2:17" ht="12.75" hidden="1">
      <c r="B86" t="s">
        <v>106</v>
      </c>
      <c r="C86" s="37" t="s">
        <v>106</v>
      </c>
      <c r="E86" s="19">
        <v>0</v>
      </c>
      <c r="F86" s="19"/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</row>
    <row r="87" spans="2:17" ht="12.75" hidden="1">
      <c r="B87" s="38" t="s">
        <v>106</v>
      </c>
      <c r="C87" s="39" t="s">
        <v>106</v>
      </c>
      <c r="E87" s="19">
        <v>0</v>
      </c>
      <c r="F87" s="19"/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</row>
    <row r="88" spans="2:17" ht="12.75" hidden="1">
      <c r="B88" s="38" t="s">
        <v>106</v>
      </c>
      <c r="C88" s="39" t="s">
        <v>106</v>
      </c>
      <c r="E88" s="19">
        <v>0</v>
      </c>
      <c r="F88" s="19"/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</row>
    <row r="89" spans="2:17" ht="12.75" hidden="1">
      <c r="B89" t="s">
        <v>106</v>
      </c>
      <c r="C89" s="37" t="s">
        <v>106</v>
      </c>
      <c r="E89" s="19">
        <v>0</v>
      </c>
      <c r="F89" s="19"/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</row>
    <row r="90" spans="2:17" ht="12.75" hidden="1">
      <c r="B90" t="s">
        <v>106</v>
      </c>
      <c r="C90" s="26" t="s">
        <v>106</v>
      </c>
      <c r="D90" s="26"/>
      <c r="E90" s="26">
        <v>0</v>
      </c>
      <c r="F90" s="26"/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</row>
    <row r="91" spans="2:17" ht="12.75" hidden="1">
      <c r="B91" t="s">
        <v>106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2:17" ht="12.75" hidden="1">
      <c r="B92" s="36" t="s">
        <v>106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2:17" ht="12.75" hidden="1">
      <c r="B93" t="s">
        <v>106</v>
      </c>
      <c r="C93" s="37" t="s">
        <v>106</v>
      </c>
      <c r="E93" s="19">
        <v>0</v>
      </c>
      <c r="F93" s="19"/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</row>
    <row r="94" spans="2:17" ht="12.75" hidden="1">
      <c r="B94" t="s">
        <v>106</v>
      </c>
      <c r="C94" s="37" t="s">
        <v>106</v>
      </c>
      <c r="E94" s="19">
        <v>0</v>
      </c>
      <c r="F94" s="19"/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</row>
    <row r="95" spans="2:17" ht="12.75" hidden="1">
      <c r="B95" t="s">
        <v>106</v>
      </c>
      <c r="C95" s="37" t="s">
        <v>106</v>
      </c>
      <c r="E95" s="19">
        <v>0</v>
      </c>
      <c r="F95" s="19"/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</row>
    <row r="96" spans="2:17" ht="12.75" hidden="1">
      <c r="B96" s="38" t="s">
        <v>106</v>
      </c>
      <c r="C96" s="39" t="s">
        <v>106</v>
      </c>
      <c r="E96" s="19">
        <v>0</v>
      </c>
      <c r="F96" s="19"/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</row>
    <row r="97" spans="2:17" ht="12.75" hidden="1">
      <c r="B97" s="38" t="s">
        <v>106</v>
      </c>
      <c r="C97" s="39" t="s">
        <v>106</v>
      </c>
      <c r="E97" s="19">
        <v>0</v>
      </c>
      <c r="F97" s="19"/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</row>
    <row r="98" spans="2:17" ht="12.75" hidden="1">
      <c r="B98" t="s">
        <v>106</v>
      </c>
      <c r="C98" s="37" t="s">
        <v>106</v>
      </c>
      <c r="E98" s="19">
        <v>0</v>
      </c>
      <c r="F98" s="19"/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</row>
    <row r="99" spans="2:17" ht="12.75" hidden="1">
      <c r="B99" t="s">
        <v>106</v>
      </c>
      <c r="C99" s="26" t="s">
        <v>106</v>
      </c>
      <c r="D99" s="26"/>
      <c r="E99" s="26">
        <v>0</v>
      </c>
      <c r="F99" s="26"/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</row>
    <row r="100" spans="2:17" ht="12.75" hidden="1">
      <c r="B100" t="s">
        <v>106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2:17" ht="12.75" hidden="1">
      <c r="B101" s="36" t="s">
        <v>106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2:17" ht="12.75" hidden="1">
      <c r="B102" t="s">
        <v>106</v>
      </c>
      <c r="C102" s="37" t="s">
        <v>106</v>
      </c>
      <c r="E102" s="19">
        <v>0</v>
      </c>
      <c r="F102" s="19"/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</row>
    <row r="103" spans="2:17" ht="12.75" hidden="1">
      <c r="B103" t="s">
        <v>106</v>
      </c>
      <c r="C103" s="37" t="s">
        <v>106</v>
      </c>
      <c r="E103" s="19">
        <v>0</v>
      </c>
      <c r="F103" s="19"/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</row>
    <row r="104" spans="2:17" ht="12.75" hidden="1">
      <c r="B104" t="s">
        <v>106</v>
      </c>
      <c r="C104" s="37" t="s">
        <v>106</v>
      </c>
      <c r="E104" s="19">
        <v>0</v>
      </c>
      <c r="F104" s="19"/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</row>
    <row r="105" spans="2:17" ht="12.75" hidden="1">
      <c r="B105" s="38" t="s">
        <v>106</v>
      </c>
      <c r="C105" s="39" t="s">
        <v>106</v>
      </c>
      <c r="E105" s="19">
        <v>0</v>
      </c>
      <c r="F105" s="19"/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</row>
    <row r="106" spans="2:17" ht="12.75" hidden="1">
      <c r="B106" s="38" t="s">
        <v>106</v>
      </c>
      <c r="C106" s="39" t="s">
        <v>106</v>
      </c>
      <c r="E106" s="19">
        <v>0</v>
      </c>
      <c r="F106" s="19"/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</row>
    <row r="107" spans="2:17" ht="12.75" hidden="1">
      <c r="B107" t="s">
        <v>106</v>
      </c>
      <c r="C107" s="37" t="s">
        <v>106</v>
      </c>
      <c r="E107" s="19">
        <v>0</v>
      </c>
      <c r="F107" s="19"/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</row>
    <row r="108" spans="2:17" ht="12.75" hidden="1">
      <c r="B108" t="s">
        <v>106</v>
      </c>
      <c r="C108" s="26" t="s">
        <v>106</v>
      </c>
      <c r="D108" s="26"/>
      <c r="E108" s="26">
        <v>0</v>
      </c>
      <c r="F108" s="26"/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</row>
    <row r="109" spans="2:17" ht="12.75" hidden="1">
      <c r="B109" t="s">
        <v>106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2:17" ht="12.75" hidden="1">
      <c r="B110" s="36" t="s">
        <v>106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2:17" ht="12.75" hidden="1">
      <c r="B111" t="s">
        <v>106</v>
      </c>
      <c r="C111" s="37" t="s">
        <v>106</v>
      </c>
      <c r="E111" s="19">
        <v>0</v>
      </c>
      <c r="F111" s="19"/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</row>
    <row r="112" spans="2:17" ht="12.75" hidden="1">
      <c r="B112" t="s">
        <v>106</v>
      </c>
      <c r="C112" s="37" t="s">
        <v>106</v>
      </c>
      <c r="E112" s="19">
        <v>0</v>
      </c>
      <c r="F112" s="19"/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</row>
    <row r="113" spans="2:17" ht="12.75" hidden="1">
      <c r="B113" t="s">
        <v>106</v>
      </c>
      <c r="C113" s="37" t="s">
        <v>106</v>
      </c>
      <c r="E113" s="19">
        <v>0</v>
      </c>
      <c r="F113" s="19"/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</row>
    <row r="114" spans="2:17" ht="12.75" hidden="1">
      <c r="B114" s="38" t="s">
        <v>106</v>
      </c>
      <c r="C114" s="39" t="s">
        <v>106</v>
      </c>
      <c r="E114" s="19">
        <v>0</v>
      </c>
      <c r="F114" s="19"/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</row>
    <row r="115" spans="2:17" ht="12.75" hidden="1">
      <c r="B115" s="38" t="s">
        <v>106</v>
      </c>
      <c r="C115" s="39" t="s">
        <v>106</v>
      </c>
      <c r="E115" s="19">
        <v>0</v>
      </c>
      <c r="F115" s="19"/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</row>
    <row r="116" spans="2:17" ht="12.75" hidden="1">
      <c r="B116" t="s">
        <v>106</v>
      </c>
      <c r="C116" s="37" t="s">
        <v>106</v>
      </c>
      <c r="E116" s="19">
        <v>0</v>
      </c>
      <c r="F116" s="19"/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</row>
    <row r="117" spans="2:17" ht="12.75" hidden="1">
      <c r="B117" t="s">
        <v>106</v>
      </c>
      <c r="C117" s="26" t="s">
        <v>106</v>
      </c>
      <c r="D117" s="26"/>
      <c r="E117" s="26">
        <v>0</v>
      </c>
      <c r="F117" s="26"/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</row>
    <row r="118" spans="2:17" ht="12.75" hidden="1">
      <c r="B118" t="s">
        <v>106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2:17" ht="12.75" hidden="1">
      <c r="B119" s="36" t="s">
        <v>106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2:17" ht="12.75" hidden="1">
      <c r="B120" t="s">
        <v>106</v>
      </c>
      <c r="C120" s="37" t="s">
        <v>106</v>
      </c>
      <c r="E120" s="19">
        <v>0</v>
      </c>
      <c r="F120" s="19"/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</row>
    <row r="121" spans="2:17" ht="12.75" hidden="1">
      <c r="B121" t="s">
        <v>106</v>
      </c>
      <c r="C121" s="37" t="s">
        <v>106</v>
      </c>
      <c r="E121" s="19">
        <v>0</v>
      </c>
      <c r="F121" s="19"/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</row>
    <row r="122" spans="2:17" ht="12.75" hidden="1">
      <c r="B122" t="s">
        <v>106</v>
      </c>
      <c r="C122" s="37" t="s">
        <v>106</v>
      </c>
      <c r="E122" s="19">
        <v>0</v>
      </c>
      <c r="F122" s="19"/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</row>
    <row r="123" spans="2:17" ht="12.75" hidden="1">
      <c r="B123" s="38" t="s">
        <v>106</v>
      </c>
      <c r="C123" s="39" t="s">
        <v>106</v>
      </c>
      <c r="E123" s="19">
        <v>0</v>
      </c>
      <c r="F123" s="19"/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</row>
    <row r="124" spans="2:17" ht="12.75" hidden="1">
      <c r="B124" s="38" t="s">
        <v>106</v>
      </c>
      <c r="C124" s="39" t="s">
        <v>106</v>
      </c>
      <c r="E124" s="19">
        <v>0</v>
      </c>
      <c r="F124" s="19"/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</row>
    <row r="125" spans="2:17" ht="12.75" hidden="1">
      <c r="B125" t="s">
        <v>106</v>
      </c>
      <c r="C125" s="37" t="s">
        <v>106</v>
      </c>
      <c r="E125" s="19">
        <v>0</v>
      </c>
      <c r="F125" s="19"/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</row>
    <row r="126" spans="2:17" ht="12.75" hidden="1">
      <c r="B126" t="s">
        <v>106</v>
      </c>
      <c r="C126" s="26" t="s">
        <v>106</v>
      </c>
      <c r="D126" s="26"/>
      <c r="E126" s="26">
        <v>0</v>
      </c>
      <c r="F126" s="26"/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</row>
    <row r="127" spans="2:17" ht="12.75" hidden="1">
      <c r="B127" t="s">
        <v>106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2:17" ht="12.75">
      <c r="B128" s="15" t="s">
        <v>137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2:17" ht="12.75">
      <c r="C129" s="37" t="s">
        <v>130</v>
      </c>
      <c r="E129" s="19">
        <v>257365408.78199568</v>
      </c>
      <c r="F129" s="19"/>
      <c r="G129" s="19">
        <v>167552667.167158</v>
      </c>
      <c r="H129" s="19">
        <v>57070393.84673082</v>
      </c>
      <c r="I129" s="19">
        <v>7538494.536168912</v>
      </c>
      <c r="J129" s="19">
        <v>2388529.096350627</v>
      </c>
      <c r="K129" s="19">
        <v>5834173.3659490645</v>
      </c>
      <c r="L129" s="19">
        <v>3970522.214001376</v>
      </c>
      <c r="M129" s="19">
        <v>9266395.796358814</v>
      </c>
      <c r="N129" s="19">
        <v>3736586.6599435993</v>
      </c>
      <c r="O129" s="19">
        <v>7646.0993344266335</v>
      </c>
      <c r="P129" s="19">
        <v>0</v>
      </c>
      <c r="Q129" s="19">
        <v>0</v>
      </c>
    </row>
    <row r="130" spans="2:17" ht="12.75">
      <c r="C130" s="37" t="s">
        <v>131</v>
      </c>
      <c r="E130" s="19">
        <v>250067551.48089164</v>
      </c>
      <c r="F130" s="19"/>
      <c r="G130" s="19">
        <v>128927355.50529876</v>
      </c>
      <c r="H130" s="19">
        <v>54371429.65892823</v>
      </c>
      <c r="I130" s="19">
        <v>14289044.129116617</v>
      </c>
      <c r="J130" s="19">
        <v>4160589.9234440364</v>
      </c>
      <c r="K130" s="19">
        <v>6935005.234716596</v>
      </c>
      <c r="L130" s="19">
        <v>10276147.505979974</v>
      </c>
      <c r="M130" s="19">
        <v>23473037.707556397</v>
      </c>
      <c r="N130" s="19">
        <v>7617420.4573522955</v>
      </c>
      <c r="O130" s="19">
        <v>17521.358498684007</v>
      </c>
      <c r="P130" s="19">
        <v>0</v>
      </c>
      <c r="Q130" s="19">
        <v>0</v>
      </c>
    </row>
    <row r="131" spans="2:17" ht="12.75">
      <c r="C131" s="37" t="s">
        <v>136</v>
      </c>
      <c r="E131" s="19">
        <v>466608899.48187107</v>
      </c>
      <c r="F131" s="19"/>
      <c r="G131" s="19">
        <v>330349964.81721824</v>
      </c>
      <c r="H131" s="19">
        <v>56963671.95869149</v>
      </c>
      <c r="I131" s="19">
        <v>21816884.073627472</v>
      </c>
      <c r="J131" s="19">
        <v>794514.0893158204</v>
      </c>
      <c r="K131" s="19">
        <v>10841224.668570383</v>
      </c>
      <c r="L131" s="19">
        <v>297238.29931385204</v>
      </c>
      <c r="M131" s="19">
        <v>2959330.922046839</v>
      </c>
      <c r="N131" s="19">
        <v>644666.6088847637</v>
      </c>
      <c r="O131" s="19">
        <v>198123.44361171793</v>
      </c>
      <c r="P131" s="19">
        <v>41743280.600590445</v>
      </c>
      <c r="Q131" s="19">
        <v>0</v>
      </c>
    </row>
    <row r="132" spans="2:17" ht="12.75" hidden="1">
      <c r="B132" s="38" t="s">
        <v>106</v>
      </c>
      <c r="C132" s="39" t="s">
        <v>106</v>
      </c>
      <c r="E132" s="19">
        <v>0</v>
      </c>
      <c r="F132" s="19"/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</row>
    <row r="133" spans="2:17" ht="12.75" hidden="1">
      <c r="B133" s="38" t="s">
        <v>106</v>
      </c>
      <c r="C133" s="39" t="s">
        <v>106</v>
      </c>
      <c r="E133" s="19">
        <v>0</v>
      </c>
      <c r="F133" s="19"/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</row>
    <row r="134" spans="2:17" ht="12.75" hidden="1">
      <c r="B134" t="s">
        <v>106</v>
      </c>
      <c r="C134" s="37" t="s">
        <v>106</v>
      </c>
      <c r="E134" s="19">
        <v>0</v>
      </c>
      <c r="F134" s="19"/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</row>
    <row r="136" ht="12.75"/>
    <row r="137" spans="2:17" ht="21" customHeight="1">
      <c r="B137" s="28" t="s">
        <v>138</v>
      </c>
      <c r="C137" s="28"/>
      <c r="D137" s="28"/>
      <c r="E137" s="28">
        <v>974041859.7447584</v>
      </c>
      <c r="F137" s="28"/>
      <c r="G137" s="28">
        <v>626829987.489675</v>
      </c>
      <c r="H137" s="28">
        <v>168405495.46435052</v>
      </c>
      <c r="I137" s="28">
        <v>43644422.738913</v>
      </c>
      <c r="J137" s="28">
        <v>7343633.109110484</v>
      </c>
      <c r="K137" s="28">
        <v>23610403.269236043</v>
      </c>
      <c r="L137" s="28">
        <v>14543908.019295203</v>
      </c>
      <c r="M137" s="28">
        <v>35698764.42596205</v>
      </c>
      <c r="N137" s="28">
        <v>11998673.726180658</v>
      </c>
      <c r="O137" s="28">
        <v>223290.90144482857</v>
      </c>
      <c r="P137" s="28">
        <v>41743280.600590445</v>
      </c>
      <c r="Q137" s="28">
        <v>0</v>
      </c>
    </row>
    <row r="138" spans="5:17" ht="12.75"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40" ht="18">
      <c r="A140" s="33" t="s">
        <v>139</v>
      </c>
    </row>
    <row r="141" spans="2:17" ht="25.5">
      <c r="B141" s="14"/>
      <c r="C141" s="14"/>
      <c r="D141" s="14"/>
      <c r="E141" s="34" t="s">
        <v>98</v>
      </c>
      <c r="F141" s="34"/>
      <c r="G141" s="35" t="s">
        <v>7</v>
      </c>
      <c r="H141" s="35" t="s">
        <v>99</v>
      </c>
      <c r="I141" s="35" t="s">
        <v>100</v>
      </c>
      <c r="J141" s="35" t="s">
        <v>101</v>
      </c>
      <c r="K141" s="35" t="s">
        <v>102</v>
      </c>
      <c r="L141" s="35" t="s">
        <v>103</v>
      </c>
      <c r="M141" s="35" t="s">
        <v>104</v>
      </c>
      <c r="N141" s="35" t="s">
        <v>81</v>
      </c>
      <c r="O141" s="35" t="s">
        <v>105</v>
      </c>
      <c r="P141" s="35" t="s">
        <v>83</v>
      </c>
      <c r="Q141" s="35" t="s">
        <v>106</v>
      </c>
    </row>
    <row r="144" ht="12.75">
      <c r="B144" s="36" t="s">
        <v>129</v>
      </c>
    </row>
    <row r="145" spans="2:17" ht="12.75">
      <c r="C145" s="37" t="s">
        <v>130</v>
      </c>
      <c r="E145" s="19">
        <v>98910630.22715022</v>
      </c>
      <c r="G145" s="19">
        <v>62474537.6201708</v>
      </c>
      <c r="H145" s="19">
        <v>24326214.072084878</v>
      </c>
      <c r="I145" s="19">
        <v>3291929.9445990436</v>
      </c>
      <c r="J145" s="19">
        <v>1554292.0758155296</v>
      </c>
      <c r="K145" s="19">
        <v>2954981.746358738</v>
      </c>
      <c r="L145" s="19">
        <v>4196202.179328854</v>
      </c>
      <c r="M145" s="19">
        <v>80197.52291249315</v>
      </c>
      <c r="N145" s="19">
        <v>26321.471025485658</v>
      </c>
      <c r="O145" s="19">
        <v>5953.594854381888</v>
      </c>
      <c r="P145" s="19">
        <v>0</v>
      </c>
      <c r="Q145" s="19">
        <v>0</v>
      </c>
    </row>
    <row r="146" spans="2:17" ht="12.75">
      <c r="C146" s="37" t="s">
        <v>131</v>
      </c>
      <c r="E146" s="19">
        <v>292554126.24377763</v>
      </c>
      <c r="G146" s="19">
        <v>166123922.07082176</v>
      </c>
      <c r="H146" s="19">
        <v>69872048.15187888</v>
      </c>
      <c r="I146" s="19">
        <v>18423299.596989725</v>
      </c>
      <c r="J146" s="19">
        <v>8007851.608231921</v>
      </c>
      <c r="K146" s="19">
        <v>8886819.329133028</v>
      </c>
      <c r="L146" s="19">
        <v>21132814.74614903</v>
      </c>
      <c r="M146" s="19">
        <v>63971.698833061724</v>
      </c>
      <c r="N146" s="19">
        <v>20996.02526530432</v>
      </c>
      <c r="O146" s="19">
        <v>22403.01647482714</v>
      </c>
      <c r="P146" s="19">
        <v>0</v>
      </c>
      <c r="Q146" s="19">
        <v>0</v>
      </c>
    </row>
    <row r="147" spans="2:17" ht="12.75" hidden="1">
      <c r="B147" t="s">
        <v>106</v>
      </c>
      <c r="C147" s="37" t="s">
        <v>106</v>
      </c>
      <c r="E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</row>
    <row r="148" spans="2:17" s="38" customFormat="1" ht="12.75" hidden="1">
      <c r="B148" s="38" t="s">
        <v>106</v>
      </c>
      <c r="C148" s="39" t="s">
        <v>106</v>
      </c>
      <c r="E148" s="19">
        <v>0</v>
      </c>
      <c r="F148"/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</row>
    <row r="149" spans="2:17" s="38" customFormat="1" ht="12.75" hidden="1">
      <c r="B149" s="38" t="s">
        <v>106</v>
      </c>
      <c r="C149" s="39" t="s">
        <v>106</v>
      </c>
      <c r="E149" s="19">
        <v>0</v>
      </c>
      <c r="F149"/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</row>
    <row r="150" spans="2:17" ht="12.75" hidden="1">
      <c r="B150" t="s">
        <v>106</v>
      </c>
      <c r="C150" s="37" t="s">
        <v>106</v>
      </c>
      <c r="E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</row>
    <row r="151" spans="2:17" ht="12.75">
      <c r="C151" s="26" t="s">
        <v>132</v>
      </c>
      <c r="D151" s="26"/>
      <c r="E151" s="26">
        <v>391464756.47092783</v>
      </c>
      <c r="F151" s="26"/>
      <c r="G151" s="26">
        <v>228598459.69099256</v>
      </c>
      <c r="H151" s="26">
        <v>94198262.22396375</v>
      </c>
      <c r="I151" s="26">
        <v>21715229.54158877</v>
      </c>
      <c r="J151" s="26">
        <v>9562143.68404745</v>
      </c>
      <c r="K151" s="26">
        <v>11841801.075491766</v>
      </c>
      <c r="L151" s="26">
        <v>25329016.925477885</v>
      </c>
      <c r="M151" s="26">
        <v>144169.22174555488</v>
      </c>
      <c r="N151" s="26">
        <v>47317.496290789975</v>
      </c>
      <c r="O151" s="26">
        <v>28356.61132920903</v>
      </c>
      <c r="P151" s="26">
        <v>0</v>
      </c>
      <c r="Q151" s="26">
        <v>0</v>
      </c>
    </row>
    <row r="152" spans="2:3" ht="12.75">
      <c r="C152" s="37"/>
    </row>
    <row r="153" ht="12.75">
      <c r="B153" s="36" t="s">
        <v>133</v>
      </c>
    </row>
    <row r="154" spans="2:17" ht="12.75">
      <c r="C154" s="37" t="s">
        <v>130</v>
      </c>
      <c r="E154" s="19">
        <v>12294966.93896567</v>
      </c>
      <c r="G154" s="19">
        <v>8400125.397682058</v>
      </c>
      <c r="H154" s="19">
        <v>3082952.8052066113</v>
      </c>
      <c r="I154" s="19">
        <v>133764.1117590852</v>
      </c>
      <c r="J154" s="19">
        <v>84150.10012499455</v>
      </c>
      <c r="K154" s="19">
        <v>358642.44858439127</v>
      </c>
      <c r="L154" s="19">
        <v>234763.57981824724</v>
      </c>
      <c r="M154" s="19">
        <v>0</v>
      </c>
      <c r="N154" s="19">
        <v>0</v>
      </c>
      <c r="O154" s="19">
        <v>568.4957902861544</v>
      </c>
      <c r="P154" s="19">
        <v>0</v>
      </c>
      <c r="Q154" s="19">
        <v>0</v>
      </c>
    </row>
    <row r="155" spans="2:17" ht="12.75">
      <c r="C155" s="37" t="s">
        <v>131</v>
      </c>
      <c r="E155" s="19">
        <v>-11181061.096708285</v>
      </c>
      <c r="G155" s="19">
        <v>-6364404.447135105</v>
      </c>
      <c r="H155" s="19">
        <v>-2701404.679383691</v>
      </c>
      <c r="I155" s="19">
        <v>-738220.7795969786</v>
      </c>
      <c r="J155" s="19">
        <v>-320117.2298836957</v>
      </c>
      <c r="K155" s="19">
        <v>-345776.1534752348</v>
      </c>
      <c r="L155" s="19">
        <v>-846532.7299765374</v>
      </c>
      <c r="M155" s="19">
        <v>102606.80450027931</v>
      </c>
      <c r="N155" s="19">
        <v>33677.51843258301</v>
      </c>
      <c r="O155" s="19">
        <v>-889.4001899012475</v>
      </c>
      <c r="P155" s="19">
        <v>0</v>
      </c>
      <c r="Q155" s="19">
        <v>0</v>
      </c>
    </row>
    <row r="156" spans="2:17" ht="12.75" hidden="1">
      <c r="B156" t="s">
        <v>106</v>
      </c>
      <c r="C156" s="37" t="s">
        <v>106</v>
      </c>
      <c r="E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</row>
    <row r="157" spans="2:17" ht="12.75" hidden="1">
      <c r="B157" s="38" t="s">
        <v>106</v>
      </c>
      <c r="C157" s="39" t="s">
        <v>106</v>
      </c>
      <c r="E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</row>
    <row r="158" spans="2:17" ht="12.75" hidden="1">
      <c r="B158" s="38" t="s">
        <v>106</v>
      </c>
      <c r="C158" s="39" t="s">
        <v>106</v>
      </c>
      <c r="E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</row>
    <row r="159" spans="2:17" ht="12.75" hidden="1">
      <c r="B159" t="s">
        <v>106</v>
      </c>
      <c r="C159" s="37" t="s">
        <v>106</v>
      </c>
      <c r="E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</row>
    <row r="160" spans="2:17" ht="12.75">
      <c r="C160" s="26" t="s">
        <v>132</v>
      </c>
      <c r="D160" s="26"/>
      <c r="E160" s="26">
        <v>1113905.842257386</v>
      </c>
      <c r="F160" s="26"/>
      <c r="G160" s="26">
        <v>2035720.950546953</v>
      </c>
      <c r="H160" s="26">
        <v>381548.12582292035</v>
      </c>
      <c r="I160" s="26">
        <v>-604456.6678378934</v>
      </c>
      <c r="J160" s="26">
        <v>-235967.12975870116</v>
      </c>
      <c r="K160" s="26">
        <v>12866.295109156461</v>
      </c>
      <c r="L160" s="26">
        <v>-611769.1501582902</v>
      </c>
      <c r="M160" s="26">
        <v>102606.80450027931</v>
      </c>
      <c r="N160" s="26">
        <v>33677.51843258301</v>
      </c>
      <c r="O160" s="26">
        <v>-320.9043996150931</v>
      </c>
      <c r="P160" s="26">
        <v>0</v>
      </c>
      <c r="Q160" s="26">
        <v>0</v>
      </c>
    </row>
    <row r="161" ht="12.75"/>
    <row r="162" ht="12.75">
      <c r="B162" s="36" t="s">
        <v>134</v>
      </c>
    </row>
    <row r="163" spans="2:17" ht="12.75">
      <c r="C163" s="37" t="s">
        <v>130</v>
      </c>
      <c r="E163" s="19">
        <v>5572406.452314454</v>
      </c>
      <c r="G163" s="19">
        <v>3468043.223414269</v>
      </c>
      <c r="H163" s="19">
        <v>1176846.321178382</v>
      </c>
      <c r="I163" s="19">
        <v>160455.98091902534</v>
      </c>
      <c r="J163" s="19">
        <v>69563.94415779482</v>
      </c>
      <c r="K163" s="19">
        <v>119456.2861079115</v>
      </c>
      <c r="L163" s="19">
        <v>131005.73925957362</v>
      </c>
      <c r="M163" s="19">
        <v>315152.37384207576</v>
      </c>
      <c r="N163" s="19">
        <v>131728.06753888752</v>
      </c>
      <c r="O163" s="19">
        <v>154.51589653487912</v>
      </c>
      <c r="P163" s="19">
        <v>0</v>
      </c>
      <c r="Q163" s="19">
        <v>0</v>
      </c>
    </row>
    <row r="164" spans="2:17" ht="12.75">
      <c r="C164" s="37" t="s">
        <v>131</v>
      </c>
      <c r="E164" s="19">
        <v>4971378.607606103</v>
      </c>
      <c r="G164" s="19">
        <v>2290690.716062547</v>
      </c>
      <c r="H164" s="19">
        <v>968290.3151115958</v>
      </c>
      <c r="I164" s="19">
        <v>258030.8298829574</v>
      </c>
      <c r="J164" s="19">
        <v>112149.13089443075</v>
      </c>
      <c r="K164" s="19">
        <v>123665.77386665544</v>
      </c>
      <c r="L164" s="19">
        <v>296827.9468586878</v>
      </c>
      <c r="M164" s="19">
        <v>693723.8573981473</v>
      </c>
      <c r="N164" s="19">
        <v>227685.74076929453</v>
      </c>
      <c r="O164" s="19">
        <v>314.2967617857511</v>
      </c>
      <c r="P164" s="19">
        <v>0</v>
      </c>
      <c r="Q164" s="19">
        <v>0</v>
      </c>
    </row>
    <row r="165" spans="2:17" ht="12.75" hidden="1">
      <c r="B165" t="s">
        <v>106</v>
      </c>
      <c r="C165" s="37" t="s">
        <v>106</v>
      </c>
      <c r="E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</row>
    <row r="166" spans="2:17" ht="12.75" hidden="1">
      <c r="B166" s="38" t="s">
        <v>106</v>
      </c>
      <c r="C166" s="39" t="s">
        <v>106</v>
      </c>
      <c r="E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</row>
    <row r="167" spans="2:17" ht="12.75" hidden="1">
      <c r="B167" s="38" t="s">
        <v>106</v>
      </c>
      <c r="C167" s="39" t="s">
        <v>106</v>
      </c>
      <c r="E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</row>
    <row r="168" spans="2:17" ht="12.75" hidden="1">
      <c r="B168" t="s">
        <v>106</v>
      </c>
      <c r="C168" s="37" t="s">
        <v>106</v>
      </c>
      <c r="E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</row>
    <row r="169" spans="2:17" ht="12.75">
      <c r="C169" s="26" t="s">
        <v>132</v>
      </c>
      <c r="D169" s="26"/>
      <c r="E169" s="26">
        <v>10543785.059920557</v>
      </c>
      <c r="F169" s="26"/>
      <c r="G169" s="26">
        <v>5758733.939476816</v>
      </c>
      <c r="H169" s="26">
        <v>2145136.636289978</v>
      </c>
      <c r="I169" s="26">
        <v>418486.81080198276</v>
      </c>
      <c r="J169" s="26">
        <v>181713.07505222555</v>
      </c>
      <c r="K169" s="26">
        <v>243122.05997456692</v>
      </c>
      <c r="L169" s="26">
        <v>427833.6861182614</v>
      </c>
      <c r="M169" s="26">
        <v>1008876.2312402232</v>
      </c>
      <c r="N169" s="26">
        <v>359413.80830818205</v>
      </c>
      <c r="O169" s="26">
        <v>468.8126583206302</v>
      </c>
      <c r="P169" s="26">
        <v>0</v>
      </c>
      <c r="Q169" s="26">
        <v>0</v>
      </c>
    </row>
    <row r="170" ht="12.75"/>
    <row r="171" ht="12.75">
      <c r="B171" s="36" t="s">
        <v>135</v>
      </c>
    </row>
    <row r="172" spans="2:17" ht="12.75">
      <c r="C172" s="37" t="s">
        <v>130</v>
      </c>
      <c r="E172" s="19">
        <v>44247636.97644796</v>
      </c>
      <c r="G172" s="19">
        <v>28908413.785011508</v>
      </c>
      <c r="H172" s="19">
        <v>9809785.582920149</v>
      </c>
      <c r="I172" s="19">
        <v>1337505.7898270632</v>
      </c>
      <c r="J172" s="19">
        <v>393284.2906685496</v>
      </c>
      <c r="K172" s="19">
        <v>995746.4557285652</v>
      </c>
      <c r="L172" s="19">
        <v>616850.0433965892</v>
      </c>
      <c r="M172" s="19">
        <v>1560669.1878792888</v>
      </c>
      <c r="N172" s="19">
        <v>624093.849723855</v>
      </c>
      <c r="O172" s="19">
        <v>1287.9912923907452</v>
      </c>
      <c r="P172" s="19">
        <v>0</v>
      </c>
      <c r="Q172" s="19">
        <v>0</v>
      </c>
    </row>
    <row r="173" spans="2:17" ht="12.75">
      <c r="C173" s="37" t="s">
        <v>131</v>
      </c>
      <c r="E173" s="19">
        <v>51538150.41058137</v>
      </c>
      <c r="G173" s="19">
        <v>26519515.81991667</v>
      </c>
      <c r="H173" s="19">
        <v>11209977.038721673</v>
      </c>
      <c r="I173" s="19">
        <v>2987244.252191955</v>
      </c>
      <c r="J173" s="19">
        <v>872952.0882874355</v>
      </c>
      <c r="K173" s="19">
        <v>1431688.8890509906</v>
      </c>
      <c r="L173" s="19">
        <v>2157071.2690970995</v>
      </c>
      <c r="M173" s="19">
        <v>4798924.6231158115</v>
      </c>
      <c r="N173" s="19">
        <v>1557137.790601688</v>
      </c>
      <c r="O173" s="19">
        <v>3638.639598039135</v>
      </c>
      <c r="P173" s="19">
        <v>0</v>
      </c>
      <c r="Q173" s="19">
        <v>0</v>
      </c>
    </row>
    <row r="174" spans="2:17" ht="12.75">
      <c r="C174" s="37" t="s">
        <v>136</v>
      </c>
      <c r="E174" s="19">
        <v>133358022.8435057</v>
      </c>
      <c r="G174" s="19">
        <v>92768645.30143115</v>
      </c>
      <c r="H174" s="19">
        <v>14892068.562468646</v>
      </c>
      <c r="I174" s="19">
        <v>5746327.24472376</v>
      </c>
      <c r="J174" s="19">
        <v>235609.05778427655</v>
      </c>
      <c r="K174" s="19">
        <v>2778248.757021709</v>
      </c>
      <c r="L174" s="19">
        <v>93283.0634285502</v>
      </c>
      <c r="M174" s="19">
        <v>1242719.8419272637</v>
      </c>
      <c r="N174" s="19">
        <v>235090.49129343187</v>
      </c>
      <c r="O174" s="19">
        <v>98545.88781788778</v>
      </c>
      <c r="P174" s="19">
        <v>15267484.635609057</v>
      </c>
      <c r="Q174" s="19">
        <v>0</v>
      </c>
    </row>
    <row r="175" spans="2:17" ht="12.75" hidden="1">
      <c r="B175" s="38" t="s">
        <v>106</v>
      </c>
      <c r="C175" s="39" t="s">
        <v>106</v>
      </c>
      <c r="E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</row>
    <row r="176" spans="2:17" ht="12.75" hidden="1">
      <c r="B176" s="38" t="s">
        <v>106</v>
      </c>
      <c r="C176" s="39" t="s">
        <v>106</v>
      </c>
      <c r="E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</row>
    <row r="177" spans="2:17" ht="12.75" hidden="1">
      <c r="B177" t="s">
        <v>106</v>
      </c>
      <c r="C177" s="37" t="s">
        <v>106</v>
      </c>
      <c r="E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</row>
    <row r="178" spans="2:17" ht="12.75">
      <c r="C178" s="26" t="s">
        <v>132</v>
      </c>
      <c r="D178" s="26"/>
      <c r="E178" s="26">
        <v>229143810.23053503</v>
      </c>
      <c r="F178" s="26"/>
      <c r="G178" s="26">
        <v>148196574.90635931</v>
      </c>
      <c r="H178" s="26">
        <v>35911831.18411047</v>
      </c>
      <c r="I178" s="26">
        <v>10071077.286742778</v>
      </c>
      <c r="J178" s="26">
        <v>1501845.4367402615</v>
      </c>
      <c r="K178" s="26">
        <v>5205684.101801265</v>
      </c>
      <c r="L178" s="26">
        <v>2867204.375922239</v>
      </c>
      <c r="M178" s="26">
        <v>7602313.652922364</v>
      </c>
      <c r="N178" s="26">
        <v>2416322.1316189747</v>
      </c>
      <c r="O178" s="26">
        <v>103472.51870831766</v>
      </c>
      <c r="P178" s="26">
        <v>15267484.635609057</v>
      </c>
      <c r="Q178" s="26">
        <v>0</v>
      </c>
    </row>
    <row r="179" ht="12.75"/>
    <row r="180" ht="12.75" hidden="1">
      <c r="B180" s="36" t="s">
        <v>106</v>
      </c>
    </row>
    <row r="181" spans="2:17" ht="12.75" hidden="1">
      <c r="B181" t="s">
        <v>106</v>
      </c>
      <c r="C181" s="37" t="s">
        <v>106</v>
      </c>
      <c r="E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</row>
    <row r="182" spans="2:17" ht="12.75" hidden="1">
      <c r="B182" t="s">
        <v>106</v>
      </c>
      <c r="C182" s="37" t="s">
        <v>106</v>
      </c>
      <c r="E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</row>
    <row r="183" spans="2:17" ht="12.75" hidden="1">
      <c r="B183" t="s">
        <v>106</v>
      </c>
      <c r="C183" s="37" t="s">
        <v>106</v>
      </c>
      <c r="E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</row>
    <row r="184" spans="2:17" ht="12.75" hidden="1">
      <c r="B184" s="38" t="s">
        <v>106</v>
      </c>
      <c r="C184" s="39" t="s">
        <v>106</v>
      </c>
      <c r="E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</row>
    <row r="185" spans="2:17" ht="12.75" hidden="1">
      <c r="B185" s="38" t="s">
        <v>106</v>
      </c>
      <c r="C185" s="39" t="s">
        <v>106</v>
      </c>
      <c r="E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</row>
    <row r="186" spans="2:17" ht="12.75" hidden="1">
      <c r="B186" t="s">
        <v>106</v>
      </c>
      <c r="C186" s="37" t="s">
        <v>106</v>
      </c>
      <c r="E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</row>
    <row r="187" spans="2:17" ht="12.75" hidden="1">
      <c r="B187" t="s">
        <v>106</v>
      </c>
      <c r="C187" s="26" t="s">
        <v>106</v>
      </c>
      <c r="D187" s="26"/>
      <c r="E187" s="26">
        <v>0</v>
      </c>
      <c r="F187" s="26"/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</row>
    <row r="188" ht="12.75" hidden="1">
      <c r="B188" t="s">
        <v>106</v>
      </c>
    </row>
    <row r="189" ht="12.75" hidden="1">
      <c r="B189" s="36" t="s">
        <v>106</v>
      </c>
    </row>
    <row r="190" spans="2:17" ht="12.75" hidden="1">
      <c r="B190" t="s">
        <v>106</v>
      </c>
      <c r="C190" s="37" t="s">
        <v>106</v>
      </c>
      <c r="E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</row>
    <row r="191" spans="2:17" ht="12.75" hidden="1">
      <c r="B191" t="s">
        <v>106</v>
      </c>
      <c r="C191" s="37" t="s">
        <v>106</v>
      </c>
      <c r="E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</row>
    <row r="192" spans="2:17" ht="12.75" hidden="1">
      <c r="B192" t="s">
        <v>106</v>
      </c>
      <c r="C192" s="37" t="s">
        <v>106</v>
      </c>
      <c r="E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</row>
    <row r="193" spans="2:17" ht="12.75" hidden="1">
      <c r="B193" s="38" t="s">
        <v>106</v>
      </c>
      <c r="C193" s="39" t="s">
        <v>106</v>
      </c>
      <c r="E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</row>
    <row r="194" spans="2:17" ht="12.75" hidden="1">
      <c r="B194" s="38" t="s">
        <v>106</v>
      </c>
      <c r="C194" s="39" t="s">
        <v>106</v>
      </c>
      <c r="E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</row>
    <row r="195" spans="2:17" ht="12.75" hidden="1">
      <c r="B195" t="s">
        <v>106</v>
      </c>
      <c r="C195" s="37" t="s">
        <v>106</v>
      </c>
      <c r="E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</row>
    <row r="196" spans="2:17" ht="12.75" hidden="1">
      <c r="B196" t="s">
        <v>106</v>
      </c>
      <c r="C196" s="26" t="s">
        <v>106</v>
      </c>
      <c r="D196" s="26"/>
      <c r="E196" s="26">
        <v>0</v>
      </c>
      <c r="F196" s="26"/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</row>
    <row r="197" ht="12.75" hidden="1">
      <c r="B197" t="s">
        <v>106</v>
      </c>
    </row>
    <row r="198" ht="12.75" hidden="1">
      <c r="B198" s="36" t="s">
        <v>106</v>
      </c>
    </row>
    <row r="199" spans="2:17" ht="12.75" hidden="1">
      <c r="B199" t="s">
        <v>106</v>
      </c>
      <c r="C199" s="37" t="s">
        <v>106</v>
      </c>
      <c r="E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</row>
    <row r="200" spans="2:17" ht="12.75" hidden="1">
      <c r="B200" t="s">
        <v>106</v>
      </c>
      <c r="C200" s="37" t="s">
        <v>106</v>
      </c>
      <c r="E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</row>
    <row r="201" spans="2:17" ht="12.75" hidden="1">
      <c r="B201" t="s">
        <v>106</v>
      </c>
      <c r="C201" s="37" t="s">
        <v>106</v>
      </c>
      <c r="E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</row>
    <row r="202" spans="2:17" ht="12.75" hidden="1">
      <c r="B202" s="38" t="s">
        <v>106</v>
      </c>
      <c r="C202" s="39" t="s">
        <v>106</v>
      </c>
      <c r="E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</row>
    <row r="203" spans="2:17" ht="12.75" hidden="1">
      <c r="B203" s="38" t="s">
        <v>106</v>
      </c>
      <c r="C203" s="39" t="s">
        <v>106</v>
      </c>
      <c r="E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</row>
    <row r="204" spans="2:17" ht="12.75" hidden="1">
      <c r="B204" t="s">
        <v>106</v>
      </c>
      <c r="C204" s="37" t="s">
        <v>106</v>
      </c>
      <c r="E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</row>
    <row r="205" spans="2:17" ht="12.75" hidden="1">
      <c r="B205" t="s">
        <v>106</v>
      </c>
      <c r="C205" s="26" t="s">
        <v>106</v>
      </c>
      <c r="D205" s="26"/>
      <c r="E205" s="26">
        <v>0</v>
      </c>
      <c r="F205" s="26"/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</row>
    <row r="206" ht="12.75" hidden="1">
      <c r="B206" t="s">
        <v>106</v>
      </c>
    </row>
    <row r="207" ht="12.75" hidden="1">
      <c r="B207" s="36" t="s">
        <v>106</v>
      </c>
    </row>
    <row r="208" spans="2:17" ht="12.75" hidden="1">
      <c r="B208" t="s">
        <v>106</v>
      </c>
      <c r="C208" s="37" t="s">
        <v>106</v>
      </c>
      <c r="E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</row>
    <row r="209" spans="2:17" ht="12.75" hidden="1">
      <c r="B209" t="s">
        <v>106</v>
      </c>
      <c r="C209" s="37" t="s">
        <v>106</v>
      </c>
      <c r="E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</row>
    <row r="210" spans="2:17" ht="12.75" hidden="1">
      <c r="B210" t="s">
        <v>106</v>
      </c>
      <c r="C210" s="37" t="s">
        <v>106</v>
      </c>
      <c r="E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</row>
    <row r="211" spans="2:17" ht="12.75" hidden="1">
      <c r="B211" s="38" t="s">
        <v>106</v>
      </c>
      <c r="C211" s="39" t="s">
        <v>106</v>
      </c>
      <c r="E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</row>
    <row r="212" spans="2:17" ht="12.75" hidden="1">
      <c r="B212" s="38" t="s">
        <v>106</v>
      </c>
      <c r="C212" s="39" t="s">
        <v>106</v>
      </c>
      <c r="E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</row>
    <row r="213" spans="2:17" ht="12.75" hidden="1">
      <c r="B213" t="s">
        <v>106</v>
      </c>
      <c r="C213" s="37" t="s">
        <v>106</v>
      </c>
      <c r="E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</row>
    <row r="214" spans="2:17" ht="12.75" hidden="1">
      <c r="B214" t="s">
        <v>106</v>
      </c>
      <c r="C214" s="26" t="s">
        <v>106</v>
      </c>
      <c r="D214" s="26"/>
      <c r="E214" s="26">
        <v>0</v>
      </c>
      <c r="F214" s="26"/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</row>
    <row r="215" ht="12.75" hidden="1">
      <c r="B215" t="s">
        <v>106</v>
      </c>
    </row>
    <row r="216" ht="12.75" hidden="1">
      <c r="B216" s="36" t="s">
        <v>106</v>
      </c>
    </row>
    <row r="217" spans="2:17" ht="12.75" hidden="1">
      <c r="B217" t="s">
        <v>106</v>
      </c>
      <c r="C217" s="37" t="s">
        <v>106</v>
      </c>
      <c r="E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</row>
    <row r="218" spans="2:17" ht="12.75" hidden="1">
      <c r="B218" t="s">
        <v>106</v>
      </c>
      <c r="C218" s="37" t="s">
        <v>106</v>
      </c>
      <c r="E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</row>
    <row r="219" spans="2:17" ht="12.75" hidden="1">
      <c r="B219" t="s">
        <v>106</v>
      </c>
      <c r="C219" s="37" t="s">
        <v>106</v>
      </c>
      <c r="E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</row>
    <row r="220" spans="2:17" ht="12.75" hidden="1">
      <c r="B220" s="38" t="s">
        <v>106</v>
      </c>
      <c r="C220" s="39" t="s">
        <v>106</v>
      </c>
      <c r="E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</row>
    <row r="221" spans="2:17" ht="12.75" hidden="1">
      <c r="B221" s="38" t="s">
        <v>106</v>
      </c>
      <c r="C221" s="39" t="s">
        <v>106</v>
      </c>
      <c r="E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</row>
    <row r="222" spans="2:17" ht="12.75" hidden="1">
      <c r="B222" t="s">
        <v>106</v>
      </c>
      <c r="C222" s="37" t="s">
        <v>106</v>
      </c>
      <c r="E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</row>
    <row r="223" spans="2:17" ht="12.75" hidden="1">
      <c r="B223" t="s">
        <v>106</v>
      </c>
      <c r="C223" s="26" t="s">
        <v>106</v>
      </c>
      <c r="D223" s="26"/>
      <c r="E223" s="26">
        <v>0</v>
      </c>
      <c r="F223" s="26"/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</row>
    <row r="224" ht="12.75" hidden="1">
      <c r="B224" t="s">
        <v>106</v>
      </c>
    </row>
    <row r="225" ht="12.75" hidden="1">
      <c r="B225" s="36" t="s">
        <v>106</v>
      </c>
    </row>
    <row r="226" spans="2:17" ht="12.75" hidden="1">
      <c r="B226" t="s">
        <v>106</v>
      </c>
      <c r="C226" s="37" t="s">
        <v>106</v>
      </c>
      <c r="E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</row>
    <row r="227" spans="2:17" ht="12.75" hidden="1">
      <c r="B227" t="s">
        <v>106</v>
      </c>
      <c r="C227" s="37" t="s">
        <v>106</v>
      </c>
      <c r="E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</row>
    <row r="228" spans="2:17" ht="12.75" hidden="1">
      <c r="B228" t="s">
        <v>106</v>
      </c>
      <c r="C228" s="37" t="s">
        <v>106</v>
      </c>
      <c r="E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</row>
    <row r="229" spans="2:17" ht="12.75" hidden="1">
      <c r="B229" s="38" t="s">
        <v>106</v>
      </c>
      <c r="C229" s="39" t="s">
        <v>106</v>
      </c>
      <c r="E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</row>
    <row r="230" spans="2:17" ht="12.75" hidden="1">
      <c r="B230" s="38" t="s">
        <v>106</v>
      </c>
      <c r="C230" s="39" t="s">
        <v>106</v>
      </c>
      <c r="E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</row>
    <row r="231" spans="2:17" ht="12.75" hidden="1">
      <c r="B231" t="s">
        <v>106</v>
      </c>
      <c r="C231" s="37" t="s">
        <v>106</v>
      </c>
      <c r="E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</row>
    <row r="232" spans="2:17" ht="12.75" hidden="1">
      <c r="B232" t="s">
        <v>106</v>
      </c>
      <c r="C232" s="26" t="s">
        <v>106</v>
      </c>
      <c r="D232" s="26"/>
      <c r="E232" s="26">
        <v>0</v>
      </c>
      <c r="F232" s="26"/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</row>
    <row r="233" ht="12.75" hidden="1">
      <c r="B233" t="s">
        <v>106</v>
      </c>
    </row>
    <row r="234" ht="12.75">
      <c r="B234" s="15" t="s">
        <v>137</v>
      </c>
    </row>
    <row r="235" spans="2:17" ht="12.75">
      <c r="C235" s="37" t="s">
        <v>130</v>
      </c>
      <c r="E235" s="19">
        <v>161025640.59487826</v>
      </c>
      <c r="G235" s="19">
        <v>103251120.02627863</v>
      </c>
      <c r="H235" s="19">
        <v>38395798.78139002</v>
      </c>
      <c r="I235" s="19">
        <v>4923655.827104218</v>
      </c>
      <c r="J235" s="19">
        <v>2101290.4107668684</v>
      </c>
      <c r="K235" s="19">
        <v>4428826.936779605</v>
      </c>
      <c r="L235" s="19">
        <v>5178821.541803264</v>
      </c>
      <c r="M235" s="19">
        <v>1956019.0846338577</v>
      </c>
      <c r="N235" s="19">
        <v>782143.3882882282</v>
      </c>
      <c r="O235" s="19">
        <v>7964.597833593667</v>
      </c>
      <c r="P235" s="19">
        <v>0</v>
      </c>
      <c r="Q235" s="19">
        <v>0</v>
      </c>
    </row>
    <row r="236" spans="2:17" ht="12.75">
      <c r="C236" s="37" t="s">
        <v>131</v>
      </c>
      <c r="E236" s="19">
        <v>337882594.16525674</v>
      </c>
      <c r="G236" s="19">
        <v>188569724.15966588</v>
      </c>
      <c r="H236" s="19">
        <v>79348910.82632846</v>
      </c>
      <c r="I236" s="19">
        <v>20930353.899467662</v>
      </c>
      <c r="J236" s="19">
        <v>8672835.597530091</v>
      </c>
      <c r="K236" s="19">
        <v>10096397.838575441</v>
      </c>
      <c r="L236" s="19">
        <v>22740181.232128285</v>
      </c>
      <c r="M236" s="19">
        <v>5659226.983847299</v>
      </c>
      <c r="N236" s="19">
        <v>1839497.0750688696</v>
      </c>
      <c r="O236" s="19">
        <v>25466.552644750776</v>
      </c>
      <c r="P236" s="19">
        <v>0</v>
      </c>
      <c r="Q236" s="19">
        <v>0</v>
      </c>
    </row>
    <row r="237" spans="2:17" ht="12.75">
      <c r="C237" s="37" t="s">
        <v>136</v>
      </c>
      <c r="E237" s="19">
        <v>133358022.8435057</v>
      </c>
      <c r="G237" s="19">
        <v>92768645.30143115</v>
      </c>
      <c r="H237" s="19">
        <v>14892068.562468646</v>
      </c>
      <c r="I237" s="19">
        <v>5746327.24472376</v>
      </c>
      <c r="J237" s="19">
        <v>235609.05778427655</v>
      </c>
      <c r="K237" s="19">
        <v>2778248.757021709</v>
      </c>
      <c r="L237" s="19">
        <v>93283.0634285502</v>
      </c>
      <c r="M237" s="19">
        <v>1242719.8419272637</v>
      </c>
      <c r="N237" s="19">
        <v>235090.49129343187</v>
      </c>
      <c r="O237" s="19">
        <v>98545.88781788778</v>
      </c>
      <c r="P237" s="19">
        <v>15267484.635609057</v>
      </c>
      <c r="Q237" s="19">
        <v>0</v>
      </c>
    </row>
    <row r="238" spans="2:17" ht="12.75" hidden="1">
      <c r="B238" s="38" t="s">
        <v>106</v>
      </c>
      <c r="C238" s="39" t="s">
        <v>106</v>
      </c>
      <c r="E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</row>
    <row r="239" spans="2:17" ht="12.75" hidden="1">
      <c r="B239" s="38" t="s">
        <v>106</v>
      </c>
      <c r="C239" s="39" t="s">
        <v>106</v>
      </c>
      <c r="E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</row>
    <row r="240" spans="2:17" ht="12.75" hidden="1">
      <c r="B240" t="s">
        <v>106</v>
      </c>
      <c r="C240" s="37" t="s">
        <v>106</v>
      </c>
      <c r="E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</row>
    <row r="243" spans="2:17" ht="20.25" customHeight="1">
      <c r="B243" s="27" t="s">
        <v>123</v>
      </c>
      <c r="C243" s="28"/>
      <c r="D243" s="28"/>
      <c r="E243" s="28">
        <v>632266257.6036407</v>
      </c>
      <c r="F243" s="28"/>
      <c r="G243" s="28">
        <v>384589489.4873756</v>
      </c>
      <c r="H243" s="28">
        <v>132636778.17018712</v>
      </c>
      <c r="I243" s="28">
        <v>31600336.97129564</v>
      </c>
      <c r="J243" s="28">
        <v>11009735.066081235</v>
      </c>
      <c r="K243" s="28">
        <v>17303473.532376755</v>
      </c>
      <c r="L243" s="28">
        <v>28012285.8373601</v>
      </c>
      <c r="M243" s="28">
        <v>8857965.91040842</v>
      </c>
      <c r="N243" s="28">
        <v>2856730.9546505297</v>
      </c>
      <c r="O243" s="28">
        <v>131977.03829623223</v>
      </c>
      <c r="P243" s="28">
        <v>15267484.635609057</v>
      </c>
      <c r="Q243" s="28">
        <v>0</v>
      </c>
    </row>
    <row r="246" ht="18">
      <c r="A246" s="33" t="s">
        <v>140</v>
      </c>
    </row>
    <row r="247" spans="2:17" ht="25.5">
      <c r="B247" s="14"/>
      <c r="C247" s="14"/>
      <c r="D247" s="14"/>
      <c r="E247" s="34" t="s">
        <v>98</v>
      </c>
      <c r="F247" s="34"/>
      <c r="G247" s="35" t="s">
        <v>7</v>
      </c>
      <c r="H247" s="35" t="s">
        <v>99</v>
      </c>
      <c r="I247" s="35" t="s">
        <v>100</v>
      </c>
      <c r="J247" s="35" t="s">
        <v>101</v>
      </c>
      <c r="K247" s="35" t="s">
        <v>102</v>
      </c>
      <c r="L247" s="35" t="s">
        <v>103</v>
      </c>
      <c r="M247" s="35" t="s">
        <v>104</v>
      </c>
      <c r="N247" s="35" t="s">
        <v>81</v>
      </c>
      <c r="O247" s="35" t="s">
        <v>105</v>
      </c>
      <c r="P247" s="35" t="s">
        <v>83</v>
      </c>
      <c r="Q247" s="35" t="s">
        <v>106</v>
      </c>
    </row>
    <row r="249" ht="12.75">
      <c r="B249" s="36" t="s">
        <v>129</v>
      </c>
    </row>
    <row r="250" spans="2:17" ht="12.75">
      <c r="C250" s="37" t="s">
        <v>130</v>
      </c>
      <c r="E250" s="40">
        <v>16.466098482313313</v>
      </c>
      <c r="F250" s="40"/>
      <c r="G250" s="40">
        <v>16.711255332716743</v>
      </c>
      <c r="H250" s="40">
        <v>19.17543814678901</v>
      </c>
      <c r="I250" s="40">
        <v>19.032033808721827</v>
      </c>
      <c r="J250" s="40">
        <v>20.727119963582542</v>
      </c>
      <c r="K250" s="40">
        <v>22.947549745491543</v>
      </c>
      <c r="L250" s="40">
        <v>29.71369141249817</v>
      </c>
      <c r="M250" s="40">
        <v>0.2360646173212667</v>
      </c>
      <c r="N250" s="40">
        <v>0.1853627065754594</v>
      </c>
      <c r="O250" s="40">
        <v>35.74346385432008</v>
      </c>
      <c r="P250" s="40">
        <v>0</v>
      </c>
      <c r="Q250" s="40">
        <v>0</v>
      </c>
    </row>
    <row r="251" spans="2:17" ht="12.75">
      <c r="C251" s="37" t="s">
        <v>131</v>
      </c>
      <c r="E251" s="41">
        <v>0.28616744221996254</v>
      </c>
      <c r="F251" s="41"/>
      <c r="G251" s="41">
        <v>0.35266028434952584</v>
      </c>
      <c r="H251" s="41">
        <v>0.3509043232600392</v>
      </c>
      <c r="I251" s="41">
        <v>0.34720554187533786</v>
      </c>
      <c r="J251" s="41">
        <v>0.3472249607247739</v>
      </c>
      <c r="K251" s="41">
        <v>0.3494521079102334</v>
      </c>
      <c r="L251" s="41">
        <v>0.3462130157043997</v>
      </c>
      <c r="M251" s="41">
        <v>0.0004484273438348849</v>
      </c>
      <c r="N251" s="41">
        <v>0.0004484273438348849</v>
      </c>
      <c r="O251" s="41">
        <v>0.3466230383982964</v>
      </c>
      <c r="P251" s="41">
        <v>0</v>
      </c>
      <c r="Q251" s="41">
        <v>0</v>
      </c>
    </row>
    <row r="252" spans="2:17" ht="12.75" hidden="1">
      <c r="B252" s="3" t="s">
        <v>106</v>
      </c>
      <c r="C252" s="37" t="s">
        <v>106</v>
      </c>
      <c r="E252" s="41">
        <v>0</v>
      </c>
      <c r="F252" s="41"/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</row>
    <row r="253" spans="2:17" ht="12.75" hidden="1">
      <c r="B253" s="38" t="s">
        <v>106</v>
      </c>
      <c r="C253" s="39" t="s">
        <v>106</v>
      </c>
      <c r="E253" s="41">
        <v>0</v>
      </c>
      <c r="F253" s="41"/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</row>
    <row r="254" spans="2:17" ht="12.75" hidden="1">
      <c r="B254" s="38" t="s">
        <v>106</v>
      </c>
      <c r="C254" s="39" t="s">
        <v>106</v>
      </c>
      <c r="E254" s="41">
        <v>0</v>
      </c>
      <c r="F254" s="41"/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</row>
    <row r="255" spans="2:17" ht="12.75" hidden="1">
      <c r="B255" t="s">
        <v>106</v>
      </c>
      <c r="C255" s="37" t="s">
        <v>106</v>
      </c>
      <c r="E255" s="41">
        <v>0</v>
      </c>
      <c r="F255" s="41"/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</row>
    <row r="256" ht="12.75" hidden="1">
      <c r="B256" t="s">
        <v>106</v>
      </c>
    </row>
    <row r="257" spans="2:17" ht="12.75">
      <c r="C257" s="37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</row>
    <row r="258" spans="2:17" ht="12.75">
      <c r="B258" s="36" t="s">
        <v>133</v>
      </c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</row>
    <row r="259" spans="2:17" ht="12.75">
      <c r="C259" s="37" t="s">
        <v>141</v>
      </c>
      <c r="E259" s="40">
        <v>2.225253277564874</v>
      </c>
      <c r="F259" s="40">
        <v>0</v>
      </c>
      <c r="G259" s="40">
        <v>2.2469416452660713</v>
      </c>
      <c r="H259" s="40">
        <v>2.430175556727822</v>
      </c>
      <c r="I259" s="40">
        <v>0.7733466811981726</v>
      </c>
      <c r="J259" s="40">
        <v>1.1221759715419488</v>
      </c>
      <c r="K259" s="40">
        <v>2.7851154884041325</v>
      </c>
      <c r="L259" s="40">
        <v>1.6623823799473083</v>
      </c>
      <c r="M259" s="40">
        <v>0</v>
      </c>
      <c r="N259" s="40">
        <v>0</v>
      </c>
      <c r="O259" s="40">
        <v>3.413065421552933</v>
      </c>
      <c r="P259" s="40">
        <v>0</v>
      </c>
      <c r="Q259" s="40">
        <v>0</v>
      </c>
    </row>
    <row r="260" spans="2:17" ht="12.75">
      <c r="C260" s="37" t="s">
        <v>131</v>
      </c>
      <c r="E260" s="41">
        <v>-0.010936969840185917</v>
      </c>
      <c r="F260" s="41"/>
      <c r="G260" s="41">
        <v>-0.013510833684056605</v>
      </c>
      <c r="H260" s="41">
        <v>-0.013566720969881102</v>
      </c>
      <c r="I260" s="41">
        <v>-0.013912510321738663</v>
      </c>
      <c r="J260" s="41">
        <v>-0.01388046357645124</v>
      </c>
      <c r="K260" s="41">
        <v>-0.013596788819695877</v>
      </c>
      <c r="L260" s="41">
        <v>-0.01386850984396494</v>
      </c>
      <c r="M260" s="41">
        <v>0.0007192508193586676</v>
      </c>
      <c r="N260" s="41">
        <v>0.0007192751936067308</v>
      </c>
      <c r="O260" s="41">
        <v>-0.013760941367962411</v>
      </c>
      <c r="P260" s="41">
        <v>0</v>
      </c>
      <c r="Q260" s="41">
        <v>0</v>
      </c>
    </row>
    <row r="261" spans="2:17" ht="12.75" hidden="1">
      <c r="B261" s="3" t="s">
        <v>106</v>
      </c>
      <c r="C261" s="37" t="s">
        <v>106</v>
      </c>
      <c r="E261" s="41">
        <v>0</v>
      </c>
      <c r="F261" s="41"/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</row>
    <row r="262" spans="2:17" ht="12.75" hidden="1">
      <c r="B262" s="38" t="s">
        <v>106</v>
      </c>
      <c r="C262" s="39" t="s">
        <v>106</v>
      </c>
      <c r="E262" s="41">
        <v>0</v>
      </c>
      <c r="F262" s="41"/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</row>
    <row r="263" spans="2:17" ht="12.75" hidden="1">
      <c r="B263" s="38" t="s">
        <v>106</v>
      </c>
      <c r="C263" s="39" t="s">
        <v>106</v>
      </c>
      <c r="E263" s="41">
        <v>0</v>
      </c>
      <c r="F263" s="41"/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</row>
    <row r="264" spans="2:17" ht="12.75" hidden="1">
      <c r="B264" t="s">
        <v>106</v>
      </c>
      <c r="C264" s="37" t="s">
        <v>106</v>
      </c>
      <c r="E264" s="41">
        <v>0</v>
      </c>
      <c r="F264" s="41"/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</row>
    <row r="265" ht="12.75" hidden="1">
      <c r="B265" t="s">
        <v>106</v>
      </c>
    </row>
    <row r="266" spans="2:17" ht="12.75"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</row>
    <row r="267" spans="2:17" ht="12.75">
      <c r="B267" s="36" t="s">
        <v>134</v>
      </c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</row>
    <row r="268" spans="2:17" ht="12.75">
      <c r="C268" s="37" t="s">
        <v>130</v>
      </c>
      <c r="E268" s="40">
        <v>0.9276636213576737</v>
      </c>
      <c r="F268" s="40"/>
      <c r="G268" s="40">
        <v>0.9276636213576737</v>
      </c>
      <c r="H268" s="40">
        <v>0.9276636213576736</v>
      </c>
      <c r="I268" s="40">
        <v>0.9276636213576737</v>
      </c>
      <c r="J268" s="40">
        <v>0.9276636213576737</v>
      </c>
      <c r="K268" s="40">
        <v>0.9276636213576737</v>
      </c>
      <c r="L268" s="40">
        <v>0.9276636213576737</v>
      </c>
      <c r="M268" s="40">
        <v>0.9276636213576737</v>
      </c>
      <c r="N268" s="40">
        <v>0.9276636213576737</v>
      </c>
      <c r="O268" s="40">
        <v>0.9276636213576737</v>
      </c>
      <c r="P268" s="40">
        <v>0</v>
      </c>
      <c r="Q268" s="40">
        <v>0</v>
      </c>
    </row>
    <row r="269" spans="2:17" ht="12.75">
      <c r="C269" s="37" t="s">
        <v>131</v>
      </c>
      <c r="E269" s="41">
        <v>0.00486284954757474</v>
      </c>
      <c r="F269" s="41"/>
      <c r="G269" s="41">
        <v>0.00486284954757474</v>
      </c>
      <c r="H269" s="41">
        <v>0.00486284954757474</v>
      </c>
      <c r="I269" s="41">
        <v>0.004862849547574738</v>
      </c>
      <c r="J269" s="41">
        <v>0.00486284954757474</v>
      </c>
      <c r="K269" s="41">
        <v>0.00486284954757474</v>
      </c>
      <c r="L269" s="41">
        <v>0.00486284954757474</v>
      </c>
      <c r="M269" s="41">
        <v>0.004862849547574739</v>
      </c>
      <c r="N269" s="41">
        <v>0.004862849547574739</v>
      </c>
      <c r="O269" s="41">
        <v>0.00486284954757474</v>
      </c>
      <c r="P269" s="41">
        <v>0</v>
      </c>
      <c r="Q269" s="41">
        <v>0</v>
      </c>
    </row>
    <row r="270" spans="2:17" ht="12.75" hidden="1">
      <c r="B270" s="3" t="s">
        <v>106</v>
      </c>
      <c r="C270" s="37" t="s">
        <v>106</v>
      </c>
      <c r="E270" s="41">
        <v>0</v>
      </c>
      <c r="F270" s="41"/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</row>
    <row r="271" spans="2:17" ht="12.75" hidden="1">
      <c r="B271" s="38" t="s">
        <v>106</v>
      </c>
      <c r="C271" s="39" t="s">
        <v>106</v>
      </c>
      <c r="E271" s="41">
        <v>0</v>
      </c>
      <c r="F271" s="41"/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</row>
    <row r="272" spans="2:17" ht="12.75" hidden="1">
      <c r="B272" s="38" t="s">
        <v>106</v>
      </c>
      <c r="C272" s="39" t="s">
        <v>106</v>
      </c>
      <c r="E272" s="41">
        <v>0</v>
      </c>
      <c r="F272" s="41"/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</row>
    <row r="273" spans="2:17" ht="12.75" hidden="1">
      <c r="B273" t="s">
        <v>106</v>
      </c>
      <c r="C273" s="37" t="s">
        <v>106</v>
      </c>
      <c r="E273" s="41">
        <v>0</v>
      </c>
      <c r="F273" s="41"/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</row>
    <row r="274" ht="12.75" hidden="1">
      <c r="B274" t="s">
        <v>106</v>
      </c>
    </row>
    <row r="275" spans="2:17" ht="12.75">
      <c r="B275" s="38" t="s">
        <v>62</v>
      </c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</row>
    <row r="276" spans="2:17" ht="12.75">
      <c r="B276" s="36" t="s">
        <v>135</v>
      </c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</row>
    <row r="277" spans="2:17" ht="12.75">
      <c r="C277" s="37" t="s">
        <v>130</v>
      </c>
      <c r="E277" s="40">
        <v>7.36610358654705</v>
      </c>
      <c r="F277" s="40"/>
      <c r="G277" s="40">
        <v>7.7326844251694205</v>
      </c>
      <c r="H277" s="40">
        <v>7.732684425169419</v>
      </c>
      <c r="I277" s="40">
        <v>7.7326844251694205</v>
      </c>
      <c r="J277" s="40">
        <v>5.244606724384386</v>
      </c>
      <c r="K277" s="40">
        <v>7.73268442516942</v>
      </c>
      <c r="L277" s="40">
        <v>4.367971573811037</v>
      </c>
      <c r="M277" s="40">
        <v>4.593892195446155</v>
      </c>
      <c r="N277" s="40">
        <v>4.3950326723723565</v>
      </c>
      <c r="O277" s="40">
        <v>7.732684425169418</v>
      </c>
      <c r="P277" s="40">
        <v>0</v>
      </c>
      <c r="Q277" s="40">
        <v>0</v>
      </c>
    </row>
    <row r="278" spans="2:17" ht="12.75">
      <c r="C278" s="37" t="s">
        <v>131</v>
      </c>
      <c r="E278" s="41">
        <v>0.050413032518482455</v>
      </c>
      <c r="F278" s="41"/>
      <c r="G278" s="41">
        <v>0.05629761128488446</v>
      </c>
      <c r="H278" s="41">
        <v>0.05629761128488446</v>
      </c>
      <c r="I278" s="41">
        <v>0.05629761128488447</v>
      </c>
      <c r="J278" s="41">
        <v>0.037851694736528586</v>
      </c>
      <c r="K278" s="41">
        <v>0.05629761128488446</v>
      </c>
      <c r="L278" s="41">
        <v>0.035338697572196896</v>
      </c>
      <c r="M278" s="41">
        <v>0.03363939150065955</v>
      </c>
      <c r="N278" s="41">
        <v>0.03325692146971777</v>
      </c>
      <c r="O278" s="41">
        <v>0.056297611284884454</v>
      </c>
      <c r="P278" s="41">
        <v>0</v>
      </c>
      <c r="Q278" s="41">
        <v>0</v>
      </c>
    </row>
    <row r="279" spans="2:17" s="3" customFormat="1" ht="12.75">
      <c r="B279" s="3" t="s">
        <v>62</v>
      </c>
      <c r="C279" s="42" t="s">
        <v>136</v>
      </c>
      <c r="E279" s="40">
        <v>18.790259473645932</v>
      </c>
      <c r="F279" s="40"/>
      <c r="G279" s="40">
        <v>14.248431536328217</v>
      </c>
      <c r="H279" s="40">
        <v>26.584861698425385</v>
      </c>
      <c r="I279" s="40">
        <v>350.23631649440847</v>
      </c>
      <c r="J279" s="40">
        <v>370.454493371504</v>
      </c>
      <c r="K279" s="40">
        <v>374.7300724334649</v>
      </c>
      <c r="L279" s="40">
        <v>457.26991876740294</v>
      </c>
      <c r="M279" s="40">
        <v>1070.387460746997</v>
      </c>
      <c r="N279" s="40">
        <v>1306.0582849635105</v>
      </c>
      <c r="O279" s="40">
        <v>449.9812229127296</v>
      </c>
      <c r="P279" s="40">
        <v>0</v>
      </c>
      <c r="Q279" s="40">
        <v>0</v>
      </c>
    </row>
    <row r="280" spans="2:17" ht="12.75" hidden="1">
      <c r="B280" s="38" t="s">
        <v>106</v>
      </c>
      <c r="C280" s="39" t="s">
        <v>106</v>
      </c>
      <c r="E280" s="41">
        <v>0</v>
      </c>
      <c r="F280" s="41"/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</row>
    <row r="281" spans="2:17" ht="12.75" hidden="1">
      <c r="B281" s="38" t="s">
        <v>106</v>
      </c>
      <c r="C281" s="39" t="s">
        <v>106</v>
      </c>
      <c r="E281" s="41">
        <v>0</v>
      </c>
      <c r="F281" s="41"/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</row>
    <row r="282" spans="2:17" ht="12.75" hidden="1">
      <c r="B282" t="s">
        <v>106</v>
      </c>
      <c r="C282" s="39" t="s">
        <v>106</v>
      </c>
      <c r="E282" s="41">
        <v>0</v>
      </c>
      <c r="F282" s="41"/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</row>
    <row r="283" ht="12.75" hidden="1">
      <c r="B283" t="s">
        <v>106</v>
      </c>
    </row>
    <row r="284" spans="2:17" ht="12.75"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</row>
    <row r="285" spans="2:17" ht="12.75" hidden="1">
      <c r="B285" s="36" t="s">
        <v>106</v>
      </c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</row>
    <row r="286" spans="2:17" ht="12.75" hidden="1">
      <c r="B286" t="s">
        <v>106</v>
      </c>
      <c r="C286" s="37" t="s">
        <v>106</v>
      </c>
      <c r="E286" s="41">
        <v>0</v>
      </c>
      <c r="F286" s="41"/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</row>
    <row r="287" spans="2:17" ht="12.75" hidden="1">
      <c r="B287" t="s">
        <v>106</v>
      </c>
      <c r="C287" s="37" t="s">
        <v>106</v>
      </c>
      <c r="E287" s="41">
        <v>0</v>
      </c>
      <c r="F287" s="41"/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</row>
    <row r="288" spans="2:17" ht="12.75" hidden="1">
      <c r="B288" t="s">
        <v>106</v>
      </c>
      <c r="C288" s="37" t="s">
        <v>106</v>
      </c>
      <c r="E288" s="41">
        <v>0</v>
      </c>
      <c r="F288" s="41"/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</row>
    <row r="289" spans="2:17" ht="12.75" hidden="1">
      <c r="B289" s="38" t="s">
        <v>106</v>
      </c>
      <c r="C289" s="39" t="s">
        <v>106</v>
      </c>
      <c r="E289" s="41">
        <v>0</v>
      </c>
      <c r="F289" s="41"/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</row>
    <row r="290" spans="2:17" ht="12.75" hidden="1">
      <c r="B290" s="38" t="s">
        <v>106</v>
      </c>
      <c r="C290" s="39" t="s">
        <v>106</v>
      </c>
      <c r="E290" s="41">
        <v>0</v>
      </c>
      <c r="F290" s="41"/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</row>
    <row r="291" spans="2:17" ht="12.75" hidden="1">
      <c r="B291" t="s">
        <v>106</v>
      </c>
      <c r="C291" s="39" t="s">
        <v>106</v>
      </c>
      <c r="E291" s="41">
        <v>0</v>
      </c>
      <c r="F291" s="41"/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</row>
    <row r="292" ht="12.75" hidden="1">
      <c r="B292" t="s">
        <v>106</v>
      </c>
    </row>
    <row r="293" spans="2:17" ht="12.75" hidden="1">
      <c r="B293" t="s">
        <v>106</v>
      </c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</row>
    <row r="294" spans="2:17" ht="12.75" hidden="1">
      <c r="B294" s="36" t="s">
        <v>106</v>
      </c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</row>
    <row r="295" spans="2:17" ht="12.75" hidden="1">
      <c r="B295" t="s">
        <v>106</v>
      </c>
      <c r="C295" s="37" t="s">
        <v>106</v>
      </c>
      <c r="E295" s="41">
        <v>0</v>
      </c>
      <c r="F295" s="41"/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</row>
    <row r="296" spans="2:17" ht="12.75" hidden="1">
      <c r="B296" t="s">
        <v>106</v>
      </c>
      <c r="C296" s="37" t="s">
        <v>106</v>
      </c>
      <c r="E296" s="41">
        <v>0</v>
      </c>
      <c r="F296" s="41"/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</row>
    <row r="297" spans="2:17" ht="12.75" hidden="1">
      <c r="B297" t="s">
        <v>106</v>
      </c>
      <c r="C297" s="37" t="s">
        <v>106</v>
      </c>
      <c r="E297" s="41">
        <v>0</v>
      </c>
      <c r="F297" s="41"/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</row>
    <row r="298" spans="2:17" ht="12.75" hidden="1">
      <c r="B298" s="38" t="s">
        <v>106</v>
      </c>
      <c r="C298" s="39" t="s">
        <v>106</v>
      </c>
      <c r="E298" s="41">
        <v>0</v>
      </c>
      <c r="F298" s="41"/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</row>
    <row r="299" spans="2:17" ht="12.75" hidden="1">
      <c r="B299" s="38" t="s">
        <v>106</v>
      </c>
      <c r="C299" s="39" t="s">
        <v>106</v>
      </c>
      <c r="E299" s="41">
        <v>0</v>
      </c>
      <c r="F299" s="41"/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</row>
    <row r="300" spans="2:17" ht="12.75" hidden="1">
      <c r="B300" t="s">
        <v>106</v>
      </c>
      <c r="C300" s="39" t="s">
        <v>106</v>
      </c>
      <c r="E300" s="41">
        <v>0</v>
      </c>
      <c r="F300" s="41"/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</row>
    <row r="301" ht="12.75" hidden="1">
      <c r="B301" t="s">
        <v>106</v>
      </c>
    </row>
    <row r="302" spans="2:17" ht="12.75" hidden="1">
      <c r="B302" t="s">
        <v>106</v>
      </c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</row>
    <row r="303" spans="2:17" ht="12.75" hidden="1">
      <c r="B303" s="36" t="s">
        <v>106</v>
      </c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</row>
    <row r="304" spans="2:17" ht="12.75" hidden="1">
      <c r="B304" t="s">
        <v>106</v>
      </c>
      <c r="C304" s="37" t="s">
        <v>106</v>
      </c>
      <c r="E304" s="41">
        <v>0</v>
      </c>
      <c r="F304" s="41"/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</row>
    <row r="305" spans="2:17" ht="12.75" hidden="1">
      <c r="B305" t="s">
        <v>106</v>
      </c>
      <c r="C305" s="37" t="s">
        <v>106</v>
      </c>
      <c r="E305" s="41">
        <v>0</v>
      </c>
      <c r="F305" s="41"/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</row>
    <row r="306" spans="2:17" ht="12.75" hidden="1">
      <c r="B306" t="s">
        <v>106</v>
      </c>
      <c r="C306" s="37" t="s">
        <v>106</v>
      </c>
      <c r="E306" s="41">
        <v>0</v>
      </c>
      <c r="F306" s="41"/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</row>
    <row r="307" spans="2:17" ht="12.75" hidden="1">
      <c r="B307" s="38" t="s">
        <v>106</v>
      </c>
      <c r="C307" s="39" t="s">
        <v>106</v>
      </c>
      <c r="E307" s="41">
        <v>0</v>
      </c>
      <c r="F307" s="41"/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</row>
    <row r="308" spans="2:17" ht="12.75" hidden="1">
      <c r="B308" s="38" t="s">
        <v>106</v>
      </c>
      <c r="C308" s="39" t="s">
        <v>106</v>
      </c>
      <c r="E308" s="41">
        <v>0</v>
      </c>
      <c r="F308" s="41"/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</row>
    <row r="309" spans="2:17" ht="12.75" hidden="1">
      <c r="B309" t="s">
        <v>106</v>
      </c>
      <c r="C309" s="39" t="s">
        <v>106</v>
      </c>
      <c r="E309" s="41">
        <v>0</v>
      </c>
      <c r="F309" s="41"/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</row>
    <row r="310" ht="12.75" hidden="1">
      <c r="B310" t="s">
        <v>106</v>
      </c>
    </row>
    <row r="311" spans="2:17" ht="12.75" hidden="1">
      <c r="B311" t="s">
        <v>106</v>
      </c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</row>
    <row r="312" spans="2:17" ht="12.75" hidden="1">
      <c r="B312" s="36" t="s">
        <v>106</v>
      </c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</row>
    <row r="313" spans="2:17" ht="12.75" hidden="1">
      <c r="B313" t="s">
        <v>106</v>
      </c>
      <c r="C313" s="37" t="s">
        <v>106</v>
      </c>
      <c r="E313" s="41">
        <v>0</v>
      </c>
      <c r="F313" s="41"/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</row>
    <row r="314" spans="2:17" ht="12.75" hidden="1">
      <c r="B314" t="s">
        <v>106</v>
      </c>
      <c r="C314" s="37" t="s">
        <v>106</v>
      </c>
      <c r="E314" s="41">
        <v>0</v>
      </c>
      <c r="F314" s="41"/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</row>
    <row r="315" spans="2:17" ht="12.75" hidden="1">
      <c r="B315" t="s">
        <v>106</v>
      </c>
      <c r="C315" s="37" t="s">
        <v>106</v>
      </c>
      <c r="E315" s="41">
        <v>0</v>
      </c>
      <c r="F315" s="41"/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</row>
    <row r="316" spans="2:17" ht="12.75" hidden="1">
      <c r="B316" s="38" t="s">
        <v>106</v>
      </c>
      <c r="C316" s="39" t="s">
        <v>106</v>
      </c>
      <c r="E316" s="41">
        <v>0</v>
      </c>
      <c r="F316" s="41"/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</row>
    <row r="317" spans="2:17" ht="12.75" hidden="1">
      <c r="B317" s="38" t="s">
        <v>106</v>
      </c>
      <c r="C317" s="39" t="s">
        <v>106</v>
      </c>
      <c r="E317" s="41">
        <v>0</v>
      </c>
      <c r="F317" s="41"/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</row>
    <row r="318" spans="2:17" ht="12.75" hidden="1">
      <c r="B318" t="s">
        <v>106</v>
      </c>
      <c r="C318" s="39" t="s">
        <v>106</v>
      </c>
      <c r="E318" s="41">
        <v>0</v>
      </c>
      <c r="F318" s="41"/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</row>
    <row r="319" ht="12.75" hidden="1">
      <c r="B319" t="s">
        <v>106</v>
      </c>
    </row>
    <row r="320" spans="2:17" ht="12.75" hidden="1">
      <c r="B320" t="s">
        <v>106</v>
      </c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</row>
    <row r="321" spans="2:17" ht="12.75" hidden="1">
      <c r="B321" s="36" t="s">
        <v>106</v>
      </c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</row>
    <row r="322" spans="2:17" ht="12.75" hidden="1">
      <c r="B322" t="s">
        <v>106</v>
      </c>
      <c r="C322" s="37" t="s">
        <v>106</v>
      </c>
      <c r="E322" s="41">
        <v>0</v>
      </c>
      <c r="F322" s="41"/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</row>
    <row r="323" spans="2:17" ht="12.75" hidden="1">
      <c r="B323" t="s">
        <v>106</v>
      </c>
      <c r="C323" s="37" t="s">
        <v>106</v>
      </c>
      <c r="E323" s="41">
        <v>0</v>
      </c>
      <c r="F323" s="41"/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</row>
    <row r="324" spans="2:17" ht="12.75" hidden="1">
      <c r="B324" t="s">
        <v>106</v>
      </c>
      <c r="C324" s="37" t="s">
        <v>106</v>
      </c>
      <c r="E324" s="41">
        <v>0</v>
      </c>
      <c r="F324" s="41"/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</row>
    <row r="325" spans="2:17" ht="12.75" hidden="1">
      <c r="B325" s="38" t="s">
        <v>106</v>
      </c>
      <c r="C325" s="39" t="s">
        <v>106</v>
      </c>
      <c r="E325" s="41">
        <v>0</v>
      </c>
      <c r="F325" s="41"/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</row>
    <row r="326" spans="2:17" ht="12.75" hidden="1">
      <c r="B326" s="38" t="s">
        <v>106</v>
      </c>
      <c r="C326" s="39" t="s">
        <v>106</v>
      </c>
      <c r="E326" s="41">
        <v>0</v>
      </c>
      <c r="F326" s="41"/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</row>
    <row r="327" spans="2:17" ht="12.75" hidden="1">
      <c r="B327" t="s">
        <v>106</v>
      </c>
      <c r="C327" s="39" t="s">
        <v>106</v>
      </c>
      <c r="E327" s="41">
        <v>0</v>
      </c>
      <c r="F327" s="41"/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</row>
    <row r="328" ht="12.75" hidden="1">
      <c r="B328" t="s">
        <v>106</v>
      </c>
    </row>
    <row r="329" spans="2:17" ht="12.75" hidden="1">
      <c r="B329" t="s">
        <v>106</v>
      </c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</row>
    <row r="330" spans="2:17" ht="12.75" hidden="1">
      <c r="B330" s="36" t="s">
        <v>106</v>
      </c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</row>
    <row r="331" spans="2:17" ht="12.75" hidden="1">
      <c r="B331" t="s">
        <v>106</v>
      </c>
      <c r="C331" s="37" t="s">
        <v>106</v>
      </c>
      <c r="E331" s="41">
        <v>0</v>
      </c>
      <c r="F331" s="41"/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</row>
    <row r="332" spans="2:17" ht="12.75" hidden="1">
      <c r="B332" t="s">
        <v>106</v>
      </c>
      <c r="C332" s="37" t="s">
        <v>106</v>
      </c>
      <c r="E332" s="41">
        <v>0</v>
      </c>
      <c r="F332" s="41"/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</row>
    <row r="333" spans="2:17" ht="12.75" hidden="1">
      <c r="B333" t="s">
        <v>106</v>
      </c>
      <c r="C333" s="37" t="s">
        <v>106</v>
      </c>
      <c r="E333" s="41">
        <v>0</v>
      </c>
      <c r="F333" s="41"/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</row>
    <row r="334" spans="2:17" ht="12.75" hidden="1">
      <c r="B334" s="38" t="s">
        <v>106</v>
      </c>
      <c r="C334" s="39" t="s">
        <v>106</v>
      </c>
      <c r="E334" s="41">
        <v>0</v>
      </c>
      <c r="F334" s="41"/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</row>
    <row r="335" spans="2:17" ht="12.75" hidden="1">
      <c r="B335" s="38" t="s">
        <v>106</v>
      </c>
      <c r="C335" s="39" t="s">
        <v>106</v>
      </c>
      <c r="E335" s="41">
        <v>0</v>
      </c>
      <c r="F335" s="41"/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</row>
    <row r="336" spans="2:17" ht="12.75" hidden="1">
      <c r="B336" t="s">
        <v>106</v>
      </c>
      <c r="C336" s="39" t="s">
        <v>106</v>
      </c>
      <c r="E336" s="41">
        <v>0</v>
      </c>
      <c r="F336" s="41"/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</row>
    <row r="337" ht="12.75" hidden="1">
      <c r="B337" t="s">
        <v>106</v>
      </c>
    </row>
    <row r="338" spans="2:17" ht="12.75" hidden="1">
      <c r="B338" t="s">
        <v>106</v>
      </c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</row>
    <row r="339" spans="2:17" ht="12.75">
      <c r="B339" s="36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</row>
    <row r="340" spans="2:17" ht="12.75">
      <c r="B340" s="15" t="s">
        <v>137</v>
      </c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</row>
    <row r="341" spans="2:17" ht="12.75">
      <c r="C341" s="37" t="s">
        <v>130</v>
      </c>
      <c r="E341" s="40">
        <v>26.80666425968285</v>
      </c>
      <c r="F341" s="40"/>
      <c r="G341" s="40">
        <v>27.618545024509906</v>
      </c>
      <c r="H341" s="40">
        <v>30.26596175004392</v>
      </c>
      <c r="I341" s="40">
        <v>28.4657285364471</v>
      </c>
      <c r="J341" s="40">
        <v>28.021566280866548</v>
      </c>
      <c r="K341" s="40">
        <v>34.393013280422764</v>
      </c>
      <c r="L341" s="40">
        <v>36.67170898761419</v>
      </c>
      <c r="M341" s="40">
        <v>5.757620434125095</v>
      </c>
      <c r="N341" s="40">
        <v>5.50805900030549</v>
      </c>
      <c r="O341" s="40">
        <v>47.81687732240011</v>
      </c>
      <c r="P341" s="40">
        <v>0</v>
      </c>
      <c r="Q341" s="40">
        <v>0</v>
      </c>
    </row>
    <row r="342" spans="2:17" ht="12.75">
      <c r="C342" s="37" t="s">
        <v>131</v>
      </c>
      <c r="E342" s="41">
        <v>0.33050635444583376</v>
      </c>
      <c r="F342" s="41"/>
      <c r="G342" s="41">
        <v>0.4003099114979285</v>
      </c>
      <c r="H342" s="41">
        <v>0.39849806312261726</v>
      </c>
      <c r="I342" s="41">
        <v>0.3944534923860585</v>
      </c>
      <c r="J342" s="41">
        <v>0.37605904143242597</v>
      </c>
      <c r="K342" s="41">
        <v>0.3970157799229968</v>
      </c>
      <c r="L342" s="41">
        <v>0.3725460529802065</v>
      </c>
      <c r="M342" s="41">
        <v>0.03966991921142784</v>
      </c>
      <c r="N342" s="41">
        <v>0.03928747355473412</v>
      </c>
      <c r="O342" s="41">
        <v>0.39402255786279317</v>
      </c>
      <c r="P342" s="41">
        <v>0</v>
      </c>
      <c r="Q342" s="41">
        <v>0</v>
      </c>
    </row>
    <row r="343" spans="2:17" ht="12.75">
      <c r="B343" s="3" t="s">
        <v>62</v>
      </c>
      <c r="C343" s="37" t="s">
        <v>136</v>
      </c>
      <c r="E343" s="40">
        <v>18.790259473645932</v>
      </c>
      <c r="F343" s="40"/>
      <c r="G343" s="40">
        <v>14.248431536328217</v>
      </c>
      <c r="H343" s="40">
        <v>26.584861698425385</v>
      </c>
      <c r="I343" s="40">
        <v>350.23631649440847</v>
      </c>
      <c r="J343" s="40">
        <v>370.454493371504</v>
      </c>
      <c r="K343" s="40">
        <v>374.7300724334649</v>
      </c>
      <c r="L343" s="40">
        <v>457.26991876740294</v>
      </c>
      <c r="M343" s="40">
        <v>1070.387460746997</v>
      </c>
      <c r="N343" s="40">
        <v>1306.0582849635105</v>
      </c>
      <c r="O343" s="40">
        <v>449.9812229127296</v>
      </c>
      <c r="P343" s="40">
        <v>0</v>
      </c>
      <c r="Q343" s="40">
        <v>0</v>
      </c>
    </row>
    <row r="344" spans="2:17" ht="12.75" hidden="1">
      <c r="B344" s="38" t="s">
        <v>106</v>
      </c>
      <c r="C344" s="39" t="s">
        <v>106</v>
      </c>
      <c r="E344" s="41">
        <v>0</v>
      </c>
      <c r="F344" s="41"/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</row>
    <row r="345" spans="2:17" ht="12.75" hidden="1">
      <c r="B345" s="38" t="s">
        <v>106</v>
      </c>
      <c r="C345" s="39" t="s">
        <v>106</v>
      </c>
      <c r="E345" s="41">
        <v>0</v>
      </c>
      <c r="F345" s="41"/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</row>
    <row r="346" spans="2:17" ht="12.75" hidden="1">
      <c r="B346" t="s">
        <v>106</v>
      </c>
      <c r="C346" s="39" t="s">
        <v>106</v>
      </c>
      <c r="E346" s="41">
        <v>0</v>
      </c>
      <c r="F346" s="41"/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</row>
    <row r="348" spans="2:17" ht="20.25" customHeight="1">
      <c r="B348" s="28" t="s">
        <v>142</v>
      </c>
      <c r="C348" s="28"/>
      <c r="D348" s="28"/>
      <c r="E348" s="43">
        <v>6006925.704555504</v>
      </c>
      <c r="F348" s="43"/>
      <c r="G348" s="43">
        <v>3738470.6520437286</v>
      </c>
      <c r="H348" s="43">
        <v>1268613.2064293083</v>
      </c>
      <c r="I348" s="43">
        <v>172967.8487167487</v>
      </c>
      <c r="J348" s="43">
        <v>74988.32826492122</v>
      </c>
      <c r="K348" s="43">
        <v>128771.12280535733</v>
      </c>
      <c r="L348" s="43">
        <v>141221.167073299</v>
      </c>
      <c r="M348" s="43">
        <v>339726.994339648</v>
      </c>
      <c r="N348" s="43">
        <v>141999.820307816</v>
      </c>
      <c r="O348" s="43">
        <v>166.5645746771214</v>
      </c>
      <c r="P348" s="43">
        <v>0</v>
      </c>
      <c r="Q348" s="43">
        <v>0</v>
      </c>
    </row>
    <row r="349" spans="2:17" ht="20.25" customHeight="1">
      <c r="B349" s="28" t="s">
        <v>131</v>
      </c>
      <c r="C349" s="28"/>
      <c r="D349" s="28"/>
      <c r="E349" s="43">
        <v>1022317996.6744993</v>
      </c>
      <c r="F349" s="43"/>
      <c r="G349" s="43">
        <v>471059343.63216907</v>
      </c>
      <c r="H349" s="43">
        <v>199119941.0219289</v>
      </c>
      <c r="I349" s="43">
        <v>53061651.88919854</v>
      </c>
      <c r="J349" s="43">
        <v>23062430.740914688</v>
      </c>
      <c r="K349" s="43">
        <v>25430721.772655204</v>
      </c>
      <c r="L349" s="43">
        <v>61039919.8977327</v>
      </c>
      <c r="M349" s="43">
        <v>142657890.3195</v>
      </c>
      <c r="N349" s="43">
        <v>46821465.1804</v>
      </c>
      <c r="O349" s="43">
        <v>64632.22</v>
      </c>
      <c r="P349" s="43">
        <v>0</v>
      </c>
      <c r="Q349" s="43">
        <v>0</v>
      </c>
    </row>
    <row r="350" spans="2:17" ht="20.25" customHeight="1">
      <c r="B350" s="28" t="s">
        <v>143</v>
      </c>
      <c r="C350" s="28"/>
      <c r="D350" s="28"/>
      <c r="E350" s="43">
        <v>7097189</v>
      </c>
      <c r="F350" s="43"/>
      <c r="G350" s="43">
        <v>6510797</v>
      </c>
      <c r="H350" s="43">
        <v>560171</v>
      </c>
      <c r="I350" s="43">
        <v>16407</v>
      </c>
      <c r="J350" s="43">
        <v>636</v>
      </c>
      <c r="K350" s="43">
        <v>7414</v>
      </c>
      <c r="L350" s="43">
        <v>204</v>
      </c>
      <c r="M350" s="43">
        <v>1161</v>
      </c>
      <c r="N350" s="43">
        <v>180</v>
      </c>
      <c r="O350" s="43">
        <v>219</v>
      </c>
      <c r="P350" s="43">
        <v>0</v>
      </c>
      <c r="Q350" s="43">
        <v>0</v>
      </c>
    </row>
    <row r="351" spans="2:17" ht="20.25" customHeight="1" hidden="1">
      <c r="B351" s="28" t="s">
        <v>106</v>
      </c>
      <c r="C351" s="28"/>
      <c r="D351" s="28"/>
      <c r="E351" s="43">
        <v>0</v>
      </c>
      <c r="F351" s="43"/>
      <c r="G351" s="43" t="s">
        <v>144</v>
      </c>
      <c r="H351" s="43" t="s">
        <v>144</v>
      </c>
      <c r="I351" s="43" t="s">
        <v>144</v>
      </c>
      <c r="J351" s="43" t="s">
        <v>144</v>
      </c>
      <c r="K351" s="43" t="s">
        <v>144</v>
      </c>
      <c r="L351" s="43" t="s">
        <v>144</v>
      </c>
      <c r="M351" s="43" t="s">
        <v>144</v>
      </c>
      <c r="N351" s="43" t="s">
        <v>144</v>
      </c>
      <c r="O351" s="43" t="s">
        <v>144</v>
      </c>
      <c r="P351" s="43" t="s">
        <v>144</v>
      </c>
      <c r="Q351" s="43" t="s">
        <v>144</v>
      </c>
    </row>
    <row r="352" spans="2:17" ht="20.25" customHeight="1" hidden="1">
      <c r="B352" s="28" t="s">
        <v>106</v>
      </c>
      <c r="C352" s="28"/>
      <c r="D352" s="28"/>
      <c r="E352" s="43">
        <v>0</v>
      </c>
      <c r="F352" s="43"/>
      <c r="G352" s="43" t="s">
        <v>144</v>
      </c>
      <c r="H352" s="43" t="s">
        <v>144</v>
      </c>
      <c r="I352" s="43" t="s">
        <v>144</v>
      </c>
      <c r="J352" s="43" t="s">
        <v>144</v>
      </c>
      <c r="K352" s="43" t="s">
        <v>144</v>
      </c>
      <c r="L352" s="43" t="s">
        <v>144</v>
      </c>
      <c r="M352" s="43" t="s">
        <v>144</v>
      </c>
      <c r="N352" s="43" t="s">
        <v>144</v>
      </c>
      <c r="O352" s="43" t="s">
        <v>144</v>
      </c>
      <c r="P352" s="43" t="s">
        <v>144</v>
      </c>
      <c r="Q352" s="43" t="s">
        <v>144</v>
      </c>
    </row>
    <row r="353" spans="2:17" ht="20.25" customHeight="1" hidden="1">
      <c r="B353" s="28" t="s">
        <v>106</v>
      </c>
      <c r="C353" s="28"/>
      <c r="D353" s="28"/>
      <c r="E353" s="43">
        <v>0</v>
      </c>
      <c r="F353" s="43"/>
      <c r="G353" s="43" t="s">
        <v>144</v>
      </c>
      <c r="H353" s="43" t="s">
        <v>144</v>
      </c>
      <c r="I353" s="43" t="s">
        <v>144</v>
      </c>
      <c r="J353" s="43" t="s">
        <v>144</v>
      </c>
      <c r="K353" s="43" t="s">
        <v>144</v>
      </c>
      <c r="L353" s="43" t="s">
        <v>144</v>
      </c>
      <c r="M353" s="43" t="s">
        <v>144</v>
      </c>
      <c r="N353" s="43" t="s">
        <v>144</v>
      </c>
      <c r="O353" s="43" t="s">
        <v>144</v>
      </c>
      <c r="P353" s="43" t="s">
        <v>144</v>
      </c>
      <c r="Q353" s="43" t="s">
        <v>144</v>
      </c>
    </row>
    <row r="354" spans="2:17" ht="20.25" customHeight="1">
      <c r="B354" s="28" t="s">
        <v>145</v>
      </c>
      <c r="C354" s="27"/>
      <c r="D354" s="28"/>
      <c r="E354" s="43">
        <v>5525198.88990804</v>
      </c>
      <c r="F354" s="43"/>
      <c r="G354" s="43">
        <v>3738470.6520437286</v>
      </c>
      <c r="H354" s="43">
        <v>1268613.2064293083</v>
      </c>
      <c r="I354" s="43">
        <v>172967.8487167487</v>
      </c>
      <c r="J354" s="43">
        <v>74988.32826492122</v>
      </c>
      <c r="K354" s="43">
        <v>128771.12280535733</v>
      </c>
      <c r="L354" s="43">
        <v>141221.167073299</v>
      </c>
      <c r="M354" s="43">
        <v>0</v>
      </c>
      <c r="N354" s="43">
        <v>0</v>
      </c>
      <c r="O354" s="43">
        <v>166.5645746771214</v>
      </c>
      <c r="P354" s="43">
        <v>0</v>
      </c>
      <c r="Q354" s="43">
        <v>0</v>
      </c>
    </row>
    <row r="356" ht="12.75">
      <c r="C356" s="12" t="s">
        <v>146</v>
      </c>
    </row>
    <row r="357" ht="12.75">
      <c r="C357" s="12"/>
    </row>
  </sheetData>
  <mergeCells count="1">
    <mergeCell ref="B34:P34"/>
  </mergeCells>
  <printOptions/>
  <pageMargins left="0.75" right="0.75" top="1" bottom="1" header="0.5" footer="0.5"/>
  <pageSetup fitToHeight="4" horizontalDpi="600" verticalDpi="600" orientation="landscape" scale="59" r:id="rId1"/>
  <headerFooter alignWithMargins="0">
    <oddHeader>&amp;CPuget Sound Energy - Gas
Cost of Service
&amp;RCost Study Appendix
Page &amp;P of &amp;N
For Settlement Purposes Only</oddHeader>
    <oddFooter>&amp;R&amp;D &amp;T
&amp;F, &amp;A</oddFooter>
  </headerFooter>
  <rowBreaks count="3" manualBreakCount="3">
    <brk id="34" max="15" man="1"/>
    <brk id="139" max="15" man="1"/>
    <brk id="24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5" zoomScaleNormal="75" workbookViewId="0" topLeftCell="A1">
      <selection activeCell="E27" sqref="E26:E27"/>
    </sheetView>
  </sheetViews>
  <sheetFormatPr defaultColWidth="9.140625" defaultRowHeight="12.75"/>
  <cols>
    <col min="1" max="1" width="8.57421875" style="53" customWidth="1"/>
    <col min="2" max="2" width="3.57421875" style="53" customWidth="1"/>
    <col min="3" max="3" width="31.57421875" style="53" customWidth="1"/>
    <col min="4" max="4" width="18.57421875" style="53" customWidth="1"/>
    <col min="5" max="5" width="16.8515625" style="53" customWidth="1"/>
    <col min="6" max="7" width="14.8515625" style="53" customWidth="1"/>
    <col min="8" max="8" width="9.8515625" style="53" customWidth="1"/>
    <col min="9" max="9" width="16.28125" style="53" customWidth="1"/>
    <col min="10" max="10" width="14.8515625" style="53" customWidth="1"/>
    <col min="11" max="11" width="8.7109375" style="53" customWidth="1"/>
    <col min="12" max="12" width="10.7109375" style="53" customWidth="1"/>
    <col min="13" max="13" width="10.57421875" style="53" customWidth="1"/>
    <col min="14" max="14" width="11.140625" style="53" customWidth="1"/>
    <col min="15" max="16" width="9.140625" style="53" customWidth="1"/>
    <col min="17" max="17" width="9.7109375" style="53" bestFit="1" customWidth="1"/>
    <col min="18" max="16384" width="9.140625" style="53" customWidth="1"/>
  </cols>
  <sheetData>
    <row r="1" spans="4:12" ht="12.75">
      <c r="D1" s="278"/>
      <c r="E1" s="278"/>
      <c r="F1" s="278"/>
      <c r="G1" s="278"/>
      <c r="H1" s="278"/>
      <c r="L1" s="278"/>
    </row>
    <row r="2" spans="1:14" ht="1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ht="12.75">
      <c r="A3" s="279" t="s">
        <v>62</v>
      </c>
      <c r="B3" s="279"/>
      <c r="D3" s="278"/>
      <c r="E3" s="278"/>
      <c r="F3" s="278"/>
      <c r="G3" s="278"/>
      <c r="H3" s="278"/>
      <c r="L3" s="277"/>
      <c r="M3" s="280"/>
      <c r="N3" s="280"/>
    </row>
    <row r="4" spans="1:14" ht="51">
      <c r="A4" s="321" t="s">
        <v>47</v>
      </c>
      <c r="B4" s="321"/>
      <c r="C4" s="321" t="s">
        <v>63</v>
      </c>
      <c r="D4" s="322" t="s">
        <v>64</v>
      </c>
      <c r="E4" s="322" t="s">
        <v>45</v>
      </c>
      <c r="F4" s="322" t="s">
        <v>65</v>
      </c>
      <c r="G4" s="322" t="s">
        <v>66</v>
      </c>
      <c r="H4" s="322" t="s">
        <v>67</v>
      </c>
      <c r="I4" s="322" t="s">
        <v>68</v>
      </c>
      <c r="J4" s="322" t="s">
        <v>205</v>
      </c>
      <c r="K4" s="321" t="s">
        <v>69</v>
      </c>
      <c r="L4" s="321" t="s">
        <v>70</v>
      </c>
      <c r="M4" s="321" t="s">
        <v>71</v>
      </c>
      <c r="N4" s="321" t="s">
        <v>72</v>
      </c>
    </row>
    <row r="5" spans="1:14" ht="12.75">
      <c r="A5" s="281">
        <f aca="true" t="shared" si="0" ref="A5:A54">+ROW(A5)-4</f>
        <v>1</v>
      </c>
      <c r="C5" s="281" t="s">
        <v>48</v>
      </c>
      <c r="D5" s="282" t="s">
        <v>73</v>
      </c>
      <c r="E5" s="282" t="s">
        <v>74</v>
      </c>
      <c r="F5" s="283" t="s">
        <v>51</v>
      </c>
      <c r="G5" s="282" t="s">
        <v>52</v>
      </c>
      <c r="H5" s="282" t="s">
        <v>53</v>
      </c>
      <c r="I5" s="281" t="s">
        <v>54</v>
      </c>
      <c r="J5" s="281" t="s">
        <v>55</v>
      </c>
      <c r="K5" s="281" t="s">
        <v>56</v>
      </c>
      <c r="L5" s="282" t="s">
        <v>75</v>
      </c>
      <c r="M5" s="284" t="s">
        <v>76</v>
      </c>
      <c r="N5" s="284" t="s">
        <v>207</v>
      </c>
    </row>
    <row r="6" spans="1:14" ht="12.75">
      <c r="A6" s="281">
        <f t="shared" si="0"/>
        <v>2</v>
      </c>
      <c r="C6" s="53" t="s">
        <v>7</v>
      </c>
      <c r="D6" s="285">
        <v>353416329.7</v>
      </c>
      <c r="E6" s="278">
        <v>135450919</v>
      </c>
      <c r="F6" s="286">
        <v>471059343</v>
      </c>
      <c r="G6" s="287">
        <f>ROUND(+H6*$G$32,2)</f>
        <v>26008916.87</v>
      </c>
      <c r="H6" s="273">
        <f>+G43/$G$49</f>
        <v>0.7371636087347267</v>
      </c>
      <c r="I6" s="287">
        <f>ROUND(+H6*($I$18-$I$10),2)-0.01</f>
        <v>-2634624.4099999997</v>
      </c>
      <c r="J6" s="287">
        <f>ROUND(+G6+I6,2)</f>
        <v>23374292.46</v>
      </c>
      <c r="K6" s="288">
        <f aca="true" t="shared" si="1" ref="K6:K15">+J6/E6</f>
        <v>0.17256651067830703</v>
      </c>
      <c r="L6" s="273">
        <f aca="true" t="shared" si="2" ref="L6:L15">+J6/E6/$J$19</f>
        <v>1.1115443562266973</v>
      </c>
      <c r="M6" s="289">
        <f aca="true" t="shared" si="3" ref="M6:M14">+J6/F6</f>
        <v>0.04962069600644775</v>
      </c>
      <c r="N6" s="289">
        <f aca="true" t="shared" si="4" ref="N6:N14">+M6/$M$18</f>
        <v>1.4802500866118824</v>
      </c>
    </row>
    <row r="7" spans="1:14" ht="12.75">
      <c r="A7" s="281">
        <f t="shared" si="0"/>
        <v>3</v>
      </c>
      <c r="C7" s="53" t="s">
        <v>77</v>
      </c>
      <c r="D7" s="285">
        <v>136950962.29999998</v>
      </c>
      <c r="E7" s="278">
        <v>47347332</v>
      </c>
      <c r="F7" s="286">
        <v>199119941</v>
      </c>
      <c r="G7" s="287">
        <f>ROUND(+H7*$G$32,2)</f>
        <v>6132695.56</v>
      </c>
      <c r="H7" s="273">
        <f>+G44/$G$49</f>
        <v>0.173817310843985</v>
      </c>
      <c r="I7" s="287">
        <f>ROUND(+H7*($I$18-$I$10),2)</f>
        <v>-621223.46</v>
      </c>
      <c r="J7" s="287">
        <f aca="true" t="shared" si="5" ref="J7:J15">ROUND(+G7+I7,2)</f>
        <v>5511472.1</v>
      </c>
      <c r="K7" s="288">
        <f t="shared" si="1"/>
        <v>0.11640512500260837</v>
      </c>
      <c r="L7" s="273">
        <f t="shared" si="2"/>
        <v>0.7497947268211052</v>
      </c>
      <c r="M7" s="289">
        <f t="shared" si="3"/>
        <v>0.027679156955957514</v>
      </c>
      <c r="N7" s="289">
        <f t="shared" si="4"/>
        <v>0.8257053564116886</v>
      </c>
    </row>
    <row r="8" spans="1:14" ht="12.75">
      <c r="A8" s="281">
        <f t="shared" si="0"/>
        <v>4</v>
      </c>
      <c r="C8" s="53" t="s">
        <v>78</v>
      </c>
      <c r="D8" s="285">
        <v>29263579.1</v>
      </c>
      <c r="E8" s="278">
        <v>8099536</v>
      </c>
      <c r="F8" s="286">
        <v>53061652</v>
      </c>
      <c r="G8" s="287">
        <f>ROUND(+H8*$G$32,2)</f>
        <v>1555250.86</v>
      </c>
      <c r="H8" s="273">
        <f>+G45/$G$49</f>
        <v>0.04408004929694743</v>
      </c>
      <c r="I8" s="287">
        <f>ROUND(+H8*($I$18-$I$10),2)</f>
        <v>-157542.2</v>
      </c>
      <c r="J8" s="287">
        <f t="shared" si="5"/>
        <v>1397708.66</v>
      </c>
      <c r="K8" s="288">
        <f t="shared" si="1"/>
        <v>0.17256650998279408</v>
      </c>
      <c r="L8" s="273">
        <f t="shared" si="2"/>
        <v>1.1115443517467232</v>
      </c>
      <c r="M8" s="289">
        <f t="shared" si="3"/>
        <v>0.02634122020927656</v>
      </c>
      <c r="N8" s="289">
        <f t="shared" si="4"/>
        <v>0.785792958066886</v>
      </c>
    </row>
    <row r="9" spans="1:14" ht="12.75">
      <c r="A9" s="281">
        <f t="shared" si="0"/>
        <v>5</v>
      </c>
      <c r="C9" s="53" t="s">
        <v>79</v>
      </c>
      <c r="D9" s="285">
        <v>11696442</v>
      </c>
      <c r="E9" s="278">
        <v>1812075</v>
      </c>
      <c r="F9" s="286">
        <v>23062431</v>
      </c>
      <c r="G9" s="285">
        <f>+G23</f>
        <v>232241.36</v>
      </c>
      <c r="H9" s="323"/>
      <c r="I9" s="287"/>
      <c r="J9" s="287">
        <f t="shared" si="5"/>
        <v>232241.36</v>
      </c>
      <c r="K9" s="288">
        <f t="shared" si="1"/>
        <v>0.12816321620241988</v>
      </c>
      <c r="L9" s="273">
        <f t="shared" si="2"/>
        <v>0.8255315535192661</v>
      </c>
      <c r="M9" s="289">
        <f t="shared" si="3"/>
        <v>0.010070116198938437</v>
      </c>
      <c r="N9" s="289">
        <f t="shared" si="4"/>
        <v>0.3004047015731784</v>
      </c>
    </row>
    <row r="10" spans="1:17" ht="12.75">
      <c r="A10" s="281">
        <f t="shared" si="0"/>
        <v>6</v>
      </c>
      <c r="C10" s="53" t="s">
        <v>80</v>
      </c>
      <c r="D10" s="285">
        <v>14895376.100000001</v>
      </c>
      <c r="E10" s="278">
        <v>3861669</v>
      </c>
      <c r="F10" s="286">
        <v>25430722</v>
      </c>
      <c r="G10" s="285">
        <f>+G24</f>
        <v>1177570</v>
      </c>
      <c r="H10" s="323"/>
      <c r="I10" s="287">
        <v>-278287.74330253</v>
      </c>
      <c r="J10" s="287">
        <f t="shared" si="5"/>
        <v>899282.26</v>
      </c>
      <c r="K10" s="288">
        <f t="shared" si="1"/>
        <v>0.2328739879052296</v>
      </c>
      <c r="L10" s="273">
        <f t="shared" si="2"/>
        <v>1.5000000055086098</v>
      </c>
      <c r="M10" s="289">
        <f t="shared" si="3"/>
        <v>0.03536204202145735</v>
      </c>
      <c r="N10" s="289">
        <f t="shared" si="4"/>
        <v>1.0548958393939811</v>
      </c>
      <c r="Q10" s="290"/>
    </row>
    <row r="11" spans="1:14" ht="12.75">
      <c r="A11" s="281">
        <f t="shared" si="0"/>
        <v>7</v>
      </c>
      <c r="C11" s="53" t="s">
        <v>60</v>
      </c>
      <c r="D11" s="285">
        <v>25532438.100000005</v>
      </c>
      <c r="E11" s="278">
        <v>1833431</v>
      </c>
      <c r="F11" s="286">
        <v>61039920</v>
      </c>
      <c r="G11" s="285">
        <f>+G25</f>
        <v>821983.14</v>
      </c>
      <c r="H11" s="323"/>
      <c r="I11" s="287"/>
      <c r="J11" s="287">
        <f t="shared" si="5"/>
        <v>821983.14</v>
      </c>
      <c r="K11" s="288">
        <f t="shared" si="1"/>
        <v>0.44833055620855106</v>
      </c>
      <c r="L11" s="273">
        <f t="shared" si="2"/>
        <v>2.8878100247769347</v>
      </c>
      <c r="M11" s="289">
        <f t="shared" si="3"/>
        <v>0.013466320729122842</v>
      </c>
      <c r="N11" s="289">
        <f t="shared" si="4"/>
        <v>0.40171791268379825</v>
      </c>
    </row>
    <row r="12" spans="1:14" ht="12.75">
      <c r="A12" s="281">
        <f t="shared" si="0"/>
        <v>8</v>
      </c>
      <c r="C12" s="53" t="s">
        <v>61</v>
      </c>
      <c r="D12" s="285">
        <v>9609137.100000001</v>
      </c>
      <c r="E12" s="278">
        <v>9609137</v>
      </c>
      <c r="F12" s="286">
        <v>142657890</v>
      </c>
      <c r="G12" s="285">
        <f>+G26</f>
        <v>530039.49</v>
      </c>
      <c r="H12" s="323"/>
      <c r="I12" s="287"/>
      <c r="J12" s="287">
        <f t="shared" si="5"/>
        <v>530039.49</v>
      </c>
      <c r="K12" s="288">
        <f t="shared" si="1"/>
        <v>0.05515994724604301</v>
      </c>
      <c r="L12" s="273">
        <f t="shared" si="2"/>
        <v>0.3552991122674937</v>
      </c>
      <c r="M12" s="289">
        <f t="shared" si="3"/>
        <v>0.0037154586402476583</v>
      </c>
      <c r="N12" s="289">
        <f t="shared" si="4"/>
        <v>0.11083697764567457</v>
      </c>
    </row>
    <row r="13" spans="1:14" ht="12.75">
      <c r="A13" s="281">
        <f t="shared" si="0"/>
        <v>9</v>
      </c>
      <c r="C13" s="53" t="s">
        <v>81</v>
      </c>
      <c r="D13" s="285">
        <v>1866947.5</v>
      </c>
      <c r="E13" s="278">
        <v>1866947</v>
      </c>
      <c r="F13" s="286">
        <v>46821465</v>
      </c>
      <c r="G13" s="285">
        <f>+G27</f>
        <v>78007.89553057677</v>
      </c>
      <c r="H13" s="323"/>
      <c r="I13" s="287"/>
      <c r="J13" s="287">
        <f t="shared" si="5"/>
        <v>78007.9</v>
      </c>
      <c r="K13" s="288">
        <f t="shared" si="1"/>
        <v>0.04178367141648905</v>
      </c>
      <c r="L13" s="273">
        <f t="shared" si="2"/>
        <v>0.26913915082868745</v>
      </c>
      <c r="M13" s="289">
        <f t="shared" si="3"/>
        <v>0.0016660713200665547</v>
      </c>
      <c r="N13" s="289">
        <f t="shared" si="4"/>
        <v>0.04970108068435055</v>
      </c>
    </row>
    <row r="14" spans="1:14" ht="12.75">
      <c r="A14" s="281">
        <f t="shared" si="0"/>
        <v>10</v>
      </c>
      <c r="C14" s="53" t="s">
        <v>82</v>
      </c>
      <c r="D14" s="285">
        <v>56380.1</v>
      </c>
      <c r="E14" s="278">
        <v>32108</v>
      </c>
      <c r="F14" s="286">
        <v>64632</v>
      </c>
      <c r="G14" s="287">
        <f>ROUND(+H14*$G$32,2)</f>
        <v>6931.35</v>
      </c>
      <c r="H14" s="273">
        <f>+G46/$G$49</f>
        <v>0.00019645338610204657</v>
      </c>
      <c r="I14" s="287">
        <f>ROUND(+H14*($I$18-$I$10),2)</f>
        <v>-702.12</v>
      </c>
      <c r="J14" s="287">
        <f t="shared" si="5"/>
        <v>6229.23</v>
      </c>
      <c r="K14" s="288">
        <f t="shared" si="1"/>
        <v>0.19400865827831068</v>
      </c>
      <c r="L14" s="273">
        <f t="shared" si="2"/>
        <v>1.249658629132141</v>
      </c>
      <c r="M14" s="289">
        <f t="shared" si="3"/>
        <v>0.09637996658002228</v>
      </c>
      <c r="N14" s="289">
        <f t="shared" si="4"/>
        <v>2.8751401201464426</v>
      </c>
    </row>
    <row r="15" spans="1:14" ht="12.75">
      <c r="A15" s="281">
        <f t="shared" si="0"/>
        <v>11</v>
      </c>
      <c r="C15" s="53" t="s">
        <v>83</v>
      </c>
      <c r="D15" s="285">
        <v>8221273</v>
      </c>
      <c r="E15" s="278">
        <v>8221273</v>
      </c>
      <c r="F15" s="286">
        <v>0</v>
      </c>
      <c r="G15" s="287">
        <f>ROUND(+H15*$G$32,2)</f>
        <v>1578626.47</v>
      </c>
      <c r="H15" s="273">
        <f>+G47/$G$49</f>
        <v>0.04474257773823869</v>
      </c>
      <c r="I15" s="287">
        <f>ROUND(+H15*($I$18-$I$10),2)</f>
        <v>-159910.07</v>
      </c>
      <c r="J15" s="287">
        <f t="shared" si="5"/>
        <v>1418716.4</v>
      </c>
      <c r="K15" s="288">
        <f t="shared" si="1"/>
        <v>0.17256651129332404</v>
      </c>
      <c r="L15" s="273">
        <f t="shared" si="2"/>
        <v>1.1115443601881767</v>
      </c>
      <c r="M15" s="289"/>
      <c r="N15" s="289"/>
    </row>
    <row r="16" spans="1:14" ht="12.75">
      <c r="A16" s="281">
        <f t="shared" si="0"/>
        <v>12</v>
      </c>
      <c r="C16" s="53" t="s">
        <v>84</v>
      </c>
      <c r="D16" s="291">
        <f>SUM(D6:D15)</f>
        <v>591508865.0000001</v>
      </c>
      <c r="E16" s="292">
        <f>SUM(E6:E15)</f>
        <v>218134427</v>
      </c>
      <c r="F16" s="293">
        <f>SUM(F6:F15)</f>
        <v>1022317996</v>
      </c>
      <c r="G16" s="291">
        <f>SUM(G6:G15)</f>
        <v>38122262.995530576</v>
      </c>
      <c r="H16" s="294"/>
      <c r="I16" s="291">
        <f>SUM(I6:I15)</f>
        <v>-3852290.00330253</v>
      </c>
      <c r="J16" s="295">
        <f>SUM(J6:J15)</f>
        <v>34269973</v>
      </c>
      <c r="K16" s="292"/>
      <c r="L16" s="324"/>
      <c r="M16" s="296">
        <f>+J16/F16</f>
        <v>0.033521832868136266</v>
      </c>
      <c r="N16" s="296">
        <f>+M16/$M$18</f>
        <v>1</v>
      </c>
    </row>
    <row r="17" spans="1:14" ht="12.75">
      <c r="A17" s="281">
        <f t="shared" si="0"/>
        <v>13</v>
      </c>
      <c r="C17" s="53" t="s">
        <v>85</v>
      </c>
      <c r="D17" s="285">
        <f>1847764+759336</f>
        <v>2607100</v>
      </c>
      <c r="E17" s="278">
        <f>+D17</f>
        <v>2607100</v>
      </c>
      <c r="F17" s="286">
        <v>0</v>
      </c>
      <c r="G17" s="278">
        <f>560864-560864</f>
        <v>0</v>
      </c>
      <c r="H17" s="323"/>
      <c r="J17" s="287">
        <f>+G17+I17</f>
        <v>0</v>
      </c>
      <c r="K17" s="287"/>
      <c r="L17" s="323"/>
      <c r="M17" s="289"/>
      <c r="N17" s="289"/>
    </row>
    <row r="18" spans="1:14" ht="13.5" thickBot="1">
      <c r="A18" s="281">
        <f t="shared" si="0"/>
        <v>14</v>
      </c>
      <c r="C18" s="53" t="s">
        <v>57</v>
      </c>
      <c r="D18" s="297">
        <f>+D17+D16</f>
        <v>594115965.0000001</v>
      </c>
      <c r="E18" s="298">
        <f>+E17+E16</f>
        <v>220741527</v>
      </c>
      <c r="F18" s="299">
        <f>+F17+F16</f>
        <v>1022317996</v>
      </c>
      <c r="G18" s="297">
        <v>38122263</v>
      </c>
      <c r="H18" s="325">
        <f>SUM(H6:H15)</f>
        <v>0.9999999999999999</v>
      </c>
      <c r="I18" s="297">
        <v>-3852290</v>
      </c>
      <c r="J18" s="300">
        <f>+G18+I18</f>
        <v>34269973</v>
      </c>
      <c r="K18" s="301">
        <f>+J18/E18</f>
        <v>0.15524932470001443</v>
      </c>
      <c r="L18" s="298"/>
      <c r="M18" s="302">
        <f>+J18/F18</f>
        <v>0.033521832868136266</v>
      </c>
      <c r="N18" s="302">
        <f>+M18/$M$18</f>
        <v>1</v>
      </c>
    </row>
    <row r="19" spans="1:12" ht="13.5" thickTop="1">
      <c r="A19" s="281">
        <f t="shared" si="0"/>
        <v>15</v>
      </c>
      <c r="C19" s="326" t="s">
        <v>86</v>
      </c>
      <c r="D19" s="278"/>
      <c r="E19" s="278"/>
      <c r="F19" s="278"/>
      <c r="G19" s="288">
        <f>+G18/E18</f>
        <v>0.17270091186784262</v>
      </c>
      <c r="H19" s="278"/>
      <c r="I19" s="288">
        <f>+I18/$E$18</f>
        <v>-0.01745158716782819</v>
      </c>
      <c r="J19" s="288">
        <f>+J18/E18</f>
        <v>0.15524932470001443</v>
      </c>
      <c r="K19" s="288"/>
      <c r="L19" s="278"/>
    </row>
    <row r="20" spans="1:12" ht="12.75">
      <c r="A20" s="281">
        <f t="shared" si="0"/>
        <v>16</v>
      </c>
      <c r="C20" s="326"/>
      <c r="D20" s="278"/>
      <c r="E20" s="278"/>
      <c r="F20" s="278"/>
      <c r="G20" s="288"/>
      <c r="H20" s="278"/>
      <c r="I20" s="288"/>
      <c r="J20" s="288"/>
      <c r="K20" s="288"/>
      <c r="L20" s="278"/>
    </row>
    <row r="21" spans="1:13" ht="12.75">
      <c r="A21" s="281">
        <f t="shared" si="0"/>
        <v>17</v>
      </c>
      <c r="C21" s="327"/>
      <c r="D21" s="303"/>
      <c r="E21" s="303"/>
      <c r="F21" s="303"/>
      <c r="G21" s="328"/>
      <c r="H21" s="303"/>
      <c r="I21" s="328"/>
      <c r="J21" s="328"/>
      <c r="K21" s="328"/>
      <c r="L21" s="303"/>
      <c r="M21" s="304"/>
    </row>
    <row r="22" spans="1:13" ht="12.75">
      <c r="A22" s="281">
        <f t="shared" si="0"/>
        <v>18</v>
      </c>
      <c r="C22" s="314" t="s">
        <v>87</v>
      </c>
      <c r="D22" s="277"/>
      <c r="E22" s="277"/>
      <c r="F22" s="277"/>
      <c r="G22" s="277"/>
      <c r="H22" s="277"/>
      <c r="I22" s="277"/>
      <c r="J22" s="305"/>
      <c r="K22" s="305"/>
      <c r="L22" s="277"/>
      <c r="M22" s="306"/>
    </row>
    <row r="23" spans="1:13" ht="12.75">
      <c r="A23" s="281">
        <f t="shared" si="0"/>
        <v>19</v>
      </c>
      <c r="C23" s="54" t="str">
        <f aca="true" t="shared" si="6" ref="C23:F27">+C9</f>
        <v>Schedule 85</v>
      </c>
      <c r="D23" s="276">
        <f t="shared" si="6"/>
        <v>11696442</v>
      </c>
      <c r="E23" s="307">
        <f t="shared" si="6"/>
        <v>1812075</v>
      </c>
      <c r="F23" s="308">
        <f t="shared" si="6"/>
        <v>23062431</v>
      </c>
      <c r="G23" s="276">
        <v>232241.36</v>
      </c>
      <c r="H23" s="277"/>
      <c r="I23" s="277">
        <v>0</v>
      </c>
      <c r="J23" s="307">
        <f>ROUND(+G23+ROUND(I23,0),2)</f>
        <v>232241.36</v>
      </c>
      <c r="K23" s="307"/>
      <c r="L23" s="275">
        <f aca="true" t="shared" si="7" ref="L23:L28">+J23/E23/$J$19</f>
        <v>0.8255315535192661</v>
      </c>
      <c r="M23" s="306"/>
    </row>
    <row r="24" spans="1:13" ht="12.75">
      <c r="A24" s="281">
        <f t="shared" si="0"/>
        <v>20</v>
      </c>
      <c r="C24" s="54" t="str">
        <f t="shared" si="6"/>
        <v>Schedule 86</v>
      </c>
      <c r="D24" s="307">
        <f t="shared" si="6"/>
        <v>14895376.100000001</v>
      </c>
      <c r="E24" s="307">
        <f t="shared" si="6"/>
        <v>3861669</v>
      </c>
      <c r="F24" s="308">
        <f t="shared" si="6"/>
        <v>25430722</v>
      </c>
      <c r="G24" s="276">
        <v>1177570</v>
      </c>
      <c r="H24" s="277"/>
      <c r="I24" s="276">
        <f>+I10</f>
        <v>-278287.74330253</v>
      </c>
      <c r="J24" s="307">
        <f>ROUND(+G24+I24,2)</f>
        <v>899282.26</v>
      </c>
      <c r="K24" s="307"/>
      <c r="L24" s="275">
        <f t="shared" si="7"/>
        <v>1.5000000055086098</v>
      </c>
      <c r="M24" s="306"/>
    </row>
    <row r="25" spans="1:13" ht="12.75">
      <c r="A25" s="281">
        <f t="shared" si="0"/>
        <v>21</v>
      </c>
      <c r="C25" s="54" t="str">
        <f t="shared" si="6"/>
        <v>Schedule 87</v>
      </c>
      <c r="D25" s="307">
        <f t="shared" si="6"/>
        <v>25532438.100000005</v>
      </c>
      <c r="E25" s="307">
        <f t="shared" si="6"/>
        <v>1833431</v>
      </c>
      <c r="F25" s="308">
        <f t="shared" si="6"/>
        <v>61039920</v>
      </c>
      <c r="G25" s="276">
        <v>821983.14</v>
      </c>
      <c r="H25" s="277"/>
      <c r="I25" s="277">
        <v>0</v>
      </c>
      <c r="J25" s="307">
        <f>ROUND(+G25+ROUND(I25,0),2)</f>
        <v>821983.14</v>
      </c>
      <c r="K25" s="307"/>
      <c r="L25" s="275">
        <f t="shared" si="7"/>
        <v>2.8878100247769347</v>
      </c>
      <c r="M25" s="306"/>
    </row>
    <row r="26" spans="1:13" ht="12.75">
      <c r="A26" s="281">
        <f t="shared" si="0"/>
        <v>22</v>
      </c>
      <c r="C26" s="54" t="str">
        <f t="shared" si="6"/>
        <v>Schedule 57</v>
      </c>
      <c r="D26" s="307">
        <f t="shared" si="6"/>
        <v>9609137.100000001</v>
      </c>
      <c r="E26" s="307">
        <f t="shared" si="6"/>
        <v>9609137</v>
      </c>
      <c r="F26" s="308">
        <f t="shared" si="6"/>
        <v>142657890</v>
      </c>
      <c r="G26" s="276">
        <v>530039.49</v>
      </c>
      <c r="H26" s="277"/>
      <c r="I26" s="277">
        <v>0</v>
      </c>
      <c r="J26" s="307">
        <f>ROUND(+G26+I26,2)</f>
        <v>530039.49</v>
      </c>
      <c r="K26" s="307"/>
      <c r="L26" s="275">
        <f t="shared" si="7"/>
        <v>0.3552991122674937</v>
      </c>
      <c r="M26" s="306"/>
    </row>
    <row r="27" spans="1:13" ht="12.75">
      <c r="A27" s="281">
        <f t="shared" si="0"/>
        <v>23</v>
      </c>
      <c r="C27" s="54" t="str">
        <f t="shared" si="6"/>
        <v>Transport Contracts</v>
      </c>
      <c r="D27" s="307">
        <f t="shared" si="6"/>
        <v>1866947.5</v>
      </c>
      <c r="E27" s="307">
        <f t="shared" si="6"/>
        <v>1866947</v>
      </c>
      <c r="F27" s="308">
        <f t="shared" si="6"/>
        <v>46821465</v>
      </c>
      <c r="G27" s="276">
        <v>78007.89553057677</v>
      </c>
      <c r="H27" s="277"/>
      <c r="I27" s="277">
        <v>0</v>
      </c>
      <c r="J27" s="307">
        <f>ROUND(+G27+I27,2)</f>
        <v>78007.9</v>
      </c>
      <c r="K27" s="307"/>
      <c r="L27" s="275">
        <f t="shared" si="7"/>
        <v>0.26913915082868745</v>
      </c>
      <c r="M27" s="306"/>
    </row>
    <row r="28" spans="1:13" ht="12.75">
      <c r="A28" s="281">
        <f t="shared" si="0"/>
        <v>24</v>
      </c>
      <c r="C28" s="54" t="str">
        <f>+C17</f>
        <v>Other Revenue</v>
      </c>
      <c r="D28" s="307">
        <f>+D17</f>
        <v>2607100</v>
      </c>
      <c r="E28" s="307">
        <f>+E17</f>
        <v>2607100</v>
      </c>
      <c r="F28" s="308">
        <f>+F17</f>
        <v>0</v>
      </c>
      <c r="G28" s="277">
        <v>0</v>
      </c>
      <c r="H28" s="277"/>
      <c r="I28" s="277">
        <v>0</v>
      </c>
      <c r="J28" s="307">
        <f>ROUND(+G28+I28,2)</f>
        <v>0</v>
      </c>
      <c r="K28" s="307"/>
      <c r="L28" s="275">
        <f t="shared" si="7"/>
        <v>0</v>
      </c>
      <c r="M28" s="306"/>
    </row>
    <row r="29" spans="1:13" ht="12.75">
      <c r="A29" s="281">
        <f t="shared" si="0"/>
        <v>25</v>
      </c>
      <c r="C29" s="54"/>
      <c r="D29" s="277"/>
      <c r="E29" s="277"/>
      <c r="F29" s="308"/>
      <c r="G29" s="277"/>
      <c r="H29" s="277"/>
      <c r="I29" s="277"/>
      <c r="J29" s="277"/>
      <c r="K29" s="277"/>
      <c r="L29" s="277"/>
      <c r="M29" s="306"/>
    </row>
    <row r="30" spans="1:13" ht="12.75">
      <c r="A30" s="281">
        <f t="shared" si="0"/>
        <v>26</v>
      </c>
      <c r="C30" s="54" t="s">
        <v>88</v>
      </c>
      <c r="D30" s="291">
        <f>SUM(D23:D28)</f>
        <v>66207440.800000004</v>
      </c>
      <c r="E30" s="292">
        <f>SUM(E23:E28)</f>
        <v>21590359</v>
      </c>
      <c r="F30" s="293">
        <f>SUM(F23:F28)</f>
        <v>299012428</v>
      </c>
      <c r="G30" s="291">
        <f>SUM(G23:G28)</f>
        <v>2839841.885530577</v>
      </c>
      <c r="H30" s="277"/>
      <c r="I30" s="291">
        <f>SUM(I23:I28)</f>
        <v>-278287.74330253</v>
      </c>
      <c r="J30" s="291">
        <f>SUM(J23:J28)</f>
        <v>2561554.15</v>
      </c>
      <c r="K30" s="292"/>
      <c r="L30" s="292">
        <f>SUM(L23:L28)</f>
        <v>5.837779846900991</v>
      </c>
      <c r="M30" s="306"/>
    </row>
    <row r="31" spans="1:13" ht="12.75">
      <c r="A31" s="281">
        <f t="shared" si="0"/>
        <v>27</v>
      </c>
      <c r="C31" s="54"/>
      <c r="D31" s="280"/>
      <c r="E31" s="280"/>
      <c r="F31" s="280"/>
      <c r="G31" s="309"/>
      <c r="H31" s="280"/>
      <c r="I31" s="309"/>
      <c r="J31" s="309"/>
      <c r="K31" s="309"/>
      <c r="L31" s="309"/>
      <c r="M31" s="306"/>
    </row>
    <row r="32" spans="1:13" ht="12.75">
      <c r="A32" s="281">
        <f t="shared" si="0"/>
        <v>28</v>
      </c>
      <c r="C32" s="54" t="s">
        <v>89</v>
      </c>
      <c r="D32" s="310">
        <f>+D18-D30</f>
        <v>527908524.2000001</v>
      </c>
      <c r="E32" s="311">
        <f>+E18-E30</f>
        <v>199151168</v>
      </c>
      <c r="F32" s="293">
        <f>+F18-F30</f>
        <v>723305568</v>
      </c>
      <c r="G32" s="310">
        <f>+G18-G30</f>
        <v>35282421.114469424</v>
      </c>
      <c r="H32" s="280"/>
      <c r="I32" s="310">
        <f>+I18-I30</f>
        <v>-3574002.25669747</v>
      </c>
      <c r="J32" s="310">
        <f>+J18-J30</f>
        <v>31708418.85</v>
      </c>
      <c r="K32" s="311"/>
      <c r="L32" s="311">
        <f>+L18-L30</f>
        <v>-5.837779846900991</v>
      </c>
      <c r="M32" s="306"/>
    </row>
    <row r="33" spans="1:13" ht="12.75">
      <c r="A33" s="281">
        <f t="shared" si="0"/>
        <v>29</v>
      </c>
      <c r="C33" s="54"/>
      <c r="D33" s="280"/>
      <c r="E33" s="280"/>
      <c r="F33" s="280"/>
      <c r="G33" s="280"/>
      <c r="H33" s="280"/>
      <c r="I33" s="280"/>
      <c r="J33" s="280"/>
      <c r="K33" s="280"/>
      <c r="L33" s="280"/>
      <c r="M33" s="306"/>
    </row>
    <row r="34" spans="1:13" ht="13.5" thickBot="1">
      <c r="A34" s="281">
        <f t="shared" si="0"/>
        <v>30</v>
      </c>
      <c r="C34" s="54" t="s">
        <v>90</v>
      </c>
      <c r="D34" s="312">
        <f>+D32+D30</f>
        <v>594115965.0000001</v>
      </c>
      <c r="E34" s="313">
        <f>+E32+E30</f>
        <v>220741527</v>
      </c>
      <c r="F34" s="299">
        <f>+F32+F30</f>
        <v>1022317996</v>
      </c>
      <c r="G34" s="312">
        <f>+G32+G30</f>
        <v>38122263</v>
      </c>
      <c r="H34" s="280"/>
      <c r="I34" s="312">
        <f>+I32+I30</f>
        <v>-3852290</v>
      </c>
      <c r="J34" s="313">
        <f>+J32+J30</f>
        <v>34269973</v>
      </c>
      <c r="K34" s="313"/>
      <c r="L34" s="313">
        <f>+L32+L30</f>
        <v>0</v>
      </c>
      <c r="M34" s="306"/>
    </row>
    <row r="35" spans="1:13" ht="13.5" thickTop="1">
      <c r="A35" s="281">
        <f t="shared" si="0"/>
        <v>31</v>
      </c>
      <c r="C35" s="54"/>
      <c r="D35" s="280"/>
      <c r="E35" s="280"/>
      <c r="F35" s="280"/>
      <c r="G35" s="280"/>
      <c r="H35" s="280"/>
      <c r="I35" s="280"/>
      <c r="J35" s="280"/>
      <c r="K35" s="280"/>
      <c r="L35" s="280"/>
      <c r="M35" s="306"/>
    </row>
    <row r="36" spans="1:13" ht="12.75">
      <c r="A36" s="281">
        <f t="shared" si="0"/>
        <v>32</v>
      </c>
      <c r="C36" s="54"/>
      <c r="D36" s="280"/>
      <c r="E36" s="280"/>
      <c r="F36" s="280"/>
      <c r="G36" s="280"/>
      <c r="H36" s="280"/>
      <c r="I36" s="280"/>
      <c r="J36" s="288"/>
      <c r="K36" s="280"/>
      <c r="L36" s="280"/>
      <c r="M36" s="306"/>
    </row>
    <row r="37" spans="1:13" ht="12.75">
      <c r="A37" s="281">
        <f t="shared" si="0"/>
        <v>33</v>
      </c>
      <c r="C37" s="54"/>
      <c r="D37" s="280"/>
      <c r="E37" s="280"/>
      <c r="F37" s="280"/>
      <c r="G37" s="329" t="s">
        <v>91</v>
      </c>
      <c r="H37" s="330"/>
      <c r="I37" s="331">
        <f>+SUM(G23:G27)/$G$18*I18</f>
        <v>-286968.6539125599</v>
      </c>
      <c r="J37" s="280"/>
      <c r="K37" s="280"/>
      <c r="L37" s="280"/>
      <c r="M37" s="306"/>
    </row>
    <row r="38" spans="1:13" ht="12.75">
      <c r="A38" s="281">
        <f t="shared" si="0"/>
        <v>34</v>
      </c>
      <c r="C38" s="314"/>
      <c r="D38" s="315"/>
      <c r="E38" s="315"/>
      <c r="F38" s="315"/>
      <c r="G38" s="315"/>
      <c r="H38" s="315"/>
      <c r="I38" s="315"/>
      <c r="J38" s="315"/>
      <c r="K38" s="315"/>
      <c r="L38" s="315"/>
      <c r="M38" s="316"/>
    </row>
    <row r="39" ht="12.75">
      <c r="A39" s="281">
        <f t="shared" si="0"/>
        <v>35</v>
      </c>
    </row>
    <row r="40" ht="12.75">
      <c r="A40" s="281">
        <f t="shared" si="0"/>
        <v>36</v>
      </c>
    </row>
    <row r="41" spans="1:12" ht="12.75">
      <c r="A41" s="281">
        <f t="shared" si="0"/>
        <v>37</v>
      </c>
      <c r="C41" s="317"/>
      <c r="D41" s="318"/>
      <c r="E41" s="318"/>
      <c r="F41" s="318"/>
      <c r="G41" s="318"/>
      <c r="H41" s="318"/>
      <c r="I41" s="318"/>
      <c r="J41" s="318"/>
      <c r="K41" s="318"/>
      <c r="L41" s="304"/>
    </row>
    <row r="42" spans="1:12" ht="25.5">
      <c r="A42" s="281">
        <f t="shared" si="0"/>
        <v>38</v>
      </c>
      <c r="C42" s="314" t="s">
        <v>92</v>
      </c>
      <c r="D42" s="280"/>
      <c r="E42" s="280"/>
      <c r="F42" s="280"/>
      <c r="G42" s="280"/>
      <c r="H42" s="332" t="s">
        <v>93</v>
      </c>
      <c r="I42" s="332" t="s">
        <v>94</v>
      </c>
      <c r="J42" s="322" t="s">
        <v>67</v>
      </c>
      <c r="K42" s="333"/>
      <c r="L42" s="306"/>
    </row>
    <row r="43" spans="1:12" ht="12.75">
      <c r="A43" s="281">
        <f t="shared" si="0"/>
        <v>39</v>
      </c>
      <c r="C43" s="54" t="str">
        <f aca="true" t="shared" si="8" ref="C43:F45">+C6</f>
        <v>Residential</v>
      </c>
      <c r="D43" s="307">
        <f t="shared" si="8"/>
        <v>353416329.7</v>
      </c>
      <c r="E43" s="307">
        <f t="shared" si="8"/>
        <v>135450919</v>
      </c>
      <c r="F43" s="308">
        <f t="shared" si="8"/>
        <v>471059343</v>
      </c>
      <c r="G43" s="307">
        <f>+($G$32-$G$44-$G$46)/($E$32-$E$44-$E$46)*E43</f>
        <v>26008916.873640604</v>
      </c>
      <c r="H43" s="319">
        <f>+G43/E43/$G$19</f>
        <v>1.1118486677107593</v>
      </c>
      <c r="I43" s="319">
        <f>+G43/E43</f>
        <v>0.19201727877269406</v>
      </c>
      <c r="J43" s="319">
        <f>+G43/$G$49</f>
        <v>0.7371636087347267</v>
      </c>
      <c r="K43" s="319"/>
      <c r="L43" s="306"/>
    </row>
    <row r="44" spans="1:12" ht="12.75">
      <c r="A44" s="281">
        <f t="shared" si="0"/>
        <v>40</v>
      </c>
      <c r="C44" s="54" t="str">
        <f t="shared" si="8"/>
        <v>C&amp;I Heating</v>
      </c>
      <c r="D44" s="307">
        <f t="shared" si="8"/>
        <v>136950962.29999998</v>
      </c>
      <c r="E44" s="307">
        <f t="shared" si="8"/>
        <v>47347332</v>
      </c>
      <c r="F44" s="308">
        <f t="shared" si="8"/>
        <v>199119941</v>
      </c>
      <c r="G44" s="307">
        <f>+H44*G19*$E$44</f>
        <v>6132695.558182113</v>
      </c>
      <c r="H44" s="319">
        <v>0.75</v>
      </c>
      <c r="I44" s="319">
        <f>+G44/E44</f>
        <v>0.12952568390088195</v>
      </c>
      <c r="J44" s="319">
        <f>+G44/$G$49</f>
        <v>0.173817310843985</v>
      </c>
      <c r="K44" s="319"/>
      <c r="L44" s="306"/>
    </row>
    <row r="45" spans="1:12" ht="12.75">
      <c r="A45" s="281">
        <f t="shared" si="0"/>
        <v>41</v>
      </c>
      <c r="C45" s="54" t="str">
        <f t="shared" si="8"/>
        <v>Schedule 41</v>
      </c>
      <c r="D45" s="307">
        <f t="shared" si="8"/>
        <v>29263579.1</v>
      </c>
      <c r="E45" s="307">
        <f t="shared" si="8"/>
        <v>8099536</v>
      </c>
      <c r="F45" s="308">
        <f t="shared" si="8"/>
        <v>53061652</v>
      </c>
      <c r="G45" s="307">
        <f>+($G$32-$G$44-$G$46)/($E$32-$E$44-$E$46)*E45</f>
        <v>1555250.8620414713</v>
      </c>
      <c r="H45" s="319">
        <f>+G45/E45/$G$19</f>
        <v>1.1118486677107593</v>
      </c>
      <c r="I45" s="319">
        <f>+G45/E45</f>
        <v>0.19201727877269406</v>
      </c>
      <c r="J45" s="319">
        <f>+G45/$G$49</f>
        <v>0.04408004929694743</v>
      </c>
      <c r="K45" s="319"/>
      <c r="L45" s="306"/>
    </row>
    <row r="46" spans="1:12" ht="12.75">
      <c r="A46" s="281">
        <f t="shared" si="0"/>
        <v>42</v>
      </c>
      <c r="C46" s="54" t="str">
        <f aca="true" t="shared" si="9" ref="C46:F47">+C14</f>
        <v>CNG</v>
      </c>
      <c r="D46" s="307">
        <f t="shared" si="9"/>
        <v>56380.1</v>
      </c>
      <c r="E46" s="307">
        <f t="shared" si="9"/>
        <v>32108</v>
      </c>
      <c r="F46" s="308">
        <f t="shared" si="9"/>
        <v>64632</v>
      </c>
      <c r="G46" s="307">
        <f>+H46*$G$19*E46</f>
        <v>6931.351097815864</v>
      </c>
      <c r="H46" s="319">
        <v>1.25</v>
      </c>
      <c r="I46" s="319">
        <f>+G46/E46</f>
        <v>0.21587613983480328</v>
      </c>
      <c r="J46" s="319">
        <f>+G46/$G$49</f>
        <v>0.00019645338610204657</v>
      </c>
      <c r="K46" s="319"/>
      <c r="L46" s="306"/>
    </row>
    <row r="47" spans="1:12" ht="12.75">
      <c r="A47" s="281">
        <f t="shared" si="0"/>
        <v>43</v>
      </c>
      <c r="C47" s="54" t="str">
        <f t="shared" si="9"/>
        <v>Rentals</v>
      </c>
      <c r="D47" s="307">
        <f t="shared" si="9"/>
        <v>8221273</v>
      </c>
      <c r="E47" s="307">
        <f t="shared" si="9"/>
        <v>8221273</v>
      </c>
      <c r="F47" s="308">
        <f t="shared" si="9"/>
        <v>0</v>
      </c>
      <c r="G47" s="307">
        <f>+($G$32-$G$44-$G$46)/($E$32-$E$44-$E$46)*E47</f>
        <v>1578626.4695074228</v>
      </c>
      <c r="H47" s="319">
        <f>+G47/E47/$G$19</f>
        <v>1.1118486677107593</v>
      </c>
      <c r="I47" s="319">
        <f>+G47/E47</f>
        <v>0.19201727877269406</v>
      </c>
      <c r="J47" s="319">
        <f>+G47/$G$49</f>
        <v>0.04474257773823869</v>
      </c>
      <c r="K47" s="319"/>
      <c r="L47" s="306"/>
    </row>
    <row r="48" spans="1:12" ht="12.75">
      <c r="A48" s="281">
        <f t="shared" si="0"/>
        <v>44</v>
      </c>
      <c r="C48" s="54"/>
      <c r="D48" s="280"/>
      <c r="E48" s="280"/>
      <c r="F48" s="308"/>
      <c r="G48" s="280"/>
      <c r="H48" s="280"/>
      <c r="I48" s="280"/>
      <c r="J48" s="280"/>
      <c r="K48" s="280"/>
      <c r="L48" s="306"/>
    </row>
    <row r="49" spans="1:12" ht="12.75">
      <c r="A49" s="281">
        <f t="shared" si="0"/>
        <v>45</v>
      </c>
      <c r="C49" s="54" t="s">
        <v>95</v>
      </c>
      <c r="D49" s="295">
        <f>SUM(D43:D47)</f>
        <v>527908524.20000005</v>
      </c>
      <c r="E49" s="295">
        <f>+SUM(E43:E47)</f>
        <v>199151168</v>
      </c>
      <c r="F49" s="293">
        <f>+SUM(F43:F47)</f>
        <v>723305568</v>
      </c>
      <c r="G49" s="295">
        <f>+SUM(G43:G47)</f>
        <v>35282421.11446943</v>
      </c>
      <c r="H49" s="280"/>
      <c r="I49" s="320">
        <f>+G49/E49</f>
        <v>0.17716401801102885</v>
      </c>
      <c r="J49" s="320">
        <f>+G49/$G$49</f>
        <v>1</v>
      </c>
      <c r="K49" s="319"/>
      <c r="L49" s="306"/>
    </row>
    <row r="50" spans="1:12" ht="12.75">
      <c r="A50" s="281">
        <f t="shared" si="0"/>
        <v>46</v>
      </c>
      <c r="C50" s="314"/>
      <c r="D50" s="315"/>
      <c r="E50" s="315"/>
      <c r="F50" s="315"/>
      <c r="G50" s="315"/>
      <c r="H50" s="315"/>
      <c r="I50" s="315"/>
      <c r="J50" s="315"/>
      <c r="K50" s="315"/>
      <c r="L50" s="316"/>
    </row>
    <row r="51" ht="12.75">
      <c r="A51" s="281">
        <f t="shared" si="0"/>
        <v>47</v>
      </c>
    </row>
    <row r="52" ht="12.75">
      <c r="A52" s="281">
        <f t="shared" si="0"/>
        <v>48</v>
      </c>
    </row>
    <row r="53" ht="12.75">
      <c r="A53" s="281">
        <f t="shared" si="0"/>
        <v>49</v>
      </c>
    </row>
    <row r="54" ht="12.75">
      <c r="A54" s="281">
        <f t="shared" si="0"/>
        <v>50</v>
      </c>
    </row>
  </sheetData>
  <mergeCells count="1">
    <mergeCell ref="A2:N2"/>
  </mergeCells>
  <printOptions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&amp;CPuget Sound Energy - Gas
Rate Spread
&amp;RRate Spread Appendix
Page &amp;P of &amp;N
For Settlement Purposes Only</oddHeader>
    <oddFooter>&amp;R&amp;D &amp;T
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75" zoomScaleNormal="75" workbookViewId="0" topLeftCell="A1">
      <selection activeCell="E27" sqref="E26:E27"/>
    </sheetView>
  </sheetViews>
  <sheetFormatPr defaultColWidth="9.140625" defaultRowHeight="12.75"/>
  <cols>
    <col min="1" max="1" width="23.28125" style="15" customWidth="1"/>
    <col min="2" max="2" width="12.00390625" style="149" customWidth="1"/>
    <col min="3" max="3" width="10.140625" style="149" customWidth="1"/>
    <col min="4" max="4" width="16.00390625" style="149" customWidth="1"/>
    <col min="5" max="5" width="11.140625" style="139" customWidth="1"/>
    <col min="6" max="6" width="10.7109375" style="20" customWidth="1"/>
    <col min="7" max="7" width="25.7109375" style="127" customWidth="1"/>
    <col min="8" max="8" width="14.28125" style="20" customWidth="1"/>
    <col min="9" max="9" width="8.28125" style="193" customWidth="1"/>
    <col min="10" max="10" width="22.00390625" style="20" customWidth="1"/>
    <col min="11" max="11" width="9.140625" style="20" customWidth="1"/>
    <col min="12" max="12" width="21.421875" style="20" customWidth="1"/>
    <col min="13" max="16384" width="9.140625" style="20" customWidth="1"/>
  </cols>
  <sheetData>
    <row r="1" spans="1:10" ht="12.75">
      <c r="A1" s="120"/>
      <c r="B1" s="121"/>
      <c r="C1" s="121"/>
      <c r="D1" s="122"/>
      <c r="E1" s="121"/>
      <c r="F1" s="121"/>
      <c r="G1" s="123"/>
      <c r="H1" s="49"/>
      <c r="I1" s="124"/>
      <c r="J1" s="125"/>
    </row>
    <row r="2" spans="1:10" ht="12.75">
      <c r="A2" s="376" t="s">
        <v>208</v>
      </c>
      <c r="B2" s="377"/>
      <c r="C2" s="377"/>
      <c r="D2" s="377"/>
      <c r="E2" s="377"/>
      <c r="F2" s="377"/>
      <c r="G2" s="377"/>
      <c r="H2" s="377"/>
      <c r="I2" s="378"/>
      <c r="J2" s="125"/>
    </row>
    <row r="3" spans="1:10" ht="25.5" customHeight="1">
      <c r="A3" s="376" t="s">
        <v>209</v>
      </c>
      <c r="B3" s="377"/>
      <c r="C3" s="377"/>
      <c r="D3" s="377"/>
      <c r="E3" s="377"/>
      <c r="F3" s="377"/>
      <c r="G3" s="377"/>
      <c r="H3" s="377"/>
      <c r="I3" s="378"/>
      <c r="J3" s="125"/>
    </row>
    <row r="4" spans="1:10" ht="12.75">
      <c r="A4" s="129"/>
      <c r="B4" s="189"/>
      <c r="C4" s="189"/>
      <c r="D4" s="252"/>
      <c r="E4" s="189"/>
      <c r="F4" s="189"/>
      <c r="G4" s="172"/>
      <c r="H4" s="172"/>
      <c r="I4" s="128"/>
      <c r="J4" s="125"/>
    </row>
    <row r="5" spans="1:10" ht="12.75">
      <c r="A5" s="129"/>
      <c r="B5" s="189"/>
      <c r="C5" s="189"/>
      <c r="D5" s="252"/>
      <c r="E5" s="189"/>
      <c r="F5" s="189"/>
      <c r="G5" s="172"/>
      <c r="H5" s="252"/>
      <c r="I5" s="130"/>
      <c r="J5" s="125"/>
    </row>
    <row r="6" spans="1:10" ht="12.75">
      <c r="A6" s="131"/>
      <c r="B6" s="196" t="s">
        <v>147</v>
      </c>
      <c r="C6" s="253" t="s">
        <v>148</v>
      </c>
      <c r="D6" s="254"/>
      <c r="E6" s="196"/>
      <c r="F6" s="253" t="s">
        <v>149</v>
      </c>
      <c r="G6" s="255"/>
      <c r="H6" s="254" t="s">
        <v>150</v>
      </c>
      <c r="I6" s="133"/>
      <c r="J6" s="132"/>
    </row>
    <row r="7" spans="1:10" ht="12.75">
      <c r="A7" s="134" t="s">
        <v>46</v>
      </c>
      <c r="B7" s="135" t="s">
        <v>151</v>
      </c>
      <c r="C7" s="135" t="s">
        <v>152</v>
      </c>
      <c r="D7" s="136" t="s">
        <v>153</v>
      </c>
      <c r="E7" s="135" t="s">
        <v>59</v>
      </c>
      <c r="F7" s="135" t="s">
        <v>152</v>
      </c>
      <c r="G7" s="137" t="s">
        <v>153</v>
      </c>
      <c r="H7" s="137" t="s">
        <v>154</v>
      </c>
      <c r="I7" s="138" t="s">
        <v>58</v>
      </c>
      <c r="J7" s="132"/>
    </row>
    <row r="8" spans="1:9" ht="12.75">
      <c r="A8" s="51"/>
      <c r="B8" s="48"/>
      <c r="C8" s="189"/>
      <c r="D8" s="189"/>
      <c r="E8" s="170"/>
      <c r="F8" s="48"/>
      <c r="G8" s="172"/>
      <c r="H8" s="48"/>
      <c r="I8" s="140"/>
    </row>
    <row r="9" spans="1:10" ht="12.75">
      <c r="A9" s="141" t="s">
        <v>224</v>
      </c>
      <c r="B9" s="189"/>
      <c r="C9" s="189"/>
      <c r="D9" s="189"/>
      <c r="E9" s="256"/>
      <c r="F9" s="48"/>
      <c r="G9" s="172"/>
      <c r="H9" s="48"/>
      <c r="I9" s="140"/>
      <c r="J9" s="247" t="s">
        <v>210</v>
      </c>
    </row>
    <row r="10" spans="1:10" ht="12.75">
      <c r="A10" s="142" t="s">
        <v>155</v>
      </c>
      <c r="B10" s="170">
        <f>E10</f>
        <v>1356588</v>
      </c>
      <c r="C10" s="172">
        <v>4.46</v>
      </c>
      <c r="D10" s="172">
        <f>SUM(+B10*C10)</f>
        <v>6050382.4799999995</v>
      </c>
      <c r="E10" s="170">
        <v>1356588</v>
      </c>
      <c r="F10" s="172">
        <v>5.5</v>
      </c>
      <c r="G10" s="172">
        <f>SUM(+E10*F10)</f>
        <v>7461234</v>
      </c>
      <c r="H10" s="48"/>
      <c r="I10" s="140"/>
      <c r="J10" s="154">
        <v>158794165.70136508</v>
      </c>
    </row>
    <row r="11" spans="1:10" ht="12.75">
      <c r="A11" s="51" t="s">
        <v>156</v>
      </c>
      <c r="B11" s="170">
        <f>E11</f>
        <v>75488835</v>
      </c>
      <c r="C11" s="171">
        <v>0.68861</v>
      </c>
      <c r="D11" s="172">
        <f>ROUND(B11*C11,2)</f>
        <v>51982366.67</v>
      </c>
      <c r="E11" s="170">
        <v>75488835</v>
      </c>
      <c r="F11" s="171">
        <v>0.26113</v>
      </c>
      <c r="G11" s="172">
        <f>ROUND(E11*F11,2)</f>
        <v>19712399.48</v>
      </c>
      <c r="H11" s="171"/>
      <c r="I11" s="52"/>
      <c r="J11" s="154" t="s">
        <v>211</v>
      </c>
    </row>
    <row r="12" spans="1:10" ht="12.75">
      <c r="A12" s="51"/>
      <c r="B12" s="170"/>
      <c r="C12" s="171"/>
      <c r="D12" s="172"/>
      <c r="E12" s="170"/>
      <c r="F12" s="171"/>
      <c r="G12" s="172"/>
      <c r="H12" s="171"/>
      <c r="I12" s="52"/>
      <c r="J12" s="248">
        <f>G13+G24-J10</f>
        <v>-3387.3213650882244</v>
      </c>
    </row>
    <row r="13" spans="1:10" ht="12.75">
      <c r="A13" s="142" t="s">
        <v>157</v>
      </c>
      <c r="B13" s="189"/>
      <c r="C13" s="189"/>
      <c r="D13" s="48"/>
      <c r="E13" s="170">
        <f>SUM(E11)</f>
        <v>75488835</v>
      </c>
      <c r="F13" s="48"/>
      <c r="G13" s="172">
        <f>SUM(G10+G11)</f>
        <v>27173633.48</v>
      </c>
      <c r="H13" s="48"/>
      <c r="I13" s="143"/>
      <c r="J13" s="144"/>
    </row>
    <row r="14" spans="1:12" ht="24.75" customHeight="1">
      <c r="A14" s="51"/>
      <c r="B14" s="189"/>
      <c r="C14" s="189"/>
      <c r="D14" s="189"/>
      <c r="E14" s="170"/>
      <c r="F14" s="48"/>
      <c r="G14" s="172"/>
      <c r="H14" s="48"/>
      <c r="I14" s="140"/>
      <c r="J14" s="50" t="s">
        <v>225</v>
      </c>
      <c r="K14" s="50" t="s">
        <v>226</v>
      </c>
      <c r="L14" s="50" t="s">
        <v>227</v>
      </c>
    </row>
    <row r="15" spans="1:12" ht="12.75">
      <c r="A15" s="51" t="s">
        <v>158</v>
      </c>
      <c r="B15" s="189"/>
      <c r="C15" s="189"/>
      <c r="D15" s="252"/>
      <c r="E15" s="48"/>
      <c r="F15" s="171">
        <v>0.46273</v>
      </c>
      <c r="G15" s="172">
        <f>F15*E13</f>
        <v>34930948.61955</v>
      </c>
      <c r="H15" s="48"/>
      <c r="I15" s="52"/>
      <c r="J15" s="340">
        <v>0.443</v>
      </c>
      <c r="K15" s="144">
        <v>1.04454</v>
      </c>
      <c r="L15" s="144">
        <f>ROUND(J15*K15,5)</f>
        <v>0.46273</v>
      </c>
    </row>
    <row r="16" spans="1:9" ht="12.75">
      <c r="A16" s="51"/>
      <c r="B16" s="189"/>
      <c r="C16" s="189"/>
      <c r="D16" s="189"/>
      <c r="E16" s="170"/>
      <c r="F16" s="173"/>
      <c r="G16" s="172"/>
      <c r="H16" s="48"/>
      <c r="I16" s="52"/>
    </row>
    <row r="17" spans="1:9" ht="13.5" thickBot="1">
      <c r="A17" s="142" t="s">
        <v>159</v>
      </c>
      <c r="B17" s="189"/>
      <c r="C17" s="189"/>
      <c r="D17" s="145">
        <f>SUM(D10:D11)</f>
        <v>58032749.15</v>
      </c>
      <c r="E17" s="170"/>
      <c r="F17" s="48"/>
      <c r="G17" s="146">
        <f>G13+G15</f>
        <v>62104582.099549994</v>
      </c>
      <c r="H17" s="147">
        <f>G17-D17</f>
        <v>4071832.9495499954</v>
      </c>
      <c r="I17" s="148">
        <f>ROUND(H17/D17,5)</f>
        <v>0.07016</v>
      </c>
    </row>
    <row r="18" spans="1:9" ht="13.5" thickTop="1">
      <c r="A18" s="51"/>
      <c r="B18" s="189"/>
      <c r="C18" s="189"/>
      <c r="D18" s="189"/>
      <c r="E18" s="170"/>
      <c r="F18" s="48"/>
      <c r="G18" s="172"/>
      <c r="H18" s="48"/>
      <c r="I18" s="52"/>
    </row>
    <row r="19" spans="1:9" ht="12.75">
      <c r="A19" s="141" t="s">
        <v>160</v>
      </c>
      <c r="B19" s="189"/>
      <c r="C19" s="189"/>
      <c r="D19" s="189"/>
      <c r="E19" s="170"/>
      <c r="F19" s="48"/>
      <c r="G19" s="172"/>
      <c r="H19" s="48"/>
      <c r="I19" s="52"/>
    </row>
    <row r="20" spans="1:9" ht="12.75">
      <c r="A20" s="142"/>
      <c r="B20" s="189"/>
      <c r="C20" s="189"/>
      <c r="D20" s="189"/>
      <c r="E20" s="256"/>
      <c r="F20" s="48"/>
      <c r="G20" s="172"/>
      <c r="H20" s="48"/>
      <c r="I20" s="52"/>
    </row>
    <row r="21" spans="1:9" ht="12.75">
      <c r="A21" s="142" t="s">
        <v>155</v>
      </c>
      <c r="B21" s="170">
        <f>E21</f>
        <v>5152296</v>
      </c>
      <c r="C21" s="172">
        <v>4.46</v>
      </c>
      <c r="D21" s="172">
        <f>ROUND(B21*C21,2)</f>
        <v>22979240.16</v>
      </c>
      <c r="E21" s="170">
        <v>5152296</v>
      </c>
      <c r="F21" s="172">
        <f>F10</f>
        <v>5.5</v>
      </c>
      <c r="G21" s="172">
        <f>ROUND(E21*F21,2)</f>
        <v>28337628</v>
      </c>
      <c r="H21" s="48"/>
      <c r="I21" s="52"/>
    </row>
    <row r="22" spans="1:9" ht="12.75">
      <c r="A22" s="51" t="s">
        <v>156</v>
      </c>
      <c r="B22" s="170">
        <f>E22</f>
        <v>395509964</v>
      </c>
      <c r="C22" s="171">
        <v>0.68861</v>
      </c>
      <c r="D22" s="172">
        <f>ROUND(B22*C22,2)</f>
        <v>272352116.31</v>
      </c>
      <c r="E22" s="170">
        <v>395509964</v>
      </c>
      <c r="F22" s="171">
        <f>F11</f>
        <v>0.26113</v>
      </c>
      <c r="G22" s="172">
        <f>ROUND(E22*F22,2)</f>
        <v>103279516.9</v>
      </c>
      <c r="H22" s="171"/>
      <c r="I22" s="52"/>
    </row>
    <row r="23" spans="1:10" ht="12.75">
      <c r="A23" s="129"/>
      <c r="B23" s="257"/>
      <c r="C23" s="257"/>
      <c r="D23" s="257"/>
      <c r="E23" s="258"/>
      <c r="F23" s="171"/>
      <c r="G23" s="172"/>
      <c r="H23" s="239"/>
      <c r="I23" s="150"/>
      <c r="J23" s="125"/>
    </row>
    <row r="24" spans="1:10" ht="12.75">
      <c r="A24" s="142" t="s">
        <v>157</v>
      </c>
      <c r="B24" s="189"/>
      <c r="C24" s="189"/>
      <c r="D24" s="189"/>
      <c r="E24" s="170">
        <f>SUM(E22)</f>
        <v>395509964</v>
      </c>
      <c r="F24" s="171"/>
      <c r="G24" s="172">
        <f>SUM(G21:G22)</f>
        <v>131617144.9</v>
      </c>
      <c r="H24" s="48"/>
      <c r="I24" s="52"/>
      <c r="J24" s="144"/>
    </row>
    <row r="25" spans="1:10" ht="12.75">
      <c r="A25" s="51"/>
      <c r="B25" s="189"/>
      <c r="C25" s="189"/>
      <c r="D25" s="48"/>
      <c r="E25" s="48"/>
      <c r="F25" s="170"/>
      <c r="G25" s="172"/>
      <c r="H25" s="48"/>
      <c r="I25" s="52"/>
      <c r="J25" s="127"/>
    </row>
    <row r="26" spans="1:10" ht="12.75">
      <c r="A26" s="51" t="s">
        <v>158</v>
      </c>
      <c r="B26" s="189"/>
      <c r="C26" s="189"/>
      <c r="D26" s="252"/>
      <c r="E26" s="48"/>
      <c r="F26" s="171">
        <f>+L15</f>
        <v>0.46273</v>
      </c>
      <c r="G26" s="172">
        <f>E24*F26</f>
        <v>183014325.64172</v>
      </c>
      <c r="H26" s="48"/>
      <c r="I26" s="52"/>
      <c r="J26" s="127"/>
    </row>
    <row r="27" spans="1:9" ht="12.75">
      <c r="A27" s="51"/>
      <c r="B27" s="189"/>
      <c r="C27" s="189"/>
      <c r="D27" s="189"/>
      <c r="E27" s="170"/>
      <c r="F27" s="173"/>
      <c r="G27" s="172"/>
      <c r="H27" s="48"/>
      <c r="I27" s="52"/>
    </row>
    <row r="28" spans="1:9" ht="13.5" thickBot="1">
      <c r="A28" s="142" t="s">
        <v>159</v>
      </c>
      <c r="B28" s="189"/>
      <c r="C28" s="189"/>
      <c r="D28" s="146">
        <f>SUM(D21:D24)</f>
        <v>295331356.47</v>
      </c>
      <c r="E28" s="177"/>
      <c r="F28" s="151"/>
      <c r="G28" s="146">
        <f>SUM(G26+G24)</f>
        <v>314631470.54172003</v>
      </c>
      <c r="H28" s="147">
        <f>G28-D28</f>
        <v>19300114.071720004</v>
      </c>
      <c r="I28" s="148">
        <f>ROUND(H28/D28,5)</f>
        <v>0.06535</v>
      </c>
    </row>
    <row r="29" spans="1:10" ht="13.5" thickTop="1">
      <c r="A29" s="51"/>
      <c r="B29" s="48"/>
      <c r="C29" s="48"/>
      <c r="D29" s="48"/>
      <c r="E29" s="258"/>
      <c r="F29" s="48"/>
      <c r="G29" s="172"/>
      <c r="H29" s="48"/>
      <c r="I29" s="52"/>
      <c r="J29" s="125"/>
    </row>
    <row r="30" spans="1:10" ht="13.5" thickBot="1">
      <c r="A30" s="152" t="s">
        <v>212</v>
      </c>
      <c r="B30" s="189"/>
      <c r="C30" s="189"/>
      <c r="D30" s="153">
        <f>+D28+D17</f>
        <v>353364105.62</v>
      </c>
      <c r="E30" s="258"/>
      <c r="F30" s="189"/>
      <c r="G30" s="341">
        <f>+G28+G17+G42</f>
        <v>376759673.02183</v>
      </c>
      <c r="H30" s="147">
        <f>+H28+H17+H42</f>
        <v>23374534.61183</v>
      </c>
      <c r="I30" s="148">
        <f>ROUND(H30/D30,5)</f>
        <v>0.06615</v>
      </c>
      <c r="J30" s="125"/>
    </row>
    <row r="31" spans="1:9" ht="13.5" thickTop="1">
      <c r="A31" s="51"/>
      <c r="B31" s="48"/>
      <c r="C31" s="48"/>
      <c r="D31" s="48"/>
      <c r="E31" s="48"/>
      <c r="F31" s="48"/>
      <c r="G31" s="172"/>
      <c r="H31" s="48"/>
      <c r="I31" s="52"/>
    </row>
    <row r="32" spans="1:10" ht="12.75">
      <c r="A32" s="141" t="s">
        <v>161</v>
      </c>
      <c r="B32" s="259" t="s">
        <v>162</v>
      </c>
      <c r="C32" s="48"/>
      <c r="D32" s="172"/>
      <c r="E32" s="259" t="s">
        <v>162</v>
      </c>
      <c r="F32" s="48"/>
      <c r="G32" s="172"/>
      <c r="H32" s="48"/>
      <c r="I32" s="140"/>
      <c r="J32" s="249" t="s">
        <v>210</v>
      </c>
    </row>
    <row r="33" spans="1:10" ht="12.75">
      <c r="A33" s="142" t="s">
        <v>163</v>
      </c>
      <c r="B33" s="170">
        <f>E33</f>
        <v>759</v>
      </c>
      <c r="C33" s="171">
        <v>17.65</v>
      </c>
      <c r="D33" s="172">
        <f>ROUND(B33*C33,2)</f>
        <v>13396.35</v>
      </c>
      <c r="E33" s="170">
        <v>759</v>
      </c>
      <c r="F33" s="172">
        <v>11.78</v>
      </c>
      <c r="G33" s="172">
        <f>ROUND(E33*F33,2)</f>
        <v>8941.02</v>
      </c>
      <c r="H33" s="48"/>
      <c r="I33" s="140"/>
      <c r="J33" s="250">
        <v>13726.079740494037</v>
      </c>
    </row>
    <row r="34" spans="1:10" ht="12.75">
      <c r="A34" s="51" t="s">
        <v>164</v>
      </c>
      <c r="B34" s="170">
        <f>E34</f>
        <v>236</v>
      </c>
      <c r="C34" s="171">
        <v>16.91</v>
      </c>
      <c r="D34" s="172">
        <f>ROUND(B34*C34,2)</f>
        <v>3990.76</v>
      </c>
      <c r="E34" s="170">
        <v>236</v>
      </c>
      <c r="F34" s="172">
        <f>F33-1</f>
        <v>10.78</v>
      </c>
      <c r="G34" s="172">
        <f>ROUND(E34*F34,2)</f>
        <v>2544.08</v>
      </c>
      <c r="H34" s="48"/>
      <c r="I34" s="140"/>
      <c r="J34" s="250" t="s">
        <v>211</v>
      </c>
    </row>
    <row r="35" spans="1:10" ht="12.75">
      <c r="A35" s="51" t="s">
        <v>165</v>
      </c>
      <c r="B35" s="170">
        <f>E35</f>
        <v>229</v>
      </c>
      <c r="C35" s="171">
        <v>15.92</v>
      </c>
      <c r="D35" s="172">
        <f>ROUND(B35*C35,2)</f>
        <v>3645.68</v>
      </c>
      <c r="E35" s="170">
        <v>229</v>
      </c>
      <c r="F35" s="172">
        <f>F34-1</f>
        <v>9.78</v>
      </c>
      <c r="G35" s="172">
        <f>ROUND(E35*F35,2)</f>
        <v>2239.62</v>
      </c>
      <c r="H35" s="48"/>
      <c r="I35" s="140"/>
      <c r="J35" s="251">
        <f>G38-J33</f>
        <v>-1.3597404940355773</v>
      </c>
    </row>
    <row r="36" spans="1:9" ht="12.75">
      <c r="A36" s="51"/>
      <c r="B36" s="170">
        <f>E36</f>
        <v>1224</v>
      </c>
      <c r="C36" s="48"/>
      <c r="D36" s="172"/>
      <c r="E36" s="170">
        <f>SUM(E33:E35)</f>
        <v>1224</v>
      </c>
      <c r="F36" s="48"/>
      <c r="G36" s="172"/>
      <c r="H36" s="260"/>
      <c r="I36" s="52"/>
    </row>
    <row r="37" spans="1:9" ht="12.75">
      <c r="A37" s="51"/>
      <c r="B37" s="48"/>
      <c r="C37" s="48"/>
      <c r="D37" s="48"/>
      <c r="E37" s="48"/>
      <c r="F37" s="48"/>
      <c r="G37" s="172"/>
      <c r="H37" s="48"/>
      <c r="I37" s="52"/>
    </row>
    <row r="38" spans="1:9" ht="12.75">
      <c r="A38" s="142" t="s">
        <v>157</v>
      </c>
      <c r="B38" s="170">
        <f>E38</f>
        <v>23256</v>
      </c>
      <c r="C38" s="170" t="s">
        <v>65</v>
      </c>
      <c r="D38" s="48"/>
      <c r="E38" s="170">
        <v>23256</v>
      </c>
      <c r="F38" s="170" t="s">
        <v>65</v>
      </c>
      <c r="G38" s="172">
        <f>SUM(G33:G35)</f>
        <v>13724.720000000001</v>
      </c>
      <c r="H38" s="48"/>
      <c r="I38" s="52"/>
    </row>
    <row r="39" spans="1:12" ht="24.75" customHeight="1">
      <c r="A39" s="51"/>
      <c r="B39" s="189"/>
      <c r="C39" s="189"/>
      <c r="D39" s="189"/>
      <c r="E39" s="170"/>
      <c r="F39" s="48"/>
      <c r="G39" s="172"/>
      <c r="H39" s="48"/>
      <c r="I39" s="140"/>
      <c r="J39" s="50" t="s">
        <v>225</v>
      </c>
      <c r="K39" s="50" t="s">
        <v>226</v>
      </c>
      <c r="L39" s="50" t="s">
        <v>227</v>
      </c>
    </row>
    <row r="40" spans="1:12" ht="12.75">
      <c r="A40" s="142" t="s">
        <v>158</v>
      </c>
      <c r="B40" s="189"/>
      <c r="C40" s="189"/>
      <c r="D40" s="177"/>
      <c r="E40" s="177"/>
      <c r="F40" s="171">
        <f>+L40</f>
        <v>0.42551</v>
      </c>
      <c r="G40" s="172">
        <f>E38*F40</f>
        <v>9895.66056</v>
      </c>
      <c r="H40" s="48"/>
      <c r="I40" s="154"/>
      <c r="J40" s="340">
        <f>ROUND(7.74/19,5)</f>
        <v>0.40737</v>
      </c>
      <c r="K40" s="144">
        <v>1.04454</v>
      </c>
      <c r="L40" s="144">
        <f>ROUND(J40*K40,5)</f>
        <v>0.42551</v>
      </c>
    </row>
    <row r="41" spans="1:10" ht="12.75">
      <c r="A41" s="129"/>
      <c r="B41" s="189"/>
      <c r="C41" s="189"/>
      <c r="D41" s="189"/>
      <c r="E41" s="258"/>
      <c r="F41" s="189"/>
      <c r="G41" s="172"/>
      <c r="H41" s="189"/>
      <c r="I41" s="155"/>
      <c r="J41" s="125"/>
    </row>
    <row r="42" spans="1:9" ht="13.5" thickBot="1">
      <c r="A42" s="51" t="s">
        <v>159</v>
      </c>
      <c r="B42" s="189"/>
      <c r="C42" s="189"/>
      <c r="D42" s="146">
        <f>SUM(D33:D35)</f>
        <v>21032.79</v>
      </c>
      <c r="E42" s="170"/>
      <c r="F42" s="48"/>
      <c r="G42" s="146">
        <f>G38+G40</f>
        <v>23620.38056</v>
      </c>
      <c r="H42" s="147">
        <f>G42-D42</f>
        <v>2587.5905600000006</v>
      </c>
      <c r="I42" s="148">
        <f>ROUND(H42/D42,5)</f>
        <v>0.12303</v>
      </c>
    </row>
    <row r="43" spans="1:10" ht="13.5" thickTop="1">
      <c r="A43" s="156"/>
      <c r="B43" s="157"/>
      <c r="C43" s="157"/>
      <c r="D43" s="157"/>
      <c r="E43" s="158"/>
      <c r="F43" s="157"/>
      <c r="G43" s="159"/>
      <c r="H43" s="157"/>
      <c r="I43" s="160"/>
      <c r="J43" s="125"/>
    </row>
    <row r="44" spans="2:9" ht="12.75">
      <c r="B44" s="125"/>
      <c r="C44" s="125"/>
      <c r="D44" s="125"/>
      <c r="I44" s="161"/>
    </row>
    <row r="45" spans="1:10" ht="12.75">
      <c r="A45" s="162"/>
      <c r="B45" s="163"/>
      <c r="C45" s="164"/>
      <c r="D45" s="165"/>
      <c r="E45" s="163"/>
      <c r="F45" s="164"/>
      <c r="G45" s="166"/>
      <c r="H45" s="167"/>
      <c r="I45" s="168"/>
      <c r="J45" s="125"/>
    </row>
    <row r="46" spans="1:9" ht="12.75">
      <c r="A46" s="169"/>
      <c r="B46" s="170"/>
      <c r="C46" s="171"/>
      <c r="D46" s="172"/>
      <c r="E46" s="170"/>
      <c r="F46" s="48"/>
      <c r="G46" s="172" t="s">
        <v>166</v>
      </c>
      <c r="H46" s="48"/>
      <c r="I46" s="140"/>
    </row>
    <row r="47" spans="1:9" ht="12.75">
      <c r="A47" s="142"/>
      <c r="B47" s="170"/>
      <c r="C47" s="173"/>
      <c r="D47" s="172"/>
      <c r="E47" s="170"/>
      <c r="F47" s="170"/>
      <c r="G47" s="172">
        <v>14590.615245068406</v>
      </c>
      <c r="H47" s="48"/>
      <c r="I47" s="140"/>
    </row>
    <row r="48" spans="1:9" ht="12.75">
      <c r="A48" s="131" t="s">
        <v>213</v>
      </c>
      <c r="B48" s="170"/>
      <c r="C48" s="170"/>
      <c r="D48" s="172"/>
      <c r="E48" s="170"/>
      <c r="F48" s="48"/>
      <c r="G48" s="172"/>
      <c r="H48" s="48"/>
      <c r="I48" s="140"/>
    </row>
    <row r="49" spans="1:9" ht="12.75">
      <c r="A49" s="169"/>
      <c r="B49" s="174" t="s">
        <v>167</v>
      </c>
      <c r="C49" s="47" t="s">
        <v>65</v>
      </c>
      <c r="D49" s="175" t="s">
        <v>159</v>
      </c>
      <c r="E49" s="47" t="s">
        <v>168</v>
      </c>
      <c r="F49" s="47" t="s">
        <v>169</v>
      </c>
      <c r="G49" s="47" t="s">
        <v>170</v>
      </c>
      <c r="H49" s="47" t="s">
        <v>214</v>
      </c>
      <c r="I49" s="140"/>
    </row>
    <row r="50" spans="1:9" ht="12.75">
      <c r="A50" s="176" t="s">
        <v>171</v>
      </c>
      <c r="B50" s="177">
        <v>829</v>
      </c>
      <c r="C50" s="178">
        <v>100674</v>
      </c>
      <c r="D50" s="172">
        <v>113523</v>
      </c>
      <c r="E50" s="172">
        <v>42819.2941475124</v>
      </c>
      <c r="F50" s="172">
        <f>D50-E50</f>
        <v>70703.70585248759</v>
      </c>
      <c r="G50" s="179">
        <f>F50/$F$53*$G$47</f>
        <v>12201.23049816146</v>
      </c>
      <c r="H50" s="179">
        <f>G50+F50</f>
        <v>82904.93635064905</v>
      </c>
      <c r="I50" s="140"/>
    </row>
    <row r="51" spans="1:10" ht="12.75">
      <c r="A51" s="180" t="s">
        <v>172</v>
      </c>
      <c r="B51" s="170">
        <v>3</v>
      </c>
      <c r="C51" s="181">
        <v>85</v>
      </c>
      <c r="D51" s="172">
        <v>219</v>
      </c>
      <c r="E51" s="172">
        <v>36.152730621</v>
      </c>
      <c r="F51" s="172">
        <f>D51-E51</f>
        <v>182.847269379</v>
      </c>
      <c r="G51" s="179">
        <f>F51/$F$53*$G$47</f>
        <v>31.553673923502082</v>
      </c>
      <c r="H51" s="179">
        <f>G51+F51</f>
        <v>214.4009433025021</v>
      </c>
      <c r="I51" s="140"/>
      <c r="J51" s="127"/>
    </row>
    <row r="52" spans="1:9" ht="12.75">
      <c r="A52" s="180" t="s">
        <v>173</v>
      </c>
      <c r="B52" s="182">
        <v>73</v>
      </c>
      <c r="C52" s="183">
        <v>37204</v>
      </c>
      <c r="D52" s="159">
        <v>29487</v>
      </c>
      <c r="E52" s="159">
        <v>15823.837529690401</v>
      </c>
      <c r="F52" s="159">
        <f>D52-E52</f>
        <v>13663.162470309599</v>
      </c>
      <c r="G52" s="184">
        <f>F52/$F$53*$G$47</f>
        <v>2357.831072983443</v>
      </c>
      <c r="H52" s="184">
        <f>G52+F52</f>
        <v>16020.993543293042</v>
      </c>
      <c r="I52" s="140"/>
    </row>
    <row r="53" spans="1:10" ht="13.5" thickBot="1">
      <c r="A53" s="129"/>
      <c r="B53" s="185">
        <f aca="true" t="shared" si="0" ref="B53:H53">SUM(B50:B52)</f>
        <v>905</v>
      </c>
      <c r="C53" s="186">
        <f t="shared" si="0"/>
        <v>137963</v>
      </c>
      <c r="D53" s="187">
        <f t="shared" si="0"/>
        <v>143229</v>
      </c>
      <c r="E53" s="187">
        <f t="shared" si="0"/>
        <v>58679.2844078238</v>
      </c>
      <c r="F53" s="187">
        <f t="shared" si="0"/>
        <v>84549.71559217619</v>
      </c>
      <c r="G53" s="187">
        <f t="shared" si="0"/>
        <v>14590.615245068404</v>
      </c>
      <c r="H53" s="187">
        <f t="shared" si="0"/>
        <v>99140.33083724459</v>
      </c>
      <c r="I53" s="188"/>
      <c r="J53" s="125"/>
    </row>
    <row r="54" spans="1:9" ht="13.5" thickTop="1">
      <c r="A54" s="169"/>
      <c r="B54" s="189"/>
      <c r="C54" s="189"/>
      <c r="D54" s="189"/>
      <c r="E54" s="170"/>
      <c r="F54" s="48"/>
      <c r="G54" s="172"/>
      <c r="H54" s="48"/>
      <c r="I54" s="140"/>
    </row>
    <row r="55" spans="1:9" ht="12.75">
      <c r="A55" s="190"/>
      <c r="B55" s="157"/>
      <c r="C55" s="157"/>
      <c r="D55" s="157"/>
      <c r="E55" s="158"/>
      <c r="F55" s="157"/>
      <c r="G55" s="159"/>
      <c r="H55" s="157"/>
      <c r="I55" s="191"/>
    </row>
    <row r="56" spans="2:7" ht="12.75">
      <c r="B56" s="125"/>
      <c r="E56" s="192"/>
      <c r="F56" s="192"/>
      <c r="G56" s="126"/>
    </row>
    <row r="57" ht="12.75">
      <c r="B57" s="125"/>
    </row>
    <row r="58" ht="12.75">
      <c r="B58" s="125"/>
    </row>
    <row r="59" spans="2:4" ht="12.75">
      <c r="B59" s="125"/>
      <c r="D59" s="125"/>
    </row>
    <row r="60" spans="2:4" ht="12.75">
      <c r="B60" s="125"/>
      <c r="D60" s="125"/>
    </row>
    <row r="61" ht="12.75">
      <c r="B61" s="125"/>
    </row>
    <row r="62" ht="12.75">
      <c r="B62" s="125"/>
    </row>
    <row r="63" ht="12.75">
      <c r="B63" s="125"/>
    </row>
    <row r="64" spans="2:6" ht="12.75">
      <c r="B64" s="125"/>
      <c r="F64" s="194"/>
    </row>
    <row r="65" spans="2:6" ht="12.75">
      <c r="B65" s="125"/>
      <c r="F65" s="194"/>
    </row>
    <row r="66" spans="2:6" ht="12.75">
      <c r="B66" s="125"/>
      <c r="F66" s="194"/>
    </row>
    <row r="67" spans="2:6" ht="12.75">
      <c r="B67" s="125"/>
      <c r="F67" s="194"/>
    </row>
    <row r="68" spans="2:6" ht="12.75">
      <c r="B68" s="125"/>
      <c r="F68" s="194"/>
    </row>
    <row r="69" spans="2:6" ht="12.75">
      <c r="B69" s="125"/>
      <c r="F69" s="195"/>
    </row>
    <row r="70" spans="2:6" ht="12.75">
      <c r="B70" s="125"/>
      <c r="F70" s="194"/>
    </row>
    <row r="71" spans="2:6" ht="12.75">
      <c r="B71" s="125"/>
      <c r="F71" s="195"/>
    </row>
    <row r="72" ht="12.75">
      <c r="F72" s="195"/>
    </row>
    <row r="73" ht="12.75">
      <c r="F73" s="194"/>
    </row>
    <row r="74" ht="12.75">
      <c r="F74" s="195"/>
    </row>
    <row r="75" ht="12.75">
      <c r="F75" s="194"/>
    </row>
    <row r="76" ht="12.75">
      <c r="F76" s="194"/>
    </row>
    <row r="77" ht="12.75">
      <c r="F77" s="194"/>
    </row>
  </sheetData>
  <mergeCells count="2">
    <mergeCell ref="A2:I2"/>
    <mergeCell ref="A3:I3"/>
  </mergeCells>
  <printOptions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&amp;CPuget Sound Energy - Gas
Tariffed Rate Components
&amp;RRate Design Appendix
&amp;A
Page &amp;P of &amp;N
For Settlement Purposes Only</oddHeader>
    <oddFooter>&amp;R&amp;D &amp;T
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9"/>
  <sheetViews>
    <sheetView zoomScale="75" zoomScaleNormal="75" workbookViewId="0" topLeftCell="A47">
      <selection activeCell="E27" sqref="E26:E27"/>
    </sheetView>
  </sheetViews>
  <sheetFormatPr defaultColWidth="9.140625" defaultRowHeight="12.75"/>
  <cols>
    <col min="1" max="1" width="23.421875" style="84" customWidth="1"/>
    <col min="2" max="2" width="17.28125" style="77" customWidth="1"/>
    <col min="3" max="3" width="14.28125" style="77" customWidth="1"/>
    <col min="4" max="4" width="15.28125" style="104" customWidth="1"/>
    <col min="5" max="5" width="16.00390625" style="46" customWidth="1"/>
    <col min="6" max="6" width="13.7109375" style="0" customWidth="1"/>
    <col min="7" max="7" width="15.28125" style="57" customWidth="1"/>
    <col min="8" max="8" width="13.28125" style="60" customWidth="1"/>
    <col min="9" max="9" width="8.28125" style="118" customWidth="1"/>
    <col min="10" max="10" width="20.28125" style="0" customWidth="1"/>
    <col min="11" max="11" width="14.140625" style="0" customWidth="1"/>
    <col min="12" max="12" width="22.57421875" style="0" customWidth="1"/>
    <col min="13" max="13" width="13.140625" style="0" customWidth="1"/>
    <col min="14" max="14" width="13.8515625" style="0" customWidth="1"/>
    <col min="15" max="16" width="14.8515625" style="0" customWidth="1"/>
  </cols>
  <sheetData>
    <row r="1" spans="1:10" ht="12.75">
      <c r="A1" s="267"/>
      <c r="B1" s="96"/>
      <c r="C1" s="96"/>
      <c r="D1" s="97"/>
      <c r="E1" s="96"/>
      <c r="F1" s="96"/>
      <c r="G1" s="98"/>
      <c r="H1" s="10"/>
      <c r="I1" s="99"/>
      <c r="J1" s="55"/>
    </row>
    <row r="2" spans="1:10" ht="12.75">
      <c r="A2" s="379" t="s">
        <v>208</v>
      </c>
      <c r="B2" s="380"/>
      <c r="C2" s="380"/>
      <c r="D2" s="380"/>
      <c r="E2" s="380"/>
      <c r="F2" s="380"/>
      <c r="G2" s="380"/>
      <c r="H2" s="380"/>
      <c r="I2" s="381"/>
      <c r="J2" s="55"/>
    </row>
    <row r="3" spans="1:10" ht="25.5" customHeight="1">
      <c r="A3" s="379" t="s">
        <v>209</v>
      </c>
      <c r="B3" s="380"/>
      <c r="C3" s="380"/>
      <c r="D3" s="380"/>
      <c r="E3" s="380"/>
      <c r="F3" s="380"/>
      <c r="G3" s="380"/>
      <c r="H3" s="380"/>
      <c r="I3" s="381"/>
      <c r="J3" s="55"/>
    </row>
    <row r="4" spans="1:10" ht="12.75">
      <c r="A4" s="59"/>
      <c r="B4" s="93"/>
      <c r="C4" s="93"/>
      <c r="D4" s="198"/>
      <c r="E4" s="93"/>
      <c r="F4" s="93"/>
      <c r="G4" s="89"/>
      <c r="H4" s="89"/>
      <c r="I4" s="58"/>
      <c r="J4" s="55"/>
    </row>
    <row r="5" spans="1:10" ht="12.75">
      <c r="A5" s="59"/>
      <c r="B5" s="93"/>
      <c r="C5" s="93"/>
      <c r="D5" s="198"/>
      <c r="E5" s="93"/>
      <c r="F5" s="93"/>
      <c r="G5" s="198"/>
      <c r="H5" s="198"/>
      <c r="I5" s="61"/>
      <c r="J5" s="55"/>
    </row>
    <row r="6" spans="1:10" ht="12.75">
      <c r="A6" s="62"/>
      <c r="B6" s="197" t="s">
        <v>147</v>
      </c>
      <c r="C6" s="199" t="s">
        <v>148</v>
      </c>
      <c r="D6" s="200"/>
      <c r="E6" s="197"/>
      <c r="F6" s="199" t="s">
        <v>149</v>
      </c>
      <c r="G6" s="200"/>
      <c r="H6" s="200" t="s">
        <v>150</v>
      </c>
      <c r="I6" s="103"/>
      <c r="J6" s="63"/>
    </row>
    <row r="7" spans="1:10" ht="12.75">
      <c r="A7" s="64" t="s">
        <v>46</v>
      </c>
      <c r="B7" s="65" t="s">
        <v>151</v>
      </c>
      <c r="C7" s="65" t="s">
        <v>152</v>
      </c>
      <c r="D7" s="66" t="s">
        <v>153</v>
      </c>
      <c r="E7" s="65" t="s">
        <v>59</v>
      </c>
      <c r="F7" s="65" t="s">
        <v>152</v>
      </c>
      <c r="G7" s="66" t="s">
        <v>153</v>
      </c>
      <c r="H7" s="67" t="s">
        <v>154</v>
      </c>
      <c r="I7" s="68" t="s">
        <v>58</v>
      </c>
      <c r="J7" s="63"/>
    </row>
    <row r="8" spans="1:9" ht="15.75">
      <c r="A8" s="86"/>
      <c r="B8" s="206"/>
      <c r="C8" s="206"/>
      <c r="D8" s="211"/>
      <c r="E8" s="87"/>
      <c r="F8" s="5"/>
      <c r="G8" s="89"/>
      <c r="H8" s="198"/>
      <c r="I8" s="61"/>
    </row>
    <row r="9" spans="1:10" ht="15.75">
      <c r="A9" s="69" t="s">
        <v>228</v>
      </c>
      <c r="B9" s="87"/>
      <c r="C9" s="5"/>
      <c r="D9" s="89"/>
      <c r="E9" s="87"/>
      <c r="F9" s="5"/>
      <c r="G9" s="89"/>
      <c r="H9" s="198"/>
      <c r="I9" s="61"/>
      <c r="J9" s="244" t="s">
        <v>210</v>
      </c>
    </row>
    <row r="10" spans="1:10" ht="12.75">
      <c r="A10" s="71" t="s">
        <v>155</v>
      </c>
      <c r="B10" s="87">
        <f>E10</f>
        <v>499380</v>
      </c>
      <c r="C10" s="89">
        <v>9.9</v>
      </c>
      <c r="D10" s="89">
        <f>ROUND(B10*C10,2)</f>
        <v>4943862</v>
      </c>
      <c r="E10" s="87">
        <v>499380</v>
      </c>
      <c r="F10" s="89">
        <v>10</v>
      </c>
      <c r="G10" s="89">
        <f>ROUND(E10*F10,2)</f>
        <v>4993800</v>
      </c>
      <c r="H10" s="198"/>
      <c r="I10" s="61"/>
      <c r="J10" s="245">
        <v>52752706.30603364</v>
      </c>
    </row>
    <row r="11" spans="1:10" ht="12.75">
      <c r="A11" s="7" t="s">
        <v>156</v>
      </c>
      <c r="B11" s="87">
        <f>E11</f>
        <v>158218485</v>
      </c>
      <c r="C11" s="205">
        <v>0.66398</v>
      </c>
      <c r="D11" s="89">
        <f>ROUND(B11*C11,2)</f>
        <v>105053909.67</v>
      </c>
      <c r="E11" s="87">
        <v>158218485</v>
      </c>
      <c r="F11" s="88">
        <v>0.23742</v>
      </c>
      <c r="G11" s="89">
        <f>ROUND(E11*F11,2)</f>
        <v>37564232.71</v>
      </c>
      <c r="H11" s="198"/>
      <c r="I11" s="61"/>
      <c r="J11" s="245" t="s">
        <v>211</v>
      </c>
    </row>
    <row r="12" spans="1:10" ht="12.75">
      <c r="A12" s="7"/>
      <c r="B12" s="87"/>
      <c r="C12" s="88"/>
      <c r="D12" s="89"/>
      <c r="E12" s="87"/>
      <c r="F12" s="88"/>
      <c r="G12" s="89"/>
      <c r="H12" s="198"/>
      <c r="I12" s="61"/>
      <c r="J12" s="246">
        <f>G13+G26-J10</f>
        <v>491.3239663615823</v>
      </c>
    </row>
    <row r="13" spans="1:9" ht="12.75">
      <c r="A13" s="71" t="s">
        <v>157</v>
      </c>
      <c r="B13" s="93"/>
      <c r="C13" s="93"/>
      <c r="D13" s="89"/>
      <c r="E13" s="87">
        <f>E11+E12</f>
        <v>158218485</v>
      </c>
      <c r="F13" s="87"/>
      <c r="G13" s="89">
        <f>SUM(G10:G12)</f>
        <v>42558032.71</v>
      </c>
      <c r="H13" s="198"/>
      <c r="I13" s="61"/>
    </row>
    <row r="14" spans="1:12" ht="47.25" customHeight="1">
      <c r="A14" s="71"/>
      <c r="B14" s="5"/>
      <c r="C14" s="5"/>
      <c r="D14" s="89"/>
      <c r="E14" s="87"/>
      <c r="F14" s="87"/>
      <c r="G14" s="89"/>
      <c r="H14" s="89"/>
      <c r="I14" s="105"/>
      <c r="J14" s="50" t="s">
        <v>225</v>
      </c>
      <c r="K14" s="50" t="s">
        <v>226</v>
      </c>
      <c r="L14" s="50" t="s">
        <v>227</v>
      </c>
    </row>
    <row r="15" spans="1:12" ht="12.75">
      <c r="A15" s="106" t="s">
        <v>158</v>
      </c>
      <c r="B15" s="93"/>
      <c r="C15" s="93"/>
      <c r="D15" s="198"/>
      <c r="E15" s="5"/>
      <c r="F15" s="88">
        <f>+L15</f>
        <v>0.45</v>
      </c>
      <c r="G15" s="89">
        <f>F15*E13</f>
        <v>71198318.25</v>
      </c>
      <c r="H15" s="198"/>
      <c r="I15" s="61"/>
      <c r="J15" s="340">
        <v>0.43081</v>
      </c>
      <c r="K15" s="144">
        <v>1.04454</v>
      </c>
      <c r="L15" s="342">
        <f>ROUND(J15*K15,5)</f>
        <v>0.45</v>
      </c>
    </row>
    <row r="16" spans="1:9" ht="12.75">
      <c r="A16" s="7"/>
      <c r="B16" s="93"/>
      <c r="C16" s="93"/>
      <c r="D16" s="198"/>
      <c r="E16" s="91"/>
      <c r="F16" s="209"/>
      <c r="G16" s="198"/>
      <c r="H16" s="198"/>
      <c r="I16" s="61"/>
    </row>
    <row r="17" spans="1:9" ht="13.5" thickBot="1">
      <c r="A17" s="7" t="s">
        <v>159</v>
      </c>
      <c r="B17" s="93"/>
      <c r="C17" s="93"/>
      <c r="D17" s="75">
        <f>SUM(D10:D12)</f>
        <v>109997771.67</v>
      </c>
      <c r="E17" s="91"/>
      <c r="F17" s="343"/>
      <c r="G17" s="76">
        <f>G15+G13</f>
        <v>113756350.96000001</v>
      </c>
      <c r="H17" s="344">
        <f>G17-D17</f>
        <v>3758579.2900000066</v>
      </c>
      <c r="I17" s="345">
        <f>ROUND(H17/D17,5)</f>
        <v>0.03417</v>
      </c>
    </row>
    <row r="18" spans="1:9" ht="13.5" thickTop="1">
      <c r="A18" s="7"/>
      <c r="B18" s="93"/>
      <c r="C18" s="93"/>
      <c r="D18" s="198"/>
      <c r="E18" s="5"/>
      <c r="F18" s="346"/>
      <c r="G18" s="89"/>
      <c r="H18" s="198"/>
      <c r="I18" s="61"/>
    </row>
    <row r="19" spans="1:10" ht="12.75">
      <c r="A19" s="59" t="s">
        <v>229</v>
      </c>
      <c r="B19" s="93"/>
      <c r="C19" s="93"/>
      <c r="D19" s="198"/>
      <c r="E19" s="93"/>
      <c r="F19" s="93"/>
      <c r="G19" s="89"/>
      <c r="H19" s="198"/>
      <c r="I19" s="61"/>
      <c r="J19" s="55"/>
    </row>
    <row r="20" spans="1:9" ht="12.75">
      <c r="A20" s="7"/>
      <c r="B20" s="93"/>
      <c r="C20" s="93"/>
      <c r="D20" s="198"/>
      <c r="E20" s="5"/>
      <c r="F20" s="5"/>
      <c r="G20" s="89"/>
      <c r="H20" s="198"/>
      <c r="I20" s="61"/>
    </row>
    <row r="21" spans="1:10" ht="12.75">
      <c r="A21" s="59"/>
      <c r="B21" s="93"/>
      <c r="C21" s="93"/>
      <c r="D21" s="198"/>
      <c r="E21" s="93"/>
      <c r="F21" s="93"/>
      <c r="G21" s="89"/>
      <c r="H21" s="198"/>
      <c r="I21" s="61"/>
      <c r="J21" s="55"/>
    </row>
    <row r="22" spans="1:9" ht="15.75">
      <c r="A22" s="69" t="s">
        <v>174</v>
      </c>
      <c r="B22" s="93"/>
      <c r="C22" s="93"/>
      <c r="D22" s="198"/>
      <c r="E22" s="203"/>
      <c r="F22" s="5"/>
      <c r="G22" s="89"/>
      <c r="H22" s="198"/>
      <c r="I22" s="61"/>
    </row>
    <row r="23" spans="1:9" ht="12.75">
      <c r="A23" s="71" t="s">
        <v>155</v>
      </c>
      <c r="B23" s="87">
        <f>E23</f>
        <v>60156</v>
      </c>
      <c r="C23" s="89">
        <v>9.9</v>
      </c>
      <c r="D23" s="89">
        <f>ROUND(B23*C23,2)</f>
        <v>595544.4</v>
      </c>
      <c r="E23" s="87">
        <v>60156</v>
      </c>
      <c r="F23" s="89">
        <v>20</v>
      </c>
      <c r="G23" s="89">
        <f>ROUND(E23*F23,2)</f>
        <v>1203120</v>
      </c>
      <c r="H23" s="198"/>
      <c r="I23" s="61"/>
    </row>
    <row r="24" spans="1:9" ht="12.75">
      <c r="A24" s="7" t="s">
        <v>156</v>
      </c>
      <c r="B24" s="87">
        <f>E24</f>
        <v>40795050</v>
      </c>
      <c r="C24" s="205">
        <v>0.64247</v>
      </c>
      <c r="D24" s="89">
        <f>ROUND(B24*C24,2)</f>
        <v>26209595.77</v>
      </c>
      <c r="E24" s="87">
        <v>40795050</v>
      </c>
      <c r="F24" s="88">
        <f>F11-0.017</f>
        <v>0.22042</v>
      </c>
      <c r="G24" s="89">
        <f>ROUND(E24*F24,2)</f>
        <v>8992044.92</v>
      </c>
      <c r="H24" s="198"/>
      <c r="I24" s="61"/>
    </row>
    <row r="25" spans="1:9" ht="12.75">
      <c r="A25" s="7"/>
      <c r="B25" s="87"/>
      <c r="C25" s="88"/>
      <c r="D25" s="89"/>
      <c r="E25" s="87"/>
      <c r="F25" s="88"/>
      <c r="G25" s="89"/>
      <c r="H25" s="198"/>
      <c r="I25" s="61"/>
    </row>
    <row r="26" spans="1:9" ht="12.75">
      <c r="A26" s="71" t="s">
        <v>157</v>
      </c>
      <c r="B26" s="93"/>
      <c r="C26" s="93"/>
      <c r="D26" s="89"/>
      <c r="E26" s="87">
        <f>E24+E25</f>
        <v>40795050</v>
      </c>
      <c r="F26" s="87"/>
      <c r="G26" s="89">
        <f>SUM(G23:G25)</f>
        <v>10195164.92</v>
      </c>
      <c r="H26" s="198"/>
      <c r="I26" s="61"/>
    </row>
    <row r="27" spans="1:9" ht="12.75">
      <c r="A27" s="71"/>
      <c r="B27" s="93"/>
      <c r="C27" s="93"/>
      <c r="D27" s="198"/>
      <c r="E27" s="87"/>
      <c r="F27" s="87"/>
      <c r="G27" s="89"/>
      <c r="H27" s="198"/>
      <c r="I27" s="61"/>
    </row>
    <row r="28" spans="1:9" ht="12.75">
      <c r="A28" s="7" t="str">
        <f>A15</f>
        <v>Proposed Gas Cost Rate</v>
      </c>
      <c r="B28" s="93"/>
      <c r="C28" s="93"/>
      <c r="D28" s="198"/>
      <c r="E28" s="87"/>
      <c r="F28" s="88">
        <f>+L15</f>
        <v>0.45</v>
      </c>
      <c r="G28" s="89">
        <f>F28*E26</f>
        <v>18357772.5</v>
      </c>
      <c r="H28" s="198"/>
      <c r="I28" s="61"/>
    </row>
    <row r="29" spans="1:9" ht="12.75">
      <c r="A29" s="7"/>
      <c r="B29" s="93"/>
      <c r="C29" s="93"/>
      <c r="D29" s="198"/>
      <c r="E29" s="5"/>
      <c r="F29" s="5"/>
      <c r="G29" s="89"/>
      <c r="H29" s="89"/>
      <c r="I29" s="61"/>
    </row>
    <row r="30" spans="1:9" ht="13.5" thickBot="1">
      <c r="A30" s="7" t="s">
        <v>159</v>
      </c>
      <c r="B30" s="93"/>
      <c r="C30" s="93"/>
      <c r="D30" s="76">
        <f>SUM(D23:D25)</f>
        <v>26805140.169999998</v>
      </c>
      <c r="E30" s="5"/>
      <c r="F30" s="5"/>
      <c r="G30" s="76">
        <f>G28+G26</f>
        <v>28552937.42</v>
      </c>
      <c r="H30" s="344">
        <f>G30-D30</f>
        <v>1747797.2500000037</v>
      </c>
      <c r="I30" s="345">
        <f>ROUND(H30/D30,5)</f>
        <v>0.0652</v>
      </c>
    </row>
    <row r="31" spans="1:10" ht="13.5" thickTop="1">
      <c r="A31" s="59"/>
      <c r="B31" s="93"/>
      <c r="C31" s="93"/>
      <c r="D31" s="198"/>
      <c r="E31" s="5"/>
      <c r="F31" s="5"/>
      <c r="G31" s="89"/>
      <c r="H31" s="89"/>
      <c r="I31" s="61"/>
      <c r="J31" s="55"/>
    </row>
    <row r="32" spans="1:9" ht="12.75">
      <c r="A32" s="7"/>
      <c r="B32" s="93"/>
      <c r="C32" s="93"/>
      <c r="D32" s="198"/>
      <c r="E32" s="5"/>
      <c r="F32" s="5"/>
      <c r="G32" s="89"/>
      <c r="H32" s="89"/>
      <c r="I32" s="61"/>
    </row>
    <row r="33" spans="1:10" ht="12.75">
      <c r="A33" s="59"/>
      <c r="B33" s="93"/>
      <c r="C33" s="93"/>
      <c r="D33" s="198"/>
      <c r="E33" s="5"/>
      <c r="F33" s="5"/>
      <c r="G33" s="89"/>
      <c r="H33" s="89"/>
      <c r="I33" s="61"/>
      <c r="J33" s="55"/>
    </row>
    <row r="34" spans="1:10" ht="12.75">
      <c r="A34" s="7"/>
      <c r="B34" s="93"/>
      <c r="C34" s="93"/>
      <c r="D34" s="198"/>
      <c r="E34" s="5"/>
      <c r="F34" s="5"/>
      <c r="G34" s="89"/>
      <c r="H34" s="89"/>
      <c r="I34" s="61"/>
      <c r="J34" s="55">
        <f>IF(G34&lt;&gt;0,IF(G34&lt;0,"OVER","UNDER"),"")</f>
      </c>
    </row>
    <row r="35" spans="1:10" ht="12.75">
      <c r="A35" s="59"/>
      <c r="B35" s="93"/>
      <c r="C35" s="93"/>
      <c r="D35" s="198"/>
      <c r="E35" s="93"/>
      <c r="F35" s="93"/>
      <c r="G35" s="198"/>
      <c r="H35" s="198"/>
      <c r="I35" s="61"/>
      <c r="J35" s="55"/>
    </row>
    <row r="36" spans="1:9" ht="15.75">
      <c r="A36" s="69" t="s">
        <v>175</v>
      </c>
      <c r="B36" s="93"/>
      <c r="C36" s="93"/>
      <c r="D36" s="198"/>
      <c r="E36" s="203"/>
      <c r="F36" s="5"/>
      <c r="G36" s="89"/>
      <c r="H36" s="198"/>
      <c r="I36" s="61"/>
    </row>
    <row r="37" spans="1:10" ht="15.75">
      <c r="A37" s="71" t="s">
        <v>155</v>
      </c>
      <c r="B37" s="87">
        <v>3192</v>
      </c>
      <c r="C37" s="89">
        <v>4.46</v>
      </c>
      <c r="D37" s="89">
        <f>ROUND(B37*C37,2)</f>
        <v>14236.32</v>
      </c>
      <c r="E37" s="87">
        <v>3192</v>
      </c>
      <c r="F37" s="89">
        <v>5.5</v>
      </c>
      <c r="G37" s="89">
        <f>ROUND(E37*F37,2)</f>
        <v>17556</v>
      </c>
      <c r="H37" s="211"/>
      <c r="I37" s="107"/>
      <c r="J37" s="244" t="s">
        <v>210</v>
      </c>
    </row>
    <row r="38" spans="1:10" ht="12.75">
      <c r="A38" s="7" t="s">
        <v>156</v>
      </c>
      <c r="B38" s="87">
        <f>E38</f>
        <v>143695</v>
      </c>
      <c r="C38" s="205">
        <v>0.66116</v>
      </c>
      <c r="D38" s="89">
        <f>ROUND(B38*C38,2)</f>
        <v>95005.39</v>
      </c>
      <c r="E38" s="87">
        <v>143695</v>
      </c>
      <c r="F38" s="88">
        <v>0.22423</v>
      </c>
      <c r="G38" s="89">
        <f>ROUND(E38*F38,2)</f>
        <v>32220.73</v>
      </c>
      <c r="H38" s="198"/>
      <c r="I38" s="61"/>
      <c r="J38" s="245">
        <v>49776.188452951916</v>
      </c>
    </row>
    <row r="39" spans="1:10" ht="12.75">
      <c r="A39" s="7"/>
      <c r="B39" s="93"/>
      <c r="C39" s="93"/>
      <c r="D39" s="198"/>
      <c r="E39" s="87"/>
      <c r="F39" s="88"/>
      <c r="G39" s="89"/>
      <c r="H39" s="198"/>
      <c r="I39" s="61"/>
      <c r="J39" s="245" t="s">
        <v>211</v>
      </c>
    </row>
    <row r="40" spans="1:10" ht="12.75">
      <c r="A40" s="71" t="s">
        <v>157</v>
      </c>
      <c r="B40" s="93"/>
      <c r="C40" s="93"/>
      <c r="D40" s="89"/>
      <c r="E40" s="87">
        <f>SUM(E38:E39)</f>
        <v>143695</v>
      </c>
      <c r="F40" s="87"/>
      <c r="G40" s="89">
        <f>SUM(G37:G39)</f>
        <v>49776.729999999996</v>
      </c>
      <c r="H40" s="198"/>
      <c r="I40" s="61"/>
      <c r="J40" s="246">
        <f>J38-G40</f>
        <v>-0.5415470480802469</v>
      </c>
    </row>
    <row r="41" spans="1:9" ht="12.75">
      <c r="A41" s="71"/>
      <c r="B41" s="93"/>
      <c r="C41" s="93"/>
      <c r="D41" s="198"/>
      <c r="E41" s="87"/>
      <c r="F41" s="87"/>
      <c r="G41" s="89"/>
      <c r="H41" s="198"/>
      <c r="I41" s="61"/>
    </row>
    <row r="42" spans="1:9" ht="12.75">
      <c r="A42" s="7" t="str">
        <f>A15</f>
        <v>Proposed Gas Cost Rate</v>
      </c>
      <c r="B42" s="93"/>
      <c r="C42" s="93"/>
      <c r="D42" s="198"/>
      <c r="E42" s="87" t="s">
        <v>176</v>
      </c>
      <c r="F42" s="88">
        <f>+L15</f>
        <v>0.45</v>
      </c>
      <c r="G42" s="89">
        <f>F42*E40</f>
        <v>64662.75</v>
      </c>
      <c r="H42" s="198"/>
      <c r="I42" s="61"/>
    </row>
    <row r="43" spans="1:9" ht="12.75">
      <c r="A43" s="7"/>
      <c r="B43" s="93"/>
      <c r="C43" s="93"/>
      <c r="D43" s="198"/>
      <c r="E43" s="91"/>
      <c r="F43" s="209"/>
      <c r="G43" s="198"/>
      <c r="H43" s="198"/>
      <c r="I43" s="61"/>
    </row>
    <row r="44" spans="1:9" ht="13.5" thickBot="1">
      <c r="A44" s="7" t="s">
        <v>159</v>
      </c>
      <c r="B44" s="93"/>
      <c r="C44" s="93"/>
      <c r="D44" s="76">
        <f>SUM(D37:D39)</f>
        <v>109241.70999999999</v>
      </c>
      <c r="E44" s="91"/>
      <c r="F44" s="343"/>
      <c r="G44" s="108">
        <f>G42+G40</f>
        <v>114439.48</v>
      </c>
      <c r="H44" s="344">
        <f>G44-D44</f>
        <v>5197.770000000004</v>
      </c>
      <c r="I44" s="345">
        <f>ROUND(H44/D44,5)</f>
        <v>0.04758</v>
      </c>
    </row>
    <row r="45" spans="1:10" ht="13.5" thickTop="1">
      <c r="A45" s="80"/>
      <c r="B45" s="81"/>
      <c r="C45" s="81"/>
      <c r="D45" s="109"/>
      <c r="E45" s="81"/>
      <c r="F45" s="81"/>
      <c r="G45" s="109"/>
      <c r="H45" s="109"/>
      <c r="I45" s="110"/>
      <c r="J45" s="55"/>
    </row>
    <row r="46" spans="1:10" s="5" customFormat="1" ht="63.75" customHeight="1">
      <c r="A46" s="93"/>
      <c r="B46" s="93"/>
      <c r="C46" s="93"/>
      <c r="D46" s="198"/>
      <c r="E46" s="93"/>
      <c r="F46" s="93"/>
      <c r="G46" s="198"/>
      <c r="H46" s="198"/>
      <c r="I46" s="202"/>
      <c r="J46" s="93"/>
    </row>
    <row r="48" spans="1:10" ht="12.75">
      <c r="A48" s="95"/>
      <c r="B48" s="96"/>
      <c r="C48" s="96"/>
      <c r="D48" s="97"/>
      <c r="E48" s="96"/>
      <c r="F48" s="96"/>
      <c r="G48" s="98"/>
      <c r="H48" s="10"/>
      <c r="I48" s="99"/>
      <c r="J48" s="55"/>
    </row>
    <row r="49" spans="1:10" ht="12.75">
      <c r="A49" s="100" t="s">
        <v>208</v>
      </c>
      <c r="B49" s="199"/>
      <c r="C49" s="199"/>
      <c r="D49" s="200"/>
      <c r="E49" s="199"/>
      <c r="F49" s="199"/>
      <c r="G49" s="200"/>
      <c r="H49" s="198"/>
      <c r="I49" s="56"/>
      <c r="J49" s="55"/>
    </row>
    <row r="50" spans="1:10" ht="12.75">
      <c r="A50" s="100" t="s">
        <v>209</v>
      </c>
      <c r="B50" s="199"/>
      <c r="C50" s="199"/>
      <c r="D50" s="200"/>
      <c r="E50" s="199"/>
      <c r="F50" s="199"/>
      <c r="G50" s="201"/>
      <c r="H50" s="89"/>
      <c r="I50" s="58"/>
      <c r="J50" s="55"/>
    </row>
    <row r="51" spans="1:10" ht="12.75">
      <c r="A51" s="59"/>
      <c r="B51" s="93"/>
      <c r="C51" s="93"/>
      <c r="D51" s="198"/>
      <c r="E51" s="93"/>
      <c r="F51" s="93"/>
      <c r="G51" s="89"/>
      <c r="H51" s="89"/>
      <c r="I51" s="58"/>
      <c r="J51" s="55"/>
    </row>
    <row r="52" spans="1:10" ht="12.75">
      <c r="A52" s="59"/>
      <c r="B52" s="93"/>
      <c r="C52" s="93"/>
      <c r="D52" s="198"/>
      <c r="E52" s="93"/>
      <c r="F52" s="93"/>
      <c r="G52" s="198"/>
      <c r="H52" s="198"/>
      <c r="I52" s="61"/>
      <c r="J52" s="55"/>
    </row>
    <row r="53" spans="1:10" ht="12.75">
      <c r="A53" s="62"/>
      <c r="B53" s="197" t="s">
        <v>147</v>
      </c>
      <c r="C53" s="199" t="s">
        <v>148</v>
      </c>
      <c r="D53" s="200"/>
      <c r="E53" s="197"/>
      <c r="F53" s="199" t="s">
        <v>149</v>
      </c>
      <c r="G53" s="200"/>
      <c r="H53" s="200" t="s">
        <v>150</v>
      </c>
      <c r="I53" s="103"/>
      <c r="J53" s="63"/>
    </row>
    <row r="54" spans="1:10" ht="12.75">
      <c r="A54" s="64" t="s">
        <v>46</v>
      </c>
      <c r="B54" s="65" t="s">
        <v>151</v>
      </c>
      <c r="C54" s="65" t="s">
        <v>152</v>
      </c>
      <c r="D54" s="66" t="s">
        <v>153</v>
      </c>
      <c r="E54" s="65" t="s">
        <v>59</v>
      </c>
      <c r="F54" s="65" t="s">
        <v>152</v>
      </c>
      <c r="G54" s="66" t="s">
        <v>153</v>
      </c>
      <c r="H54" s="67" t="s">
        <v>154</v>
      </c>
      <c r="I54" s="68" t="s">
        <v>58</v>
      </c>
      <c r="J54" s="63"/>
    </row>
    <row r="55" spans="1:10" ht="12.75">
      <c r="A55" s="59"/>
      <c r="B55" s="93"/>
      <c r="C55" s="93"/>
      <c r="D55" s="198"/>
      <c r="E55" s="93"/>
      <c r="F55" s="93"/>
      <c r="G55" s="198"/>
      <c r="H55" s="198"/>
      <c r="I55" s="61"/>
      <c r="J55" s="55"/>
    </row>
    <row r="56" spans="1:9" ht="15.75">
      <c r="A56" s="69" t="s">
        <v>177</v>
      </c>
      <c r="B56" s="93"/>
      <c r="C56" s="93"/>
      <c r="D56" s="198"/>
      <c r="E56" s="203"/>
      <c r="F56" s="93"/>
      <c r="G56" s="89"/>
      <c r="H56" s="198"/>
      <c r="I56" s="61"/>
    </row>
    <row r="57" spans="1:9" ht="12.75">
      <c r="A57" s="71" t="s">
        <v>155</v>
      </c>
      <c r="B57" s="87"/>
      <c r="C57" s="89"/>
      <c r="D57" s="89"/>
      <c r="E57" s="87">
        <v>16404</v>
      </c>
      <c r="F57" s="89">
        <v>35</v>
      </c>
      <c r="G57" s="89">
        <f>ROUND(E57*F57,2)</f>
        <v>574140</v>
      </c>
      <c r="H57" s="198"/>
      <c r="I57" s="61"/>
    </row>
    <row r="58" spans="1:10" ht="12.75">
      <c r="A58" s="7" t="s">
        <v>230</v>
      </c>
      <c r="B58" s="87">
        <f>E58</f>
        <v>16404</v>
      </c>
      <c r="C58" s="89">
        <f>C61*500</f>
        <v>279.775</v>
      </c>
      <c r="D58" s="89">
        <f>ROUND(B58*C58,2)</f>
        <v>4589429.1</v>
      </c>
      <c r="E58" s="87">
        <v>16404</v>
      </c>
      <c r="F58" s="89">
        <f>ROUND(+F61*500,2)</f>
        <v>81.5</v>
      </c>
      <c r="G58" s="204">
        <f>+F58*E58</f>
        <v>1336926</v>
      </c>
      <c r="H58" s="90"/>
      <c r="I58" s="113"/>
      <c r="J58" s="2"/>
    </row>
    <row r="59" spans="1:10" ht="12.75">
      <c r="A59" s="7" t="s">
        <v>178</v>
      </c>
      <c r="B59" s="87"/>
      <c r="C59" s="89"/>
      <c r="D59" s="89"/>
      <c r="E59" s="87">
        <f>5065600/31*12</f>
        <v>1960877.4193548386</v>
      </c>
      <c r="F59" s="89">
        <v>0.5</v>
      </c>
      <c r="G59" s="204">
        <f>ROUND(E59*F59,2)</f>
        <v>980438.71</v>
      </c>
      <c r="H59" s="90"/>
      <c r="I59" s="113"/>
      <c r="J59" s="2"/>
    </row>
    <row r="60" spans="1:10" ht="12.75">
      <c r="A60" s="7" t="s">
        <v>179</v>
      </c>
      <c r="B60" s="87">
        <f>E60</f>
        <v>8674564.705046922</v>
      </c>
      <c r="C60" s="205">
        <v>0.55955</v>
      </c>
      <c r="D60" s="89"/>
      <c r="E60" s="87">
        <v>8674564.705046922</v>
      </c>
      <c r="F60" s="88"/>
      <c r="G60" s="89"/>
      <c r="H60" s="198"/>
      <c r="I60" s="61"/>
      <c r="J60" s="70" t="s">
        <v>210</v>
      </c>
    </row>
    <row r="61" spans="1:10" ht="12.75">
      <c r="A61" s="7" t="s">
        <v>180</v>
      </c>
      <c r="B61" s="87">
        <f>E61</f>
        <v>23392973.96683186</v>
      </c>
      <c r="C61" s="205">
        <v>0.55955</v>
      </c>
      <c r="D61" s="89">
        <f>ROUND(B61*C61,2)</f>
        <v>13089538.58</v>
      </c>
      <c r="E61" s="87">
        <v>23392973.96683186</v>
      </c>
      <c r="F61" s="88">
        <v>0.163</v>
      </c>
      <c r="G61" s="89">
        <f>ROUND(E61*F61,2)</f>
        <v>3813054.76</v>
      </c>
      <c r="H61" s="198"/>
      <c r="I61" s="61"/>
      <c r="J61" s="72">
        <v>9497244.66</v>
      </c>
    </row>
    <row r="62" spans="1:10" ht="12.75">
      <c r="A62" s="7" t="s">
        <v>181</v>
      </c>
      <c r="B62" s="87">
        <f>E62</f>
        <v>20994113.217319764</v>
      </c>
      <c r="C62" s="205">
        <v>0.5348</v>
      </c>
      <c r="D62" s="89">
        <f>ROUND(B62*C62,2)</f>
        <v>11227651.75</v>
      </c>
      <c r="E62" s="87">
        <v>20994113.217319764</v>
      </c>
      <c r="F62" s="88">
        <f>F61-0.03</f>
        <v>0.133</v>
      </c>
      <c r="G62" s="89">
        <f>ROUND(E62*F62,2)</f>
        <v>2792217.06</v>
      </c>
      <c r="H62" s="89"/>
      <c r="I62" s="61"/>
      <c r="J62" s="72" t="s">
        <v>211</v>
      </c>
    </row>
    <row r="63" spans="1:10" ht="12.75">
      <c r="A63" s="347" t="s">
        <v>182</v>
      </c>
      <c r="B63" s="87">
        <f>E63</f>
        <v>525862.0981650199</v>
      </c>
      <c r="C63" s="205">
        <v>0.71077</v>
      </c>
      <c r="D63" s="89">
        <f>ROUND(B63*C63,2)</f>
        <v>373767</v>
      </c>
      <c r="E63" s="87">
        <v>525862.0981650199</v>
      </c>
      <c r="F63" s="88"/>
      <c r="G63" s="89"/>
      <c r="H63" s="89"/>
      <c r="I63" s="61"/>
      <c r="J63" s="74">
        <f>G65-J61</f>
        <v>-468.13000000081956</v>
      </c>
    </row>
    <row r="64" spans="1:9" ht="12.75">
      <c r="A64" s="7"/>
      <c r="B64" s="87"/>
      <c r="C64" s="5"/>
      <c r="D64" s="89"/>
      <c r="E64" s="87"/>
      <c r="F64" s="5"/>
      <c r="G64" s="89"/>
      <c r="H64" s="89"/>
      <c r="I64" s="61"/>
    </row>
    <row r="65" spans="1:9" ht="12.75">
      <c r="A65" s="71" t="s">
        <v>157</v>
      </c>
      <c r="B65" s="87"/>
      <c r="C65" s="5"/>
      <c r="D65" s="89"/>
      <c r="E65" s="87">
        <f>SUM(E60:E62)</f>
        <v>53061651.88919854</v>
      </c>
      <c r="F65" s="87"/>
      <c r="G65" s="204">
        <f>SUM(G57:G63)</f>
        <v>9496776.53</v>
      </c>
      <c r="H65" s="89"/>
      <c r="I65" s="61"/>
    </row>
    <row r="66" spans="1:9" ht="15.75">
      <c r="A66" s="114"/>
      <c r="B66" s="206"/>
      <c r="C66" s="206"/>
      <c r="D66" s="89"/>
      <c r="E66" s="207"/>
      <c r="F66" s="207"/>
      <c r="G66" s="208"/>
      <c r="H66" s="198"/>
      <c r="I66" s="61"/>
    </row>
    <row r="67" spans="1:9" ht="15.75">
      <c r="A67" s="106" t="s">
        <v>158</v>
      </c>
      <c r="B67" s="206"/>
      <c r="C67" s="88"/>
      <c r="D67" s="88"/>
      <c r="E67" s="209"/>
      <c r="F67" s="88">
        <f>+F73</f>
        <v>0.36043</v>
      </c>
      <c r="G67" s="208">
        <f>F67*E65</f>
        <v>19125011.190423828</v>
      </c>
      <c r="H67" s="198"/>
      <c r="I67" s="61"/>
    </row>
    <row r="68" spans="1:18" ht="12.75">
      <c r="A68" s="7" t="s">
        <v>183</v>
      </c>
      <c r="B68" s="5"/>
      <c r="C68" s="89"/>
      <c r="D68" s="89"/>
      <c r="E68" s="5"/>
      <c r="F68" s="89">
        <f>+E73</f>
        <v>1.04</v>
      </c>
      <c r="G68" s="208">
        <f>E59*F68</f>
        <v>2039312.5161290322</v>
      </c>
      <c r="H68" s="198"/>
      <c r="I68" s="61"/>
      <c r="R68" s="44"/>
    </row>
    <row r="69" spans="1:10" ht="12.75">
      <c r="A69" s="7"/>
      <c r="B69" s="5"/>
      <c r="C69" s="5"/>
      <c r="D69" s="89"/>
      <c r="E69" s="5"/>
      <c r="F69" s="5"/>
      <c r="G69" s="208"/>
      <c r="H69" s="198"/>
      <c r="I69" s="61"/>
      <c r="J69" s="55"/>
    </row>
    <row r="70" spans="1:9" ht="16.5" thickBot="1">
      <c r="A70" s="71" t="s">
        <v>159</v>
      </c>
      <c r="B70" s="206"/>
      <c r="C70" s="87"/>
      <c r="D70" s="76">
        <f>SUM(D57:D63)</f>
        <v>29280386.43</v>
      </c>
      <c r="E70" s="87"/>
      <c r="F70" s="87"/>
      <c r="G70" s="116">
        <f>SUM(G64:G69)</f>
        <v>30661100.236552857</v>
      </c>
      <c r="H70" s="344">
        <f>G70-D70</f>
        <v>1380713.8065528572</v>
      </c>
      <c r="I70" s="345">
        <f>ROUND(H70/D70,5)</f>
        <v>0.04715</v>
      </c>
    </row>
    <row r="71" spans="1:9" ht="14.25" customHeight="1" thickTop="1">
      <c r="A71" s="7"/>
      <c r="B71" s="5"/>
      <c r="C71" s="5"/>
      <c r="D71" s="89"/>
      <c r="E71" s="5"/>
      <c r="F71" s="5"/>
      <c r="G71" s="90"/>
      <c r="H71" s="89"/>
      <c r="I71" s="345"/>
    </row>
    <row r="72" spans="1:10" s="334" customFormat="1" ht="41.25" customHeight="1">
      <c r="A72" s="348"/>
      <c r="B72" s="349" t="s">
        <v>225</v>
      </c>
      <c r="C72" s="349" t="s">
        <v>226</v>
      </c>
      <c r="D72" s="349" t="s">
        <v>227</v>
      </c>
      <c r="E72" s="350" t="s">
        <v>231</v>
      </c>
      <c r="F72" s="350" t="s">
        <v>232</v>
      </c>
      <c r="G72" s="351" t="s">
        <v>233</v>
      </c>
      <c r="H72" s="352"/>
      <c r="I72" s="353"/>
      <c r="J72" s="354"/>
    </row>
    <row r="73" spans="1:9" ht="14.25" customHeight="1">
      <c r="A73" s="355" t="s">
        <v>206</v>
      </c>
      <c r="B73" s="356">
        <f>(0.06229+0.31956)</f>
        <v>0.38185</v>
      </c>
      <c r="C73" s="47">
        <v>1.04454</v>
      </c>
      <c r="D73" s="357">
        <f>ROUND(B73*C73,5)</f>
        <v>0.39886</v>
      </c>
      <c r="E73" s="90">
        <v>1.04</v>
      </c>
      <c r="F73" s="6">
        <f>ROUND(+(D74-E74)/E65,5)</f>
        <v>0.36043</v>
      </c>
      <c r="G73" s="358"/>
      <c r="H73" s="5"/>
      <c r="I73" s="345"/>
    </row>
    <row r="74" spans="1:10" ht="14.25" customHeight="1">
      <c r="A74" s="359" t="s">
        <v>234</v>
      </c>
      <c r="B74" s="360">
        <f>+B73*E65</f>
        <v>20261591.773890465</v>
      </c>
      <c r="C74" s="360"/>
      <c r="D74" s="360">
        <f>+D73*E65</f>
        <v>21164170.47252573</v>
      </c>
      <c r="E74" s="360">
        <f>+E73*E59</f>
        <v>2039312.5161290322</v>
      </c>
      <c r="F74" s="360">
        <f>+F73*E65</f>
        <v>19125011.190423828</v>
      </c>
      <c r="G74" s="361">
        <f>+F74+E74</f>
        <v>21164323.70655286</v>
      </c>
      <c r="H74" s="362"/>
      <c r="I74" s="363"/>
      <c r="J74" s="55"/>
    </row>
    <row r="75" spans="1:9" ht="14.25" customHeight="1">
      <c r="A75" s="7"/>
      <c r="B75" s="5"/>
      <c r="C75" s="5"/>
      <c r="D75" s="89"/>
      <c r="E75" s="5"/>
      <c r="F75" s="5"/>
      <c r="G75" s="90"/>
      <c r="H75" s="89"/>
      <c r="I75" s="345"/>
    </row>
    <row r="76" spans="1:10" ht="14.25" customHeight="1">
      <c r="A76" s="59"/>
      <c r="B76" s="93"/>
      <c r="C76" s="93"/>
      <c r="D76" s="198"/>
      <c r="E76" s="93"/>
      <c r="F76" s="93"/>
      <c r="G76" s="90"/>
      <c r="H76" s="364"/>
      <c r="I76" s="363"/>
      <c r="J76" s="55"/>
    </row>
    <row r="77" spans="1:10" ht="15.75">
      <c r="A77" s="69" t="s">
        <v>184</v>
      </c>
      <c r="B77" s="93"/>
      <c r="C77" s="93"/>
      <c r="D77" s="198"/>
      <c r="E77" s="93"/>
      <c r="F77" s="5"/>
      <c r="G77" s="210"/>
      <c r="H77" s="198"/>
      <c r="I77" s="61"/>
      <c r="J77" s="70" t="s">
        <v>210</v>
      </c>
    </row>
    <row r="78" spans="1:10" ht="12.75">
      <c r="A78" s="71" t="s">
        <v>155</v>
      </c>
      <c r="B78" s="87">
        <f>E78</f>
        <v>216</v>
      </c>
      <c r="C78" s="89">
        <v>9.9</v>
      </c>
      <c r="D78" s="89">
        <f>ROUND(B78*C78,2)</f>
        <v>2138.4</v>
      </c>
      <c r="E78" s="87">
        <v>216</v>
      </c>
      <c r="F78" s="89">
        <v>150</v>
      </c>
      <c r="G78" s="89">
        <f>ROUND(E78*F78,2)</f>
        <v>32400</v>
      </c>
      <c r="H78" s="89"/>
      <c r="I78" s="61"/>
      <c r="J78" s="72">
        <v>38337.23</v>
      </c>
    </row>
    <row r="79" spans="1:10" ht="12.75">
      <c r="A79" s="7" t="s">
        <v>156</v>
      </c>
      <c r="B79" s="87">
        <f>E79</f>
        <v>64632</v>
      </c>
      <c r="C79" s="205">
        <v>0.83878</v>
      </c>
      <c r="D79" s="89">
        <f>ROUND(B79*C79,2)</f>
        <v>54212.03</v>
      </c>
      <c r="E79" s="87">
        <v>64632</v>
      </c>
      <c r="F79" s="88">
        <v>0.09176</v>
      </c>
      <c r="G79" s="89">
        <f>ROUND(E79*F79,2)</f>
        <v>5930.63</v>
      </c>
      <c r="H79" s="89"/>
      <c r="I79" s="61"/>
      <c r="J79" s="72" t="s">
        <v>211</v>
      </c>
    </row>
    <row r="80" spans="1:10" ht="12.75">
      <c r="A80" s="7"/>
      <c r="B80" s="87"/>
      <c r="C80" s="88"/>
      <c r="D80" s="89"/>
      <c r="E80" s="87"/>
      <c r="F80" s="88"/>
      <c r="G80" s="89"/>
      <c r="H80" s="89"/>
      <c r="I80" s="61"/>
      <c r="J80" s="365">
        <f>+G81-J78</f>
        <v>-6.600000000005821</v>
      </c>
    </row>
    <row r="81" spans="1:9" ht="12.75">
      <c r="A81" s="71" t="s">
        <v>157</v>
      </c>
      <c r="B81" s="93"/>
      <c r="C81" s="93"/>
      <c r="D81" s="89"/>
      <c r="E81" s="87">
        <f>E79+E80</f>
        <v>64632</v>
      </c>
      <c r="F81" s="87"/>
      <c r="G81" s="89">
        <f>SUM(G78:G80)</f>
        <v>38330.63</v>
      </c>
      <c r="H81" s="89"/>
      <c r="I81" s="61"/>
    </row>
    <row r="82" spans="1:12" ht="26.25" customHeight="1">
      <c r="A82" s="71"/>
      <c r="B82" s="93"/>
      <c r="C82" s="93"/>
      <c r="D82" s="198"/>
      <c r="E82" s="87"/>
      <c r="F82" s="87"/>
      <c r="G82" s="89"/>
      <c r="H82" s="89"/>
      <c r="I82" s="61"/>
      <c r="J82" s="50" t="s">
        <v>225</v>
      </c>
      <c r="K82" s="50" t="s">
        <v>226</v>
      </c>
      <c r="L82" s="50" t="s">
        <v>227</v>
      </c>
    </row>
    <row r="83" spans="1:12" ht="15.75">
      <c r="A83" s="106" t="s">
        <v>158</v>
      </c>
      <c r="B83" s="206"/>
      <c r="C83" s="206"/>
      <c r="D83" s="89"/>
      <c r="E83" s="207"/>
      <c r="F83" s="88">
        <f>+L83</f>
        <v>0.37554</v>
      </c>
      <c r="G83" s="208">
        <f>E81*F83</f>
        <v>24271.90128</v>
      </c>
      <c r="H83" s="198"/>
      <c r="I83" s="61"/>
      <c r="J83" s="340">
        <v>0.35953</v>
      </c>
      <c r="K83" s="144">
        <v>1.04454</v>
      </c>
      <c r="L83" s="342">
        <f>ROUND(J83*K83,5)</f>
        <v>0.37554</v>
      </c>
    </row>
    <row r="84" spans="1:10" ht="12.75">
      <c r="A84" s="7"/>
      <c r="B84" s="5"/>
      <c r="C84" s="5"/>
      <c r="D84" s="89"/>
      <c r="E84" s="5"/>
      <c r="F84" s="5"/>
      <c r="G84" s="208"/>
      <c r="H84" s="198"/>
      <c r="I84" s="61"/>
      <c r="J84" s="55"/>
    </row>
    <row r="85" spans="1:9" ht="13.5" thickBot="1">
      <c r="A85" s="71" t="s">
        <v>159</v>
      </c>
      <c r="B85" s="87"/>
      <c r="C85" s="87"/>
      <c r="D85" s="76">
        <f>SUM(D78:D80)</f>
        <v>56350.43</v>
      </c>
      <c r="E85" s="87"/>
      <c r="F85" s="87"/>
      <c r="G85" s="116">
        <f>G81+G83</f>
        <v>62602.531279999996</v>
      </c>
      <c r="H85" s="344">
        <f>G85-D85</f>
        <v>6252.101279999995</v>
      </c>
      <c r="I85" s="366">
        <f>ROUND(H85/D85,5)</f>
        <v>0.11095</v>
      </c>
    </row>
    <row r="86" spans="1:9" ht="13.5" thickTop="1">
      <c r="A86" s="9"/>
      <c r="B86" s="1"/>
      <c r="C86" s="1"/>
      <c r="D86" s="83"/>
      <c r="E86" s="1"/>
      <c r="F86" s="1"/>
      <c r="G86" s="83"/>
      <c r="H86" s="367"/>
      <c r="I86" s="368"/>
    </row>
    <row r="87" spans="4:8" ht="15.75">
      <c r="D87" s="57"/>
      <c r="H87" s="57"/>
    </row>
    <row r="88" spans="4:8" ht="15.75">
      <c r="D88" s="57"/>
      <c r="H88" s="57"/>
    </row>
    <row r="89" spans="4:8" ht="15.75">
      <c r="D89" s="57"/>
      <c r="H89" s="57"/>
    </row>
    <row r="90" spans="4:8" ht="15.75">
      <c r="D90" s="57"/>
      <c r="H90" s="57"/>
    </row>
    <row r="91" spans="4:8" ht="15.75">
      <c r="D91" s="57"/>
      <c r="H91" s="57"/>
    </row>
    <row r="92" spans="4:8" ht="15.75">
      <c r="D92" s="57"/>
      <c r="H92" s="57"/>
    </row>
    <row r="93" spans="4:8" ht="15.75">
      <c r="D93" s="57"/>
      <c r="H93" s="57"/>
    </row>
    <row r="94" spans="4:8" ht="15.75">
      <c r="D94" s="57"/>
      <c r="H94" s="57"/>
    </row>
    <row r="95" spans="4:8" ht="15.75">
      <c r="D95" s="57"/>
      <c r="H95" s="57"/>
    </row>
    <row r="96" spans="4:10" ht="15.75">
      <c r="D96" s="57"/>
      <c r="H96" s="57"/>
      <c r="J96" s="55"/>
    </row>
    <row r="97" spans="4:8" ht="15.75">
      <c r="D97" s="57"/>
      <c r="H97" s="57"/>
    </row>
    <row r="98" spans="4:8" ht="15.75">
      <c r="D98" s="57"/>
      <c r="H98" s="57"/>
    </row>
    <row r="99" spans="4:8" ht="15.75">
      <c r="D99" s="57"/>
      <c r="H99" s="57"/>
    </row>
    <row r="100" spans="4:8" ht="15.75">
      <c r="D100" s="57"/>
      <c r="H100" s="57"/>
    </row>
    <row r="101" spans="4:8" ht="15.75">
      <c r="D101" s="57"/>
      <c r="H101" s="57"/>
    </row>
    <row r="102" spans="4:8" ht="15.75">
      <c r="D102" s="57"/>
      <c r="H102" s="57"/>
    </row>
    <row r="103" spans="4:8" ht="15.75">
      <c r="D103" s="57"/>
      <c r="H103" s="57"/>
    </row>
    <row r="104" spans="4:8" ht="15.75">
      <c r="D104" s="57"/>
      <c r="H104" s="57"/>
    </row>
    <row r="105" spans="4:8" ht="15.75">
      <c r="D105" s="57"/>
      <c r="H105" s="57"/>
    </row>
    <row r="106" spans="4:10" ht="15.75">
      <c r="D106" s="57"/>
      <c r="H106" s="57"/>
      <c r="J106" s="55"/>
    </row>
    <row r="107" spans="4:8" ht="15.75">
      <c r="D107" s="57"/>
      <c r="H107" s="57"/>
    </row>
    <row r="108" spans="4:10" ht="15.75">
      <c r="D108" s="57"/>
      <c r="H108" s="57"/>
      <c r="J108" s="55"/>
    </row>
    <row r="109" spans="4:8" ht="15.75">
      <c r="D109" s="57"/>
      <c r="H109" s="57"/>
    </row>
    <row r="110" spans="4:8" ht="15.75">
      <c r="D110" s="57"/>
      <c r="H110" s="57"/>
    </row>
    <row r="111" spans="1:5" ht="12.75">
      <c r="A111" s="55"/>
      <c r="B111" s="55"/>
      <c r="C111" s="55"/>
      <c r="D111" s="60"/>
      <c r="E111" s="119"/>
    </row>
    <row r="112" spans="1:10" ht="12.75">
      <c r="A112" s="55"/>
      <c r="B112" s="55"/>
      <c r="C112" s="55"/>
      <c r="D112" s="60"/>
      <c r="E112" s="119"/>
      <c r="J112" s="94"/>
    </row>
    <row r="113" spans="2:4" ht="15.75">
      <c r="B113" s="55"/>
      <c r="C113" s="55"/>
      <c r="D113" s="60"/>
    </row>
    <row r="114" spans="2:10" ht="15.75">
      <c r="B114" s="55"/>
      <c r="C114" s="55"/>
      <c r="D114" s="60"/>
      <c r="E114" s="2"/>
      <c r="J114" s="55"/>
    </row>
    <row r="115" spans="2:10" ht="15.75">
      <c r="B115" s="55"/>
      <c r="C115" s="55"/>
      <c r="D115" s="60"/>
      <c r="E115" s="55"/>
      <c r="J115" s="55"/>
    </row>
    <row r="116" spans="2:4" ht="15.75">
      <c r="B116" s="55"/>
      <c r="C116" s="55"/>
      <c r="D116" s="60"/>
    </row>
    <row r="117" spans="2:5" ht="15.75">
      <c r="B117" s="55"/>
      <c r="C117" s="55"/>
      <c r="D117" s="60"/>
      <c r="E117" s="94"/>
    </row>
    <row r="118" spans="3:5" ht="15.75">
      <c r="C118" s="55"/>
      <c r="D118" s="60"/>
      <c r="E118" s="94"/>
    </row>
    <row r="119" spans="3:10" ht="15.75">
      <c r="C119" s="55"/>
      <c r="D119" s="60"/>
      <c r="E119" s="94"/>
      <c r="J119" s="55"/>
    </row>
    <row r="120" spans="3:10" ht="15.75">
      <c r="C120" s="55"/>
      <c r="D120" s="60"/>
      <c r="E120" s="94"/>
      <c r="J120" s="55"/>
    </row>
    <row r="121" spans="3:10" ht="15.75">
      <c r="C121" s="55"/>
      <c r="D121" s="60"/>
      <c r="F121" s="45"/>
      <c r="G121" s="102"/>
      <c r="J121" s="55"/>
    </row>
    <row r="122" spans="3:10" ht="15.75">
      <c r="C122" s="55"/>
      <c r="D122" s="60"/>
      <c r="E122" s="55"/>
      <c r="G122" s="117"/>
      <c r="J122" s="55"/>
    </row>
    <row r="123" spans="3:10" ht="15.75">
      <c r="C123" s="55"/>
      <c r="D123" s="60"/>
      <c r="E123" s="55"/>
      <c r="G123" s="117"/>
      <c r="J123" s="55"/>
    </row>
    <row r="124" spans="3:10" ht="15.75">
      <c r="C124" s="55"/>
      <c r="D124" s="60"/>
      <c r="E124" s="55"/>
      <c r="G124" s="117"/>
      <c r="J124" s="55"/>
    </row>
    <row r="125" spans="3:10" ht="15.75">
      <c r="C125" s="55"/>
      <c r="D125" s="60"/>
      <c r="E125" s="55"/>
      <c r="G125" s="117"/>
      <c r="J125" s="55"/>
    </row>
    <row r="126" spans="3:10" ht="15.75">
      <c r="C126" s="55"/>
      <c r="D126" s="60"/>
      <c r="E126" s="55"/>
      <c r="G126" s="117"/>
      <c r="J126" s="55"/>
    </row>
    <row r="127" spans="3:10" ht="15.75">
      <c r="C127" s="55"/>
      <c r="D127" s="60"/>
      <c r="E127" s="55"/>
      <c r="G127" s="117"/>
      <c r="J127" s="55"/>
    </row>
    <row r="128" spans="3:10" ht="15.75">
      <c r="C128" s="55"/>
      <c r="D128" s="60"/>
      <c r="E128" s="55"/>
      <c r="G128" s="117"/>
      <c r="J128" s="55"/>
    </row>
    <row r="129" spans="3:10" ht="15.75">
      <c r="C129" s="55"/>
      <c r="D129" s="60"/>
      <c r="E129" s="55"/>
      <c r="G129" s="117"/>
      <c r="J129" s="55"/>
    </row>
    <row r="130" spans="3:10" ht="15.75">
      <c r="C130" s="55"/>
      <c r="D130" s="60"/>
      <c r="E130" s="55"/>
      <c r="G130" s="117"/>
      <c r="J130" s="55"/>
    </row>
    <row r="131" spans="3:10" ht="15.75">
      <c r="C131" s="55"/>
      <c r="D131" s="60"/>
      <c r="E131" s="55"/>
      <c r="G131" s="117"/>
      <c r="J131" s="55"/>
    </row>
    <row r="132" spans="3:10" ht="15.75">
      <c r="C132" s="55"/>
      <c r="D132" s="60"/>
      <c r="E132" s="55"/>
      <c r="G132" s="117"/>
      <c r="J132" s="55"/>
    </row>
    <row r="133" spans="3:10" ht="15.75">
      <c r="C133" s="55"/>
      <c r="D133" s="60"/>
      <c r="E133" s="55"/>
      <c r="G133" s="117"/>
      <c r="J133" s="55"/>
    </row>
    <row r="134" spans="3:10" ht="15.75">
      <c r="C134" s="55"/>
      <c r="D134" s="60"/>
      <c r="E134" s="55"/>
      <c r="G134" s="117"/>
      <c r="J134" s="55"/>
    </row>
    <row r="135" spans="3:10" ht="15.75">
      <c r="C135" s="55"/>
      <c r="D135" s="60"/>
      <c r="E135" s="55"/>
      <c r="G135" s="117"/>
      <c r="J135" s="55"/>
    </row>
    <row r="136" spans="3:10" ht="15.75">
      <c r="C136" s="55"/>
      <c r="D136" s="60"/>
      <c r="E136" s="55"/>
      <c r="G136" s="117"/>
      <c r="J136" s="55"/>
    </row>
    <row r="137" spans="3:10" ht="15.75">
      <c r="C137" s="55"/>
      <c r="D137" s="60"/>
      <c r="E137" s="55"/>
      <c r="G137" s="117"/>
      <c r="J137" s="55"/>
    </row>
    <row r="138" spans="3:7" ht="15.75">
      <c r="C138" s="55"/>
      <c r="D138" s="60"/>
      <c r="G138" s="112"/>
    </row>
    <row r="139" spans="1:4" ht="12.75">
      <c r="A139" t="s">
        <v>215</v>
      </c>
      <c r="B139" s="55"/>
      <c r="C139" s="55"/>
      <c r="D139" s="60"/>
    </row>
    <row r="140" spans="3:4" ht="15.75">
      <c r="C140" s="55"/>
      <c r="D140" s="60"/>
    </row>
    <row r="141" spans="2:4" ht="15.75">
      <c r="B141" s="55"/>
      <c r="C141" s="55"/>
      <c r="D141" s="60"/>
    </row>
    <row r="142" spans="2:4" ht="15.75">
      <c r="B142" s="55"/>
      <c r="C142" s="55"/>
      <c r="D142" s="60"/>
    </row>
    <row r="143" spans="2:4" ht="15.75">
      <c r="B143" s="55"/>
      <c r="C143" s="55"/>
      <c r="D143" s="60"/>
    </row>
    <row r="144" spans="2:4" ht="15.75">
      <c r="B144" s="55"/>
      <c r="C144" s="55"/>
      <c r="D144" s="60"/>
    </row>
    <row r="145" spans="2:3" ht="15.75">
      <c r="B145" s="55"/>
      <c r="C145" s="55"/>
    </row>
    <row r="146" spans="2:3" ht="15.75">
      <c r="B146" s="55"/>
      <c r="C146" s="55"/>
    </row>
    <row r="147" spans="2:3" ht="15.75">
      <c r="B147" s="55"/>
      <c r="C147" s="55"/>
    </row>
    <row r="148" spans="2:3" ht="15.75">
      <c r="B148" s="55"/>
      <c r="C148" s="55"/>
    </row>
    <row r="149" spans="2:3" ht="15.75">
      <c r="B149" s="55"/>
      <c r="C149" s="55"/>
    </row>
  </sheetData>
  <mergeCells count="2">
    <mergeCell ref="A2:I2"/>
    <mergeCell ref="A3:I3"/>
  </mergeCells>
  <printOptions/>
  <pageMargins left="0.75" right="0.75" top="1" bottom="1" header="0.5" footer="0.5"/>
  <pageSetup fitToHeight="2" horizontalDpi="600" verticalDpi="600" orientation="landscape" scale="60" r:id="rId1"/>
  <headerFooter alignWithMargins="0">
    <oddHeader>&amp;CPuget Sound Energy - Gas
Tariffed Rate Components
&amp;RRate Design Appendix
&amp;A
Page &amp;P of &amp;N
For Settlement Purposes Only</oddHeader>
    <oddFooter>&amp;R&amp;D &amp;T
&amp;F, &amp;A</oddFooter>
  </headerFooter>
  <rowBreaks count="1" manualBreakCount="1">
    <brk id="4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2"/>
  <sheetViews>
    <sheetView zoomScale="75" zoomScaleNormal="75" workbookViewId="0" topLeftCell="A1">
      <selection activeCell="E27" sqref="E26:E27"/>
    </sheetView>
  </sheetViews>
  <sheetFormatPr defaultColWidth="9.140625" defaultRowHeight="12.75"/>
  <cols>
    <col min="1" max="1" width="42.57421875" style="84" customWidth="1"/>
    <col min="2" max="2" width="12.00390625" style="233" customWidth="1"/>
    <col min="3" max="3" width="9.140625" style="234" customWidth="1"/>
    <col min="4" max="4" width="14.57421875" style="104" customWidth="1"/>
    <col min="5" max="5" width="11.140625" style="46" customWidth="1"/>
    <col min="6" max="6" width="16.140625" style="57" customWidth="1"/>
    <col min="7" max="7" width="14.28125" style="57" customWidth="1"/>
    <col min="8" max="8" width="11.7109375" style="57" customWidth="1"/>
    <col min="9" max="9" width="7.28125" style="231" customWidth="1"/>
    <col min="10" max="10" width="22.00390625" style="0" customWidth="1"/>
    <col min="12" max="12" width="24.00390625" style="0" customWidth="1"/>
  </cols>
  <sheetData>
    <row r="1" spans="1:10" ht="12.75">
      <c r="A1" s="267"/>
      <c r="B1" s="212"/>
      <c r="C1" s="213"/>
      <c r="D1" s="97"/>
      <c r="E1" s="212"/>
      <c r="F1" s="97"/>
      <c r="G1" s="98"/>
      <c r="H1" s="85"/>
      <c r="I1" s="99"/>
      <c r="J1" s="55"/>
    </row>
    <row r="2" spans="1:10" ht="12.75">
      <c r="A2" s="100" t="s">
        <v>208</v>
      </c>
      <c r="B2" s="263"/>
      <c r="C2" s="264"/>
      <c r="D2" s="200"/>
      <c r="E2" s="263"/>
      <c r="F2" s="200"/>
      <c r="G2" s="200"/>
      <c r="H2" s="89"/>
      <c r="I2" s="56"/>
      <c r="J2" s="55"/>
    </row>
    <row r="3" spans="1:10" ht="12.75">
      <c r="A3" s="100" t="s">
        <v>209</v>
      </c>
      <c r="B3" s="263"/>
      <c r="C3" s="264"/>
      <c r="D3" s="200"/>
      <c r="E3" s="263"/>
      <c r="F3" s="200"/>
      <c r="G3" s="201"/>
      <c r="H3" s="89"/>
      <c r="I3" s="58"/>
      <c r="J3" s="55"/>
    </row>
    <row r="4" spans="1:10" ht="12.75">
      <c r="A4" s="59"/>
      <c r="B4" s="207"/>
      <c r="C4" s="265"/>
      <c r="D4" s="198"/>
      <c r="E4" s="207"/>
      <c r="F4" s="198"/>
      <c r="G4" s="89"/>
      <c r="H4" s="89"/>
      <c r="I4" s="58"/>
      <c r="J4" s="55"/>
    </row>
    <row r="5" spans="1:10" ht="12.75">
      <c r="A5" s="59"/>
      <c r="B5" s="207"/>
      <c r="C5" s="265"/>
      <c r="D5" s="198"/>
      <c r="E5" s="207"/>
      <c r="F5" s="198"/>
      <c r="G5" s="198"/>
      <c r="H5" s="198"/>
      <c r="I5" s="61"/>
      <c r="J5" s="55"/>
    </row>
    <row r="6" spans="1:10" ht="12.75">
      <c r="A6" s="62"/>
      <c r="B6" s="266" t="s">
        <v>147</v>
      </c>
      <c r="C6" s="264" t="s">
        <v>148</v>
      </c>
      <c r="D6" s="200"/>
      <c r="E6" s="266"/>
      <c r="F6" s="200" t="s">
        <v>149</v>
      </c>
      <c r="G6" s="200"/>
      <c r="H6" s="200" t="s">
        <v>150</v>
      </c>
      <c r="I6" s="103"/>
      <c r="J6" s="63"/>
    </row>
    <row r="7" spans="1:10" ht="12.75">
      <c r="A7" s="64" t="s">
        <v>46</v>
      </c>
      <c r="B7" s="217" t="s">
        <v>151</v>
      </c>
      <c r="C7" s="218" t="s">
        <v>152</v>
      </c>
      <c r="D7" s="66" t="s">
        <v>153</v>
      </c>
      <c r="E7" s="217" t="s">
        <v>59</v>
      </c>
      <c r="F7" s="66" t="s">
        <v>152</v>
      </c>
      <c r="G7" s="66" t="s">
        <v>153</v>
      </c>
      <c r="H7" s="67" t="s">
        <v>154</v>
      </c>
      <c r="I7" s="68" t="s">
        <v>58</v>
      </c>
      <c r="J7" s="63"/>
    </row>
    <row r="8" spans="1:10" ht="12.75">
      <c r="A8" s="71"/>
      <c r="B8" s="207"/>
      <c r="C8" s="265"/>
      <c r="D8" s="198"/>
      <c r="E8" s="203"/>
      <c r="F8" s="89"/>
      <c r="G8" s="204"/>
      <c r="H8" s="89"/>
      <c r="I8" s="219"/>
      <c r="J8" s="244" t="s">
        <v>210</v>
      </c>
    </row>
    <row r="9" spans="1:10" ht="15.75">
      <c r="A9" s="69" t="s">
        <v>185</v>
      </c>
      <c r="B9" s="87"/>
      <c r="C9" s="88"/>
      <c r="D9" s="89"/>
      <c r="E9" s="203"/>
      <c r="F9" s="89"/>
      <c r="G9" s="204"/>
      <c r="H9" s="89"/>
      <c r="I9" s="219"/>
      <c r="J9" s="369">
        <v>2044316.36</v>
      </c>
    </row>
    <row r="10" spans="1:10" ht="12.75">
      <c r="A10" s="71" t="s">
        <v>155</v>
      </c>
      <c r="B10" s="87">
        <f>E10</f>
        <v>636</v>
      </c>
      <c r="C10" s="89">
        <v>0</v>
      </c>
      <c r="D10" s="89">
        <f>ROUND(B10*C10,2)</f>
        <v>0</v>
      </c>
      <c r="E10" s="87">
        <v>636</v>
      </c>
      <c r="F10" s="89">
        <v>300</v>
      </c>
      <c r="G10" s="204">
        <f>ROUND(E10*F10,2)</f>
        <v>190800</v>
      </c>
      <c r="H10" s="89"/>
      <c r="I10" s="219"/>
      <c r="J10" s="245" t="s">
        <v>211</v>
      </c>
    </row>
    <row r="11" spans="1:10" ht="12.75">
      <c r="A11" s="7" t="s">
        <v>178</v>
      </c>
      <c r="B11" s="87">
        <f>E11</f>
        <v>116148</v>
      </c>
      <c r="C11" s="88">
        <v>1.99</v>
      </c>
      <c r="D11" s="89">
        <f>ROUND(B11*C11,2)</f>
        <v>231134.52</v>
      </c>
      <c r="E11" s="87">
        <v>116148</v>
      </c>
      <c r="F11" s="89">
        <f>F52</f>
        <v>0.99</v>
      </c>
      <c r="G11" s="204">
        <f>ROUND(E11*F11,2)</f>
        <v>114986.52</v>
      </c>
      <c r="H11" s="89"/>
      <c r="I11" s="219"/>
      <c r="J11" s="246">
        <f>G16-J9</f>
        <v>29.539999999804422</v>
      </c>
    </row>
    <row r="12" spans="1:10" ht="12.75">
      <c r="A12" s="7" t="s">
        <v>186</v>
      </c>
      <c r="B12" s="87">
        <f>E12</f>
        <v>12737351.914432606</v>
      </c>
      <c r="C12" s="88">
        <v>0.51728</v>
      </c>
      <c r="D12" s="89">
        <f>ROUND(B12*C12,2)</f>
        <v>6588777.4</v>
      </c>
      <c r="E12" s="87">
        <v>12737351.914432606</v>
      </c>
      <c r="F12" s="88">
        <v>0.09099</v>
      </c>
      <c r="G12" s="204">
        <f>ROUND(E12*F12,2)</f>
        <v>1158971.65</v>
      </c>
      <c r="H12" s="89"/>
      <c r="I12" s="219"/>
      <c r="J12" s="73"/>
    </row>
    <row r="13" spans="1:10" ht="12.75">
      <c r="A13" s="7" t="s">
        <v>187</v>
      </c>
      <c r="B13" s="87">
        <f>E13</f>
        <v>4559537.98283091</v>
      </c>
      <c r="C13" s="88">
        <v>0.48612</v>
      </c>
      <c r="D13" s="89">
        <f>ROUND(B13*C13,2)</f>
        <v>2216482.6</v>
      </c>
      <c r="E13" s="87">
        <v>4559537.98283091</v>
      </c>
      <c r="F13" s="88">
        <f>F14+0.015</f>
        <v>0.06451</v>
      </c>
      <c r="G13" s="204">
        <f>ROUND(E13*F13,2)</f>
        <v>294135.8</v>
      </c>
      <c r="H13" s="89"/>
      <c r="I13" s="219"/>
      <c r="J13" s="73"/>
    </row>
    <row r="14" spans="1:9" ht="12.75">
      <c r="A14" s="7" t="s">
        <v>188</v>
      </c>
      <c r="B14" s="87">
        <f>E14</f>
        <v>5765540.843651172</v>
      </c>
      <c r="C14" s="88">
        <v>0.46137</v>
      </c>
      <c r="D14" s="89">
        <f>ROUND(B14*C14,2)</f>
        <v>2660047.58</v>
      </c>
      <c r="E14" s="87">
        <v>5765540.843651172</v>
      </c>
      <c r="F14" s="88">
        <f>F55</f>
        <v>0.04951</v>
      </c>
      <c r="G14" s="204">
        <f>ROUND(E14*F14,2)</f>
        <v>285451.93</v>
      </c>
      <c r="H14" s="89"/>
      <c r="I14" s="105"/>
    </row>
    <row r="15" spans="1:9" ht="12.75">
      <c r="A15" s="7"/>
      <c r="B15" s="87"/>
      <c r="C15" s="88"/>
      <c r="D15" s="89"/>
      <c r="E15" s="87"/>
      <c r="F15" s="88"/>
      <c r="G15" s="204"/>
      <c r="H15" s="89"/>
      <c r="I15" s="105"/>
    </row>
    <row r="16" spans="1:10" ht="12.75">
      <c r="A16" s="71" t="s">
        <v>157</v>
      </c>
      <c r="B16" s="87">
        <f>SUM(B12:B14)</f>
        <v>23062430.740914688</v>
      </c>
      <c r="C16" s="88"/>
      <c r="D16" s="5"/>
      <c r="E16" s="87">
        <f>SUM(E12:E14)</f>
        <v>23062430.740914688</v>
      </c>
      <c r="F16" s="89"/>
      <c r="G16" s="204">
        <f>SUM(G10:G14)</f>
        <v>2044345.9</v>
      </c>
      <c r="H16" s="89"/>
      <c r="I16" s="105"/>
      <c r="J16" s="57"/>
    </row>
    <row r="17" spans="1:12" ht="30.75" customHeight="1">
      <c r="A17" s="71"/>
      <c r="B17" s="207"/>
      <c r="C17" s="88"/>
      <c r="D17" s="198"/>
      <c r="E17" s="87"/>
      <c r="F17" s="89"/>
      <c r="G17" s="204"/>
      <c r="H17" s="89"/>
      <c r="I17" s="219"/>
      <c r="J17" s="50" t="s">
        <v>225</v>
      </c>
      <c r="K17" s="50" t="s">
        <v>226</v>
      </c>
      <c r="L17" s="50" t="s">
        <v>227</v>
      </c>
    </row>
    <row r="18" spans="1:12" ht="12.75">
      <c r="A18" s="7" t="s">
        <v>158</v>
      </c>
      <c r="B18" s="207"/>
      <c r="C18" s="88"/>
      <c r="D18" s="198"/>
      <c r="E18" s="266"/>
      <c r="F18" s="88">
        <f>+L18</f>
        <v>0.42333</v>
      </c>
      <c r="G18" s="208">
        <f>$E$16*F18</f>
        <v>9763018.805551413</v>
      </c>
      <c r="H18" s="198"/>
      <c r="I18" s="58"/>
      <c r="J18" s="340">
        <v>0.40528</v>
      </c>
      <c r="K18" s="144">
        <v>1.04454</v>
      </c>
      <c r="L18" s="342">
        <f>ROUND(J18*K18,5)</f>
        <v>0.42333</v>
      </c>
    </row>
    <row r="19" spans="1:9" ht="12.75">
      <c r="A19" s="7" t="s">
        <v>189</v>
      </c>
      <c r="B19" s="207"/>
      <c r="C19" s="265"/>
      <c r="D19" s="198"/>
      <c r="E19" s="266"/>
      <c r="F19" s="265">
        <v>1.04</v>
      </c>
      <c r="G19" s="208">
        <f>E11*F19</f>
        <v>120793.92</v>
      </c>
      <c r="H19" s="89"/>
      <c r="I19" s="219"/>
    </row>
    <row r="20" spans="1:9" ht="12.75">
      <c r="A20" s="7"/>
      <c r="B20" s="207"/>
      <c r="C20" s="265"/>
      <c r="D20" s="198"/>
      <c r="E20" s="87"/>
      <c r="F20" s="198"/>
      <c r="G20" s="204"/>
      <c r="H20" s="89"/>
      <c r="I20" s="105"/>
    </row>
    <row r="21" spans="1:9" ht="12.75">
      <c r="A21" s="7" t="s">
        <v>159</v>
      </c>
      <c r="B21" s="87"/>
      <c r="C21" s="88"/>
      <c r="D21" s="89">
        <f>SUM(D10:D14)</f>
        <v>11696442.1</v>
      </c>
      <c r="E21" s="87"/>
      <c r="F21" s="198"/>
      <c r="G21" s="204">
        <f>SUM(G16:G19)</f>
        <v>11928158.625551414</v>
      </c>
      <c r="H21" s="89">
        <f>G21-D21</f>
        <v>231716.52555141412</v>
      </c>
      <c r="I21" s="219">
        <f>H21/D21</f>
        <v>0.01981085560637402</v>
      </c>
    </row>
    <row r="22" spans="1:9" ht="12.75">
      <c r="A22" s="7"/>
      <c r="B22" s="207"/>
      <c r="C22" s="265"/>
      <c r="D22" s="198"/>
      <c r="E22" s="87"/>
      <c r="F22" s="198"/>
      <c r="G22" s="204"/>
      <c r="H22" s="89"/>
      <c r="I22" s="105"/>
    </row>
    <row r="23" spans="1:10" ht="12.75">
      <c r="A23" s="59"/>
      <c r="B23" s="207"/>
      <c r="C23" s="265"/>
      <c r="D23" s="198"/>
      <c r="E23" s="207"/>
      <c r="F23" s="198"/>
      <c r="G23" s="204"/>
      <c r="H23" s="198"/>
      <c r="I23" s="61"/>
      <c r="J23" s="55"/>
    </row>
    <row r="24" spans="1:9" ht="12.75">
      <c r="A24" s="7"/>
      <c r="B24" s="207"/>
      <c r="C24" s="265"/>
      <c r="D24" s="198"/>
      <c r="E24" s="87"/>
      <c r="F24" s="198"/>
      <c r="G24" s="204"/>
      <c r="H24" s="198"/>
      <c r="I24" s="105"/>
    </row>
    <row r="25" spans="1:10" ht="15.75">
      <c r="A25" s="69" t="s">
        <v>190</v>
      </c>
      <c r="B25" s="207"/>
      <c r="C25" s="265"/>
      <c r="D25" s="198"/>
      <c r="E25" s="203"/>
      <c r="F25" s="89"/>
      <c r="G25" s="204"/>
      <c r="H25" s="89"/>
      <c r="I25" s="219"/>
      <c r="J25" s="220"/>
    </row>
    <row r="26" spans="1:10" ht="12.75">
      <c r="A26" s="71" t="s">
        <v>155</v>
      </c>
      <c r="B26" s="87">
        <f>E26</f>
        <v>7416</v>
      </c>
      <c r="C26" s="89">
        <v>0</v>
      </c>
      <c r="D26" s="89">
        <f>ROUND(B26*C26,2)</f>
        <v>0</v>
      </c>
      <c r="E26" s="87">
        <v>7416</v>
      </c>
      <c r="F26" s="89">
        <v>50</v>
      </c>
      <c r="G26" s="204">
        <f>ROUND(E26*F26,2)</f>
        <v>370800</v>
      </c>
      <c r="H26" s="89"/>
      <c r="I26" s="219"/>
      <c r="J26" s="244" t="s">
        <v>210</v>
      </c>
    </row>
    <row r="27" spans="1:10" ht="12.75">
      <c r="A27" s="7" t="s">
        <v>178</v>
      </c>
      <c r="B27" s="87">
        <f>E27</f>
        <v>256658.4</v>
      </c>
      <c r="C27" s="88">
        <v>1.99</v>
      </c>
      <c r="D27" s="89">
        <f>ROUND(B27*C27,2)</f>
        <v>510750.22</v>
      </c>
      <c r="E27" s="87">
        <v>256658.4</v>
      </c>
      <c r="F27" s="89">
        <f>F52</f>
        <v>0.99</v>
      </c>
      <c r="G27" s="204">
        <f>ROUND(E27*F27,2)</f>
        <v>254091.82</v>
      </c>
      <c r="H27" s="89"/>
      <c r="I27" s="219"/>
      <c r="J27" s="262">
        <v>4760951.26</v>
      </c>
    </row>
    <row r="28" spans="1:10" ht="12.75">
      <c r="A28" s="7" t="s">
        <v>191</v>
      </c>
      <c r="B28" s="87">
        <f>E28</f>
        <v>5566762.984159788</v>
      </c>
      <c r="C28" s="88">
        <v>0.61977</v>
      </c>
      <c r="D28" s="89">
        <f>ROUND(B28*C28,2)</f>
        <v>3450112.69</v>
      </c>
      <c r="E28" s="87">
        <v>5566762.984159788</v>
      </c>
      <c r="F28" s="88">
        <v>0.2017</v>
      </c>
      <c r="G28" s="204">
        <f>ROUND(E28*F28,2)</f>
        <v>1122816.09</v>
      </c>
      <c r="H28" s="89"/>
      <c r="I28" s="219"/>
      <c r="J28" s="245" t="s">
        <v>211</v>
      </c>
    </row>
    <row r="29" spans="1:10" ht="12.75">
      <c r="A29" s="7" t="s">
        <v>192</v>
      </c>
      <c r="B29" s="87">
        <f>E29</f>
        <v>19863958.78849541</v>
      </c>
      <c r="C29" s="88">
        <v>0.55047</v>
      </c>
      <c r="D29" s="89">
        <f>ROUND(B29*C29,2)</f>
        <v>10934513.39</v>
      </c>
      <c r="E29" s="87">
        <v>19863958.78849541</v>
      </c>
      <c r="F29" s="88">
        <f>F28-0.05</f>
        <v>0.1517</v>
      </c>
      <c r="G29" s="204">
        <f>ROUND(E29*F29,2)</f>
        <v>3013362.55</v>
      </c>
      <c r="H29" s="89"/>
      <c r="I29" s="219"/>
      <c r="J29" s="246">
        <f>G31-J27</f>
        <v>119.20000000018626</v>
      </c>
    </row>
    <row r="30" spans="1:9" ht="12.75">
      <c r="A30" s="7"/>
      <c r="B30" s="87"/>
      <c r="C30" s="88"/>
      <c r="D30" s="89"/>
      <c r="E30" s="87"/>
      <c r="F30" s="89"/>
      <c r="G30" s="204"/>
      <c r="H30" s="89"/>
      <c r="I30" s="105"/>
    </row>
    <row r="31" spans="1:9" ht="12.75">
      <c r="A31" s="71" t="s">
        <v>157</v>
      </c>
      <c r="B31" s="87">
        <f>SUM(B28:B29)</f>
        <v>25430721.772655196</v>
      </c>
      <c r="C31" s="88">
        <f>C28-F33</f>
        <v>0.19644000000000006</v>
      </c>
      <c r="D31" s="5"/>
      <c r="E31" s="87">
        <f>SUM(E28:E29)</f>
        <v>25430721.772655196</v>
      </c>
      <c r="F31" s="89"/>
      <c r="G31" s="204">
        <f>SUM(G26:G29)</f>
        <v>4761070.46</v>
      </c>
      <c r="H31" s="89"/>
      <c r="I31" s="105"/>
    </row>
    <row r="32" spans="1:10" ht="12.75">
      <c r="A32" s="71"/>
      <c r="B32" s="207"/>
      <c r="C32" s="265">
        <f>C29-F33</f>
        <v>0.12714000000000003</v>
      </c>
      <c r="D32" s="198"/>
      <c r="E32" s="87"/>
      <c r="F32" s="89"/>
      <c r="G32" s="204"/>
      <c r="H32" s="89"/>
      <c r="I32" s="105"/>
      <c r="J32" s="57"/>
    </row>
    <row r="33" spans="1:10" ht="12.75">
      <c r="A33" s="7" t="s">
        <v>158</v>
      </c>
      <c r="B33" s="207"/>
      <c r="C33" s="265"/>
      <c r="D33" s="198"/>
      <c r="E33" s="266"/>
      <c r="F33" s="88">
        <f>+L18</f>
        <v>0.42333</v>
      </c>
      <c r="G33" s="208">
        <f>F33*E31</f>
        <v>10765587.448018124</v>
      </c>
      <c r="H33" s="198"/>
      <c r="I33" s="58"/>
      <c r="J33" s="57"/>
    </row>
    <row r="34" spans="1:9" ht="12.75">
      <c r="A34" s="7" t="s">
        <v>183</v>
      </c>
      <c r="B34" s="207"/>
      <c r="C34" s="265"/>
      <c r="D34" s="198"/>
      <c r="E34" s="266"/>
      <c r="F34" s="265">
        <v>1.04</v>
      </c>
      <c r="G34" s="208">
        <f>E27*F34</f>
        <v>266924.736</v>
      </c>
      <c r="H34" s="89"/>
      <c r="I34" s="219"/>
    </row>
    <row r="35" spans="1:9" ht="12.75">
      <c r="A35" s="7"/>
      <c r="B35" s="87"/>
      <c r="C35" s="88"/>
      <c r="D35" s="89"/>
      <c r="E35" s="87"/>
      <c r="F35" s="198"/>
      <c r="G35" s="204"/>
      <c r="H35" s="89"/>
      <c r="I35" s="105"/>
    </row>
    <row r="36" spans="1:10" ht="12.75">
      <c r="A36" s="7" t="s">
        <v>159</v>
      </c>
      <c r="B36" s="87"/>
      <c r="C36" s="88"/>
      <c r="D36" s="89">
        <f>SUM(D26:D29)</f>
        <v>14895376.3</v>
      </c>
      <c r="E36" s="87"/>
      <c r="F36" s="198"/>
      <c r="G36" s="204">
        <f>SUM(G31:G34)</f>
        <v>15793582.644018123</v>
      </c>
      <c r="H36" s="89">
        <f>G36-D36</f>
        <v>898206.3440181222</v>
      </c>
      <c r="I36" s="219">
        <f>H36/D36</f>
        <v>0.06030101730414975</v>
      </c>
      <c r="J36" s="6"/>
    </row>
    <row r="37" spans="1:10" ht="12.75">
      <c r="A37" s="9"/>
      <c r="B37" s="92"/>
      <c r="C37" s="221"/>
      <c r="D37" s="83"/>
      <c r="E37" s="92"/>
      <c r="F37" s="83"/>
      <c r="G37" s="222"/>
      <c r="H37" s="83"/>
      <c r="I37" s="223"/>
      <c r="J37" s="57"/>
    </row>
    <row r="38" spans="1:10" ht="12.75">
      <c r="A38" s="5"/>
      <c r="B38" s="87"/>
      <c r="C38" s="88"/>
      <c r="D38" s="89"/>
      <c r="E38" s="87"/>
      <c r="F38" s="89"/>
      <c r="G38" s="204"/>
      <c r="H38" s="89"/>
      <c r="I38" s="243"/>
      <c r="J38" s="57"/>
    </row>
    <row r="39" spans="1:10" ht="12.75">
      <c r="A39" s="5"/>
      <c r="B39" s="87"/>
      <c r="C39" s="88"/>
      <c r="D39" s="89"/>
      <c r="E39" s="87"/>
      <c r="F39" s="89"/>
      <c r="G39" s="204"/>
      <c r="H39" s="89"/>
      <c r="I39" s="243"/>
      <c r="J39" s="57"/>
    </row>
    <row r="40" spans="1:10" ht="12.75">
      <c r="A40" s="5"/>
      <c r="B40" s="87"/>
      <c r="C40" s="88"/>
      <c r="D40" s="89"/>
      <c r="E40" s="87"/>
      <c r="F40" s="89"/>
      <c r="G40" s="204"/>
      <c r="H40" s="89"/>
      <c r="I40" s="243"/>
      <c r="J40" s="57"/>
    </row>
    <row r="41" spans="1:10" ht="12.75">
      <c r="A41" s="55"/>
      <c r="B41" s="78"/>
      <c r="C41" s="79"/>
      <c r="D41" s="57"/>
      <c r="E41" s="78"/>
      <c r="F41" s="60"/>
      <c r="G41" s="111"/>
      <c r="I41" s="118"/>
      <c r="J41" s="57"/>
    </row>
    <row r="42" spans="1:10" ht="12.75">
      <c r="A42" s="95"/>
      <c r="B42" s="212"/>
      <c r="C42" s="213"/>
      <c r="D42" s="97"/>
      <c r="E42" s="212"/>
      <c r="F42" s="97"/>
      <c r="G42" s="224"/>
      <c r="H42" s="10"/>
      <c r="I42" s="99"/>
      <c r="J42" s="55"/>
    </row>
    <row r="43" spans="1:10" ht="12.75">
      <c r="A43" s="100" t="s">
        <v>208</v>
      </c>
      <c r="B43" s="214"/>
      <c r="C43" s="215"/>
      <c r="D43" s="101"/>
      <c r="E43" s="214"/>
      <c r="F43" s="101"/>
      <c r="G43" s="115"/>
      <c r="I43" s="56"/>
      <c r="J43" s="55"/>
    </row>
    <row r="44" spans="1:10" ht="12.75">
      <c r="A44" s="100" t="s">
        <v>209</v>
      </c>
      <c r="B44" s="214"/>
      <c r="C44" s="215"/>
      <c r="D44" s="101"/>
      <c r="E44" s="214"/>
      <c r="F44" s="101"/>
      <c r="G44" s="111"/>
      <c r="I44" s="58"/>
      <c r="J44" s="55"/>
    </row>
    <row r="45" spans="1:10" ht="12.75">
      <c r="A45" s="59"/>
      <c r="B45" s="78"/>
      <c r="C45" s="79"/>
      <c r="D45" s="60"/>
      <c r="E45" s="78"/>
      <c r="F45" s="60"/>
      <c r="G45" s="111"/>
      <c r="I45" s="58"/>
      <c r="J45" s="55"/>
    </row>
    <row r="46" spans="1:10" ht="12.75">
      <c r="A46" s="59"/>
      <c r="B46" s="78"/>
      <c r="C46" s="79"/>
      <c r="D46" s="60"/>
      <c r="E46" s="78"/>
      <c r="F46" s="60"/>
      <c r="G46" s="115"/>
      <c r="H46" s="60"/>
      <c r="I46" s="61"/>
      <c r="J46" s="55"/>
    </row>
    <row r="47" spans="1:10" ht="12.75">
      <c r="A47" s="62"/>
      <c r="B47" s="216" t="s">
        <v>147</v>
      </c>
      <c r="C47" s="215" t="s">
        <v>148</v>
      </c>
      <c r="D47" s="101"/>
      <c r="E47" s="216"/>
      <c r="F47" s="101" t="s">
        <v>149</v>
      </c>
      <c r="G47" s="115"/>
      <c r="H47" s="101" t="s">
        <v>150</v>
      </c>
      <c r="I47" s="103"/>
      <c r="J47" s="63"/>
    </row>
    <row r="48" spans="1:10" ht="12.75">
      <c r="A48" s="64" t="s">
        <v>46</v>
      </c>
      <c r="B48" s="217" t="s">
        <v>151</v>
      </c>
      <c r="C48" s="218" t="s">
        <v>152</v>
      </c>
      <c r="D48" s="66" t="s">
        <v>153</v>
      </c>
      <c r="E48" s="217" t="s">
        <v>59</v>
      </c>
      <c r="F48" s="66" t="s">
        <v>152</v>
      </c>
      <c r="G48" s="225" t="s">
        <v>153</v>
      </c>
      <c r="H48" s="67" t="s">
        <v>154</v>
      </c>
      <c r="I48" s="68" t="s">
        <v>58</v>
      </c>
      <c r="J48" s="63"/>
    </row>
    <row r="49" spans="1:9" ht="12.75">
      <c r="A49" s="7"/>
      <c r="B49" s="46"/>
      <c r="C49" s="79"/>
      <c r="D49" s="60"/>
      <c r="G49" s="111"/>
      <c r="I49" s="219"/>
    </row>
    <row r="50" spans="1:9" ht="15.75">
      <c r="A50" s="69" t="s">
        <v>193</v>
      </c>
      <c r="B50" s="78"/>
      <c r="C50" s="79"/>
      <c r="D50" s="60"/>
      <c r="E50" s="78"/>
      <c r="F50" s="60"/>
      <c r="G50" s="115"/>
      <c r="H50" s="60"/>
      <c r="I50" s="58"/>
    </row>
    <row r="51" spans="1:9" ht="12.75">
      <c r="A51" s="71" t="s">
        <v>155</v>
      </c>
      <c r="B51" s="46">
        <f>E51</f>
        <v>204</v>
      </c>
      <c r="C51" s="57">
        <v>0</v>
      </c>
      <c r="D51" s="57">
        <f aca="true" t="shared" si="0" ref="D51:D59">ROUND(B51*C51,2)</f>
        <v>0</v>
      </c>
      <c r="E51" s="46">
        <v>204</v>
      </c>
      <c r="F51" s="57">
        <v>300</v>
      </c>
      <c r="G51" s="111">
        <f aca="true" t="shared" si="1" ref="G51:G59">ROUND(E51*F51,2)</f>
        <v>61200</v>
      </c>
      <c r="H51" s="112"/>
      <c r="I51" s="226"/>
    </row>
    <row r="52" spans="1:9" ht="12.75">
      <c r="A52" s="7" t="s">
        <v>178</v>
      </c>
      <c r="B52" s="46">
        <f>E52</f>
        <v>35328</v>
      </c>
      <c r="C52" s="73">
        <v>1.99</v>
      </c>
      <c r="D52" s="57">
        <f t="shared" si="0"/>
        <v>70302.72</v>
      </c>
      <c r="E52" s="46">
        <v>35328</v>
      </c>
      <c r="F52" s="57">
        <v>0.99</v>
      </c>
      <c r="G52" s="111">
        <f t="shared" si="1"/>
        <v>34974.72</v>
      </c>
      <c r="H52" s="112"/>
      <c r="I52" s="226"/>
    </row>
    <row r="53" spans="1:10" ht="12.75">
      <c r="A53" s="7" t="s">
        <v>186</v>
      </c>
      <c r="B53" s="46">
        <v>5641449</v>
      </c>
      <c r="C53" s="79">
        <f>C54</f>
        <v>0.45008</v>
      </c>
      <c r="D53" s="57">
        <f t="shared" si="0"/>
        <v>2539103.37</v>
      </c>
      <c r="E53" s="46">
        <f>B53</f>
        <v>5641449</v>
      </c>
      <c r="F53" s="73">
        <v>0.11825</v>
      </c>
      <c r="G53" s="111">
        <f t="shared" si="1"/>
        <v>667101.34</v>
      </c>
      <c r="H53" s="60"/>
      <c r="I53" s="113"/>
      <c r="J53" s="55"/>
    </row>
    <row r="54" spans="1:10" ht="12.75">
      <c r="A54" s="7" t="s">
        <v>187</v>
      </c>
      <c r="B54" s="46">
        <v>5526891</v>
      </c>
      <c r="C54" s="79">
        <f>C55</f>
        <v>0.45008</v>
      </c>
      <c r="D54" s="57">
        <f t="shared" si="0"/>
        <v>2487543.1</v>
      </c>
      <c r="E54" s="46">
        <f>B54</f>
        <v>5526891</v>
      </c>
      <c r="F54" s="73">
        <v>0.07624</v>
      </c>
      <c r="G54" s="111">
        <f t="shared" si="1"/>
        <v>421370.17</v>
      </c>
      <c r="H54" s="60"/>
      <c r="I54" s="113"/>
      <c r="J54" s="55"/>
    </row>
    <row r="55" spans="1:9" ht="12.75">
      <c r="A55" s="7" t="s">
        <v>194</v>
      </c>
      <c r="B55" s="46">
        <v>8615743</v>
      </c>
      <c r="C55" s="73">
        <v>0.45008</v>
      </c>
      <c r="D55" s="57">
        <f t="shared" si="0"/>
        <v>3877773.61</v>
      </c>
      <c r="E55" s="46">
        <f>B55</f>
        <v>8615743</v>
      </c>
      <c r="F55" s="73">
        <v>0.04951</v>
      </c>
      <c r="G55" s="111">
        <f t="shared" si="1"/>
        <v>426565.44</v>
      </c>
      <c r="I55" s="219"/>
    </row>
    <row r="56" spans="1:9" ht="12.75">
      <c r="A56" s="7" t="s">
        <v>195</v>
      </c>
      <c r="B56" s="46">
        <f>E56</f>
        <v>9667752</v>
      </c>
      <c r="C56" s="73">
        <v>0.39524</v>
      </c>
      <c r="D56" s="57">
        <f t="shared" si="0"/>
        <v>3821082.3</v>
      </c>
      <c r="E56" s="46">
        <v>9667752</v>
      </c>
      <c r="F56" s="73">
        <v>0.03268</v>
      </c>
      <c r="G56" s="111">
        <f t="shared" si="1"/>
        <v>315942.14</v>
      </c>
      <c r="I56" s="219"/>
    </row>
    <row r="57" spans="1:10" ht="12.75">
      <c r="A57" s="7" t="s">
        <v>196</v>
      </c>
      <c r="B57" s="46">
        <f>E57</f>
        <v>10909439</v>
      </c>
      <c r="C57" s="73">
        <v>0.38732</v>
      </c>
      <c r="D57" s="57">
        <f t="shared" si="0"/>
        <v>4225443.91</v>
      </c>
      <c r="E57" s="46">
        <v>10909439</v>
      </c>
      <c r="F57" s="73">
        <v>0.02476</v>
      </c>
      <c r="G57" s="111">
        <f t="shared" si="1"/>
        <v>270117.71</v>
      </c>
      <c r="I57" s="58"/>
      <c r="J57" s="70" t="s">
        <v>216</v>
      </c>
    </row>
    <row r="58" spans="1:10" ht="12.75">
      <c r="A58" s="7" t="s">
        <v>197</v>
      </c>
      <c r="B58" s="46">
        <f>E58</f>
        <v>20678647</v>
      </c>
      <c r="C58" s="73">
        <v>0.38237</v>
      </c>
      <c r="D58" s="57">
        <f t="shared" si="0"/>
        <v>7906894.25</v>
      </c>
      <c r="E58" s="46">
        <v>20678647</v>
      </c>
      <c r="F58" s="73">
        <v>0.01981</v>
      </c>
      <c r="G58" s="111">
        <f t="shared" si="1"/>
        <v>409644</v>
      </c>
      <c r="I58" s="58"/>
      <c r="J58" s="261">
        <v>2655414.14</v>
      </c>
    </row>
    <row r="59" spans="1:10" ht="12.75">
      <c r="A59" s="7" t="s">
        <v>198</v>
      </c>
      <c r="B59" s="46">
        <f>B61</f>
        <v>61039921</v>
      </c>
      <c r="C59" s="73">
        <v>0.0099</v>
      </c>
      <c r="D59" s="57">
        <f t="shared" si="0"/>
        <v>604295.22</v>
      </c>
      <c r="E59" s="46">
        <v>61039921</v>
      </c>
      <c r="F59" s="73"/>
      <c r="G59" s="111">
        <f t="shared" si="1"/>
        <v>0</v>
      </c>
      <c r="I59" s="219"/>
      <c r="J59" s="72" t="s">
        <v>211</v>
      </c>
    </row>
    <row r="60" spans="1:10" ht="12.75">
      <c r="A60" s="7"/>
      <c r="B60" s="46"/>
      <c r="C60" s="73"/>
      <c r="D60" s="57"/>
      <c r="G60" s="111"/>
      <c r="I60" s="105"/>
      <c r="J60" s="74">
        <f>J58-G61</f>
        <v>48498.62000000011</v>
      </c>
    </row>
    <row r="61" spans="1:9" ht="12.75">
      <c r="A61" s="71" t="s">
        <v>157</v>
      </c>
      <c r="B61" s="46">
        <f>SUM(B53:B58)</f>
        <v>61039921</v>
      </c>
      <c r="C61" s="73"/>
      <c r="D61" s="57">
        <f>SUM(D51:D59)</f>
        <v>25532438.48</v>
      </c>
      <c r="E61" s="46">
        <f>SUM(E53:E58)</f>
        <v>61039921</v>
      </c>
      <c r="G61" s="111">
        <f>SUM(G51:G59)</f>
        <v>2606915.52</v>
      </c>
      <c r="H61" s="57">
        <f>G61-D63-D64</f>
        <v>821983.52</v>
      </c>
      <c r="I61" s="219">
        <f>H61/D61</f>
        <v>0.032193694332951155</v>
      </c>
    </row>
    <row r="62" spans="1:12" ht="38.25">
      <c r="A62" s="71"/>
      <c r="B62" s="78"/>
      <c r="C62" s="73"/>
      <c r="D62" s="60">
        <f>1784932</f>
        <v>1784932</v>
      </c>
      <c r="G62" s="111"/>
      <c r="I62" s="105"/>
      <c r="J62" s="50" t="s">
        <v>225</v>
      </c>
      <c r="K62" s="50" t="s">
        <v>226</v>
      </c>
      <c r="L62" s="50" t="s">
        <v>227</v>
      </c>
    </row>
    <row r="63" spans="1:12" ht="12.75">
      <c r="A63" s="7" t="s">
        <v>158</v>
      </c>
      <c r="B63" s="46"/>
      <c r="C63" s="73"/>
      <c r="D63" s="60">
        <f>1833431</f>
        <v>1833431</v>
      </c>
      <c r="E63" s="73">
        <v>0.00082</v>
      </c>
      <c r="F63" s="73">
        <f>+L63</f>
        <v>0.38765</v>
      </c>
      <c r="G63" s="115">
        <f>E61*F63</f>
        <v>23662125.37565</v>
      </c>
      <c r="I63" s="219"/>
      <c r="J63" s="340">
        <v>0.37112</v>
      </c>
      <c r="K63" s="144">
        <v>1.04454</v>
      </c>
      <c r="L63" s="342">
        <f>ROUND(J63*K63,5)</f>
        <v>0.38765</v>
      </c>
    </row>
    <row r="64" spans="1:9" ht="12.75">
      <c r="A64" s="7" t="s">
        <v>217</v>
      </c>
      <c r="B64" s="78"/>
      <c r="C64" s="370"/>
      <c r="D64" s="60">
        <f>D62-D63</f>
        <v>-48499</v>
      </c>
      <c r="E64" s="371"/>
      <c r="F64" s="79">
        <v>1.04</v>
      </c>
      <c r="G64" s="115">
        <f>E52*F64</f>
        <v>36741.12</v>
      </c>
      <c r="I64" s="219"/>
    </row>
    <row r="65" spans="1:9" ht="12.75">
      <c r="A65" s="7"/>
      <c r="B65" s="78"/>
      <c r="C65" s="73"/>
      <c r="D65" s="60"/>
      <c r="E65" s="371"/>
      <c r="F65" s="60"/>
      <c r="G65" s="111"/>
      <c r="I65" s="219"/>
    </row>
    <row r="66" spans="1:9" ht="12.75">
      <c r="A66" s="7" t="s">
        <v>159</v>
      </c>
      <c r="B66" s="78"/>
      <c r="C66" s="73"/>
      <c r="D66" s="60">
        <f>D61</f>
        <v>25532438.48</v>
      </c>
      <c r="E66" s="371"/>
      <c r="F66" s="60"/>
      <c r="G66" s="115">
        <f>SUM(G61:G65)</f>
        <v>26305782.01565</v>
      </c>
      <c r="I66" s="219"/>
    </row>
    <row r="67" spans="1:10" ht="12.75">
      <c r="A67" s="7"/>
      <c r="B67" s="78"/>
      <c r="C67" s="73"/>
      <c r="D67" s="60"/>
      <c r="F67" s="60"/>
      <c r="G67" s="111"/>
      <c r="I67" s="219"/>
      <c r="J67" s="57"/>
    </row>
    <row r="68" spans="1:10" ht="12.75">
      <c r="A68" s="7"/>
      <c r="B68" s="78"/>
      <c r="C68" s="73"/>
      <c r="D68" s="60"/>
      <c r="G68" s="111"/>
      <c r="I68" s="219"/>
      <c r="J68" s="70" t="s">
        <v>218</v>
      </c>
    </row>
    <row r="69" spans="1:10" ht="15.75">
      <c r="A69" s="227" t="s">
        <v>199</v>
      </c>
      <c r="B69" s="78"/>
      <c r="C69" s="79"/>
      <c r="D69" s="60"/>
      <c r="G69" s="111"/>
      <c r="I69" s="226"/>
      <c r="J69" s="261">
        <v>10139176.49</v>
      </c>
    </row>
    <row r="70" spans="1:11" ht="12.75">
      <c r="A70" s="7" t="s">
        <v>155</v>
      </c>
      <c r="B70" s="78">
        <v>1164</v>
      </c>
      <c r="C70" s="60">
        <v>643.5</v>
      </c>
      <c r="D70" s="60">
        <v>749034</v>
      </c>
      <c r="E70" s="46">
        <v>1164</v>
      </c>
      <c r="F70" s="57">
        <v>800</v>
      </c>
      <c r="G70" s="111">
        <v>931200</v>
      </c>
      <c r="I70" s="219"/>
      <c r="J70" s="72" t="s">
        <v>211</v>
      </c>
      <c r="K70" s="5"/>
    </row>
    <row r="71" spans="1:10" ht="12.75">
      <c r="A71" s="7" t="s">
        <v>178</v>
      </c>
      <c r="B71" s="78">
        <v>1409088</v>
      </c>
      <c r="C71" s="79">
        <v>0.99</v>
      </c>
      <c r="D71" s="60">
        <v>1394997.12</v>
      </c>
      <c r="E71" s="46">
        <v>1409088</v>
      </c>
      <c r="F71" s="57">
        <v>0.99</v>
      </c>
      <c r="G71" s="111">
        <v>1394997.12</v>
      </c>
      <c r="I71" s="105"/>
      <c r="J71" s="74">
        <f>J69-G83+H81+D90</f>
        <v>0.26484025054378435</v>
      </c>
    </row>
    <row r="72" spans="1:9" ht="12.75">
      <c r="A72" s="7" t="s">
        <v>186</v>
      </c>
      <c r="B72" s="78">
        <v>26463558.40228559</v>
      </c>
      <c r="C72" s="79">
        <v>0.1078</v>
      </c>
      <c r="D72" s="60">
        <v>2852771.6</v>
      </c>
      <c r="E72" s="46">
        <v>26463558.40228559</v>
      </c>
      <c r="F72" s="73">
        <v>0.11825</v>
      </c>
      <c r="G72" s="111">
        <v>3129315.78</v>
      </c>
      <c r="I72" s="105"/>
    </row>
    <row r="73" spans="1:9" ht="12.75">
      <c r="A73" s="7" t="s">
        <v>187</v>
      </c>
      <c r="B73" s="78">
        <v>19060958.0823199</v>
      </c>
      <c r="C73" s="79">
        <v>0.07624</v>
      </c>
      <c r="D73" s="60">
        <v>1453207.44</v>
      </c>
      <c r="E73" s="46">
        <v>19060958.0823199</v>
      </c>
      <c r="F73" s="73">
        <v>0.07624</v>
      </c>
      <c r="G73" s="111">
        <v>1453207.44</v>
      </c>
      <c r="I73" s="105"/>
    </row>
    <row r="74" spans="1:10" ht="12.75">
      <c r="A74" s="7" t="s">
        <v>194</v>
      </c>
      <c r="B74" s="78">
        <v>21901950.709948882</v>
      </c>
      <c r="C74" s="79">
        <v>0.04951</v>
      </c>
      <c r="D74" s="60">
        <v>1084365.58</v>
      </c>
      <c r="E74" s="46">
        <v>21901950.709948882</v>
      </c>
      <c r="F74" s="73">
        <v>0.04951</v>
      </c>
      <c r="G74" s="111">
        <v>1084365.58</v>
      </c>
      <c r="I74" s="226"/>
      <c r="J74" s="228" t="s">
        <v>219</v>
      </c>
    </row>
    <row r="75" spans="1:10" ht="12.75">
      <c r="A75" s="7" t="s">
        <v>200</v>
      </c>
      <c r="B75" s="78">
        <v>21294114.72904475</v>
      </c>
      <c r="C75" s="79">
        <v>0.03268</v>
      </c>
      <c r="D75" s="60">
        <v>695891.67</v>
      </c>
      <c r="E75" s="46">
        <v>21294114.72904475</v>
      </c>
      <c r="F75" s="73">
        <v>0.03268</v>
      </c>
      <c r="G75" s="111">
        <v>695891.67</v>
      </c>
      <c r="I75" s="219"/>
      <c r="J75" s="72">
        <f>J69+J58</f>
        <v>12794590.63</v>
      </c>
    </row>
    <row r="76" spans="1:10" ht="12.75">
      <c r="A76" s="7" t="s">
        <v>201</v>
      </c>
      <c r="B76" s="46">
        <v>28250745.276782576</v>
      </c>
      <c r="C76" s="79">
        <v>0.02476</v>
      </c>
      <c r="D76" s="60">
        <v>699488.45</v>
      </c>
      <c r="E76" s="46">
        <v>28250745.276782576</v>
      </c>
      <c r="F76" s="73">
        <v>0.02476</v>
      </c>
      <c r="G76" s="111">
        <v>699488.45</v>
      </c>
      <c r="I76" s="219"/>
      <c r="J76" s="72" t="s">
        <v>220</v>
      </c>
    </row>
    <row r="77" spans="1:10" ht="12.75">
      <c r="A77" s="7" t="s">
        <v>202</v>
      </c>
      <c r="B77" s="46">
        <v>25686563.1191183</v>
      </c>
      <c r="C77" s="79">
        <v>0.01981</v>
      </c>
      <c r="D77" s="60">
        <v>508850.82</v>
      </c>
      <c r="E77" s="46">
        <v>25686563.1191183</v>
      </c>
      <c r="F77" s="73">
        <v>0.01981</v>
      </c>
      <c r="G77" s="111">
        <v>508850.82</v>
      </c>
      <c r="I77" s="105"/>
      <c r="J77" s="74">
        <f>J71+J60</f>
        <v>48498.884840250656</v>
      </c>
    </row>
    <row r="78" spans="1:9" ht="12.75">
      <c r="A78" s="7"/>
      <c r="B78" s="78"/>
      <c r="C78" s="79"/>
      <c r="D78" s="60"/>
      <c r="G78" s="111"/>
      <c r="I78" s="105"/>
    </row>
    <row r="79" spans="1:10" ht="12.75">
      <c r="A79" s="71" t="s">
        <v>157</v>
      </c>
      <c r="B79" s="78">
        <v>142657890.3195</v>
      </c>
      <c r="C79" s="79"/>
      <c r="D79" s="60">
        <v>9438606.68</v>
      </c>
      <c r="E79" s="46">
        <v>142657890.3195</v>
      </c>
      <c r="F79" s="57">
        <v>0</v>
      </c>
      <c r="G79" s="111">
        <f>SUM(G70:G77)</f>
        <v>9897316.86</v>
      </c>
      <c r="I79" s="219"/>
      <c r="J79" s="70" t="s">
        <v>211</v>
      </c>
    </row>
    <row r="80" spans="1:10" ht="15.75">
      <c r="A80" s="71"/>
      <c r="B80" s="78"/>
      <c r="C80" s="79"/>
      <c r="G80" s="111"/>
      <c r="I80" s="219"/>
      <c r="J80" s="74">
        <f>J77+J29+J11</f>
        <v>48647.624840250646</v>
      </c>
    </row>
    <row r="81" spans="1:9" ht="15.75">
      <c r="A81" s="7" t="s">
        <v>203</v>
      </c>
      <c r="B81" s="78"/>
      <c r="C81" s="372">
        <f>0.0005*B79</f>
        <v>71328.94515975</v>
      </c>
      <c r="F81" s="73">
        <f>0.00061</f>
        <v>0.00061</v>
      </c>
      <c r="G81" s="111">
        <f>F81*E79</f>
        <v>87021.313094895</v>
      </c>
      <c r="H81" s="57">
        <f>G81-C81</f>
        <v>15692.367935144997</v>
      </c>
      <c r="I81" s="219"/>
    </row>
    <row r="82" spans="1:9" ht="12.75">
      <c r="A82" s="7"/>
      <c r="B82" s="78"/>
      <c r="C82" s="79"/>
      <c r="D82" s="60"/>
      <c r="G82" s="111"/>
      <c r="I82" s="219"/>
    </row>
    <row r="83" spans="1:9" ht="12.75">
      <c r="A83" s="7" t="s">
        <v>159</v>
      </c>
      <c r="B83" s="78"/>
      <c r="C83" s="79"/>
      <c r="D83" s="60">
        <f>D79</f>
        <v>9438606.68</v>
      </c>
      <c r="G83" s="111">
        <f>G81+G79</f>
        <v>9984338.173094895</v>
      </c>
      <c r="H83" s="57">
        <f>G83-D83-H81</f>
        <v>530039.12515975</v>
      </c>
      <c r="I83" s="219">
        <f>H83/D83</f>
        <v>0.05615650096776254</v>
      </c>
    </row>
    <row r="84" spans="1:9" ht="12.75">
      <c r="A84" s="9"/>
      <c r="B84" s="82"/>
      <c r="C84" s="229"/>
      <c r="D84" s="109"/>
      <c r="E84" s="92"/>
      <c r="F84" s="83"/>
      <c r="G84" s="222"/>
      <c r="H84" s="83"/>
      <c r="I84" s="230"/>
    </row>
    <row r="85" spans="2:4" ht="15.75">
      <c r="B85" s="78"/>
      <c r="C85" s="79"/>
      <c r="D85" s="60"/>
    </row>
    <row r="86" spans="2:9" ht="15.75">
      <c r="B86" s="78"/>
      <c r="C86" s="79"/>
      <c r="D86" s="60"/>
      <c r="I86" s="232"/>
    </row>
    <row r="87" spans="2:9" ht="15.75">
      <c r="B87" s="78"/>
      <c r="C87" s="79"/>
      <c r="D87" s="60"/>
      <c r="I87" s="232"/>
    </row>
    <row r="88" spans="2:9" ht="16.5" thickBot="1">
      <c r="B88" s="46"/>
      <c r="C88" s="79"/>
      <c r="D88" s="60"/>
      <c r="G88" s="112"/>
      <c r="I88" s="232"/>
    </row>
    <row r="89" spans="1:9" s="20" customFormat="1" ht="12.75">
      <c r="A89" s="382" t="s">
        <v>64</v>
      </c>
      <c r="B89" s="383"/>
      <c r="C89" s="237"/>
      <c r="D89" s="388">
        <v>9609137.1</v>
      </c>
      <c r="E89" s="389"/>
      <c r="F89" s="238"/>
      <c r="G89" s="127"/>
      <c r="H89" s="127"/>
      <c r="I89" s="235"/>
    </row>
    <row r="90" spans="1:9" s="20" customFormat="1" ht="12.75">
      <c r="A90" s="384" t="s">
        <v>221</v>
      </c>
      <c r="B90" s="385"/>
      <c r="C90" s="239"/>
      <c r="D90" s="390">
        <f>D79-D89</f>
        <v>-170530.41999999993</v>
      </c>
      <c r="E90" s="391"/>
      <c r="F90" s="240"/>
      <c r="G90" s="127"/>
      <c r="H90" s="127"/>
      <c r="I90" s="235"/>
    </row>
    <row r="91" spans="1:9" s="20" customFormat="1" ht="12.75">
      <c r="A91" s="384" t="s">
        <v>222</v>
      </c>
      <c r="B91" s="385"/>
      <c r="C91" s="239"/>
      <c r="D91" s="390">
        <f>12055.31-13952.3+93162.95+81195.14-1930.5</f>
        <v>170530.59999999998</v>
      </c>
      <c r="E91" s="391"/>
      <c r="F91" s="240"/>
      <c r="G91" s="127"/>
      <c r="H91" s="127"/>
      <c r="I91" s="235"/>
    </row>
    <row r="92" spans="1:9" s="20" customFormat="1" ht="13.5" thickBot="1">
      <c r="A92" s="386" t="s">
        <v>150</v>
      </c>
      <c r="B92" s="387"/>
      <c r="C92" s="241"/>
      <c r="D92" s="392">
        <f>D91+D90</f>
        <v>0.18000000005122274</v>
      </c>
      <c r="E92" s="393"/>
      <c r="F92" s="242"/>
      <c r="G92" s="127"/>
      <c r="H92" s="127"/>
      <c r="I92" s="236"/>
    </row>
    <row r="101" ht="15.75">
      <c r="E101" s="119"/>
    </row>
    <row r="102" ht="15.75">
      <c r="E102" s="119"/>
    </row>
  </sheetData>
  <mergeCells count="8">
    <mergeCell ref="D89:E89"/>
    <mergeCell ref="D90:E90"/>
    <mergeCell ref="D91:E91"/>
    <mergeCell ref="D92:E92"/>
    <mergeCell ref="A89:B89"/>
    <mergeCell ref="A90:B90"/>
    <mergeCell ref="A91:B91"/>
    <mergeCell ref="A92:B92"/>
  </mergeCells>
  <printOptions/>
  <pageMargins left="0.75" right="0.75" top="1" bottom="1" header="0.5" footer="0.5"/>
  <pageSetup fitToHeight="0" horizontalDpi="600" verticalDpi="600" orientation="landscape" scale="60" r:id="rId1"/>
  <headerFooter alignWithMargins="0">
    <oddHeader>&amp;CPuget Sound Energy - Gas
Tariffed Rate Components
&amp;RRate Design Appendix
&amp;A
Page &amp;P of &amp;N
For Settlement Purposes Only</oddHeader>
    <oddFooter>&amp;R&amp;D &amp;T
&amp;F, &amp;A</oddFooter>
  </headerFooter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3"/>
  <sheetViews>
    <sheetView workbookViewId="0" topLeftCell="A1">
      <selection activeCell="E27" sqref="E26:E27"/>
    </sheetView>
  </sheetViews>
  <sheetFormatPr defaultColWidth="9.140625" defaultRowHeight="12.75"/>
  <cols>
    <col min="1" max="1" width="9.140625" style="3" customWidth="1"/>
    <col min="2" max="2" width="1.28515625" style="3" customWidth="1"/>
    <col min="3" max="3" width="10.140625" style="3" customWidth="1"/>
    <col min="4" max="4" width="13.57421875" style="3" bestFit="1" customWidth="1"/>
    <col min="5" max="5" width="55.28125" style="3" customWidth="1"/>
    <col min="6" max="6" width="9.57421875" style="3" customWidth="1"/>
    <col min="7" max="7" width="10.57421875" style="3" customWidth="1"/>
    <col min="8" max="8" width="9.8515625" style="3" customWidth="1"/>
    <col min="9" max="9" width="9.00390625" style="3" customWidth="1"/>
    <col min="10" max="16384" width="9.140625" style="3" customWidth="1"/>
  </cols>
  <sheetData>
    <row r="4" spans="1:9" ht="25.5">
      <c r="A4" s="4" t="s">
        <v>47</v>
      </c>
      <c r="B4" s="335"/>
      <c r="C4" s="4" t="s">
        <v>0</v>
      </c>
      <c r="D4" s="4" t="s">
        <v>1</v>
      </c>
      <c r="E4" s="4" t="s">
        <v>46</v>
      </c>
      <c r="F4" s="4" t="s">
        <v>2</v>
      </c>
      <c r="G4" s="4" t="s">
        <v>204</v>
      </c>
      <c r="H4" s="4" t="s">
        <v>3</v>
      </c>
      <c r="I4" s="4" t="s">
        <v>4</v>
      </c>
    </row>
    <row r="5" spans="1:9" ht="12.75">
      <c r="A5" s="270">
        <f>+ROW(A5)-4</f>
        <v>1</v>
      </c>
      <c r="B5" s="335"/>
      <c r="C5" s="336" t="s">
        <v>48</v>
      </c>
      <c r="D5" s="336" t="s">
        <v>49</v>
      </c>
      <c r="E5" s="336" t="s">
        <v>50</v>
      </c>
      <c r="F5" s="336" t="s">
        <v>51</v>
      </c>
      <c r="G5" s="336" t="s">
        <v>52</v>
      </c>
      <c r="H5" s="336" t="s">
        <v>53</v>
      </c>
      <c r="I5" s="336" t="s">
        <v>54</v>
      </c>
    </row>
    <row r="6" spans="1:2" ht="12.75">
      <c r="A6" s="270">
        <f>+ROW(A6)-4</f>
        <v>2</v>
      </c>
      <c r="B6" s="270"/>
    </row>
    <row r="7" spans="1:9" ht="12.75">
      <c r="A7" s="270">
        <f aca="true" t="shared" si="0" ref="A7:A27">+ROW(A7)-4</f>
        <v>3</v>
      </c>
      <c r="B7" s="270"/>
      <c r="C7" s="270" t="s">
        <v>5</v>
      </c>
      <c r="D7" s="3" t="s">
        <v>6</v>
      </c>
      <c r="E7" s="3" t="s">
        <v>8</v>
      </c>
      <c r="F7" s="272">
        <v>5</v>
      </c>
      <c r="G7" s="272">
        <f aca="true" t="shared" si="1" ref="G7:G24">F7*(1+$I$27)</f>
        <v>5.86283255646662</v>
      </c>
      <c r="H7" s="272">
        <v>5.85</v>
      </c>
      <c r="I7" s="337">
        <f aca="true" t="shared" si="2" ref="I7:I24">(H7-F7)/F7</f>
        <v>0.16999999999999993</v>
      </c>
    </row>
    <row r="8" spans="1:9" ht="12.75">
      <c r="A8" s="270">
        <f t="shared" si="0"/>
        <v>4</v>
      </c>
      <c r="B8" s="270"/>
      <c r="C8" s="270" t="s">
        <v>5</v>
      </c>
      <c r="D8" s="3" t="s">
        <v>9</v>
      </c>
      <c r="E8" s="3" t="s">
        <v>10</v>
      </c>
      <c r="F8" s="272">
        <v>8</v>
      </c>
      <c r="G8" s="272">
        <f t="shared" si="1"/>
        <v>9.380532090346593</v>
      </c>
      <c r="H8" s="272">
        <v>9.4</v>
      </c>
      <c r="I8" s="337">
        <f t="shared" si="2"/>
        <v>0.17500000000000004</v>
      </c>
    </row>
    <row r="9" spans="1:9" ht="12.75">
      <c r="A9" s="270">
        <f t="shared" si="0"/>
        <v>5</v>
      </c>
      <c r="B9" s="270"/>
      <c r="C9" s="270" t="s">
        <v>5</v>
      </c>
      <c r="D9" s="3" t="s">
        <v>11</v>
      </c>
      <c r="E9" s="3" t="s">
        <v>12</v>
      </c>
      <c r="F9" s="272">
        <v>11.4</v>
      </c>
      <c r="G9" s="272">
        <f t="shared" si="1"/>
        <v>13.367258228743895</v>
      </c>
      <c r="H9" s="272">
        <v>13.4</v>
      </c>
      <c r="I9" s="337">
        <f t="shared" si="2"/>
        <v>0.17543859649122806</v>
      </c>
    </row>
    <row r="10" spans="1:9" ht="12.75">
      <c r="A10" s="270">
        <f t="shared" si="0"/>
        <v>6</v>
      </c>
      <c r="B10" s="270"/>
      <c r="C10" s="270" t="s">
        <v>5</v>
      </c>
      <c r="D10" s="3" t="s">
        <v>13</v>
      </c>
      <c r="E10" s="3" t="s">
        <v>14</v>
      </c>
      <c r="F10" s="272">
        <v>10.2</v>
      </c>
      <c r="G10" s="272">
        <f t="shared" si="1"/>
        <v>11.960178415191905</v>
      </c>
      <c r="H10" s="272">
        <v>12</v>
      </c>
      <c r="I10" s="337">
        <f t="shared" si="2"/>
        <v>0.1764705882352942</v>
      </c>
    </row>
    <row r="11" spans="1:9" ht="12.75">
      <c r="A11" s="270">
        <f t="shared" si="0"/>
        <v>7</v>
      </c>
      <c r="B11" s="270"/>
      <c r="C11" s="270" t="s">
        <v>5</v>
      </c>
      <c r="D11" s="3" t="s">
        <v>15</v>
      </c>
      <c r="E11" s="3" t="s">
        <v>16</v>
      </c>
      <c r="F11" s="272">
        <v>4</v>
      </c>
      <c r="G11" s="272">
        <f t="shared" si="1"/>
        <v>4.6902660451732965</v>
      </c>
      <c r="H11" s="272">
        <v>4.7</v>
      </c>
      <c r="I11" s="337">
        <f t="shared" si="2"/>
        <v>0.17500000000000004</v>
      </c>
    </row>
    <row r="12" spans="1:9" ht="12.75">
      <c r="A12" s="270">
        <f t="shared" si="0"/>
        <v>8</v>
      </c>
      <c r="B12" s="270"/>
      <c r="C12" s="270" t="s">
        <v>5</v>
      </c>
      <c r="D12" s="3" t="s">
        <v>17</v>
      </c>
      <c r="E12" s="3" t="s">
        <v>18</v>
      </c>
      <c r="F12" s="272">
        <v>6.95</v>
      </c>
      <c r="G12" s="272">
        <f t="shared" si="1"/>
        <v>8.149337253488603</v>
      </c>
      <c r="H12" s="272">
        <v>8.15</v>
      </c>
      <c r="I12" s="337">
        <f t="shared" si="2"/>
        <v>0.17266187050359713</v>
      </c>
    </row>
    <row r="13" spans="1:9" ht="12.75">
      <c r="A13" s="270">
        <f t="shared" si="0"/>
        <v>9</v>
      </c>
      <c r="B13" s="270"/>
      <c r="C13" s="270" t="s">
        <v>19</v>
      </c>
      <c r="D13" s="3" t="s">
        <v>20</v>
      </c>
      <c r="E13" s="3" t="s">
        <v>21</v>
      </c>
      <c r="F13" s="272">
        <v>5.9</v>
      </c>
      <c r="G13" s="272">
        <f t="shared" si="1"/>
        <v>6.918142416630613</v>
      </c>
      <c r="H13" s="272">
        <v>6.95</v>
      </c>
      <c r="I13" s="337">
        <f t="shared" si="2"/>
        <v>0.17796610169491522</v>
      </c>
    </row>
    <row r="14" spans="1:9" ht="12.75">
      <c r="A14" s="270">
        <f t="shared" si="0"/>
        <v>10</v>
      </c>
      <c r="B14" s="270"/>
      <c r="C14" s="270" t="s">
        <v>19</v>
      </c>
      <c r="D14" s="3" t="s">
        <v>22</v>
      </c>
      <c r="E14" s="3" t="s">
        <v>23</v>
      </c>
      <c r="F14" s="272">
        <v>7.75</v>
      </c>
      <c r="G14" s="272">
        <f t="shared" si="1"/>
        <v>9.087390462523262</v>
      </c>
      <c r="H14" s="272">
        <v>9.1</v>
      </c>
      <c r="I14" s="337">
        <f t="shared" si="2"/>
        <v>0.17419354838709672</v>
      </c>
    </row>
    <row r="15" spans="1:9" ht="12.75">
      <c r="A15" s="270">
        <f t="shared" si="0"/>
        <v>11</v>
      </c>
      <c r="B15" s="270"/>
      <c r="C15" s="270" t="s">
        <v>19</v>
      </c>
      <c r="D15" s="3" t="s">
        <v>24</v>
      </c>
      <c r="E15" s="3" t="s">
        <v>25</v>
      </c>
      <c r="F15" s="272">
        <v>7.75</v>
      </c>
      <c r="G15" s="272">
        <f t="shared" si="1"/>
        <v>9.087390462523262</v>
      </c>
      <c r="H15" s="272">
        <v>9.1</v>
      </c>
      <c r="I15" s="337">
        <f t="shared" si="2"/>
        <v>0.17419354838709672</v>
      </c>
    </row>
    <row r="16" spans="1:9" ht="12.75">
      <c r="A16" s="270">
        <f t="shared" si="0"/>
        <v>12</v>
      </c>
      <c r="B16" s="270"/>
      <c r="C16" s="270" t="s">
        <v>19</v>
      </c>
      <c r="D16" s="3" t="s">
        <v>26</v>
      </c>
      <c r="E16" s="3" t="s">
        <v>27</v>
      </c>
      <c r="F16" s="272">
        <v>12.15</v>
      </c>
      <c r="G16" s="272">
        <f t="shared" si="1"/>
        <v>14.246683112213889</v>
      </c>
      <c r="H16" s="272">
        <v>14.25</v>
      </c>
      <c r="I16" s="337">
        <f t="shared" si="2"/>
        <v>0.17283950617283947</v>
      </c>
    </row>
    <row r="17" spans="1:9" ht="12.75">
      <c r="A17" s="270">
        <f t="shared" si="0"/>
        <v>13</v>
      </c>
      <c r="B17" s="270"/>
      <c r="C17" s="270" t="s">
        <v>19</v>
      </c>
      <c r="D17" s="3" t="s">
        <v>28</v>
      </c>
      <c r="E17" s="3" t="s">
        <v>29</v>
      </c>
      <c r="F17" s="272">
        <v>15.85</v>
      </c>
      <c r="G17" s="272">
        <f t="shared" si="1"/>
        <v>18.585179203999186</v>
      </c>
      <c r="H17" s="272">
        <v>18.6</v>
      </c>
      <c r="I17" s="337">
        <f t="shared" si="2"/>
        <v>0.17350157728706636</v>
      </c>
    </row>
    <row r="18" spans="1:9" ht="12.75">
      <c r="A18" s="270">
        <f t="shared" si="0"/>
        <v>14</v>
      </c>
      <c r="B18" s="270"/>
      <c r="C18" s="270" t="s">
        <v>19</v>
      </c>
      <c r="D18" s="3" t="s">
        <v>30</v>
      </c>
      <c r="E18" s="3" t="s">
        <v>31</v>
      </c>
      <c r="F18" s="272">
        <v>21.2</v>
      </c>
      <c r="G18" s="272">
        <f t="shared" si="1"/>
        <v>24.85841003941847</v>
      </c>
      <c r="H18" s="272">
        <v>24.85</v>
      </c>
      <c r="I18" s="337">
        <f t="shared" si="2"/>
        <v>0.17216981132075482</v>
      </c>
    </row>
    <row r="19" spans="1:9" ht="12.75">
      <c r="A19" s="270">
        <f t="shared" si="0"/>
        <v>15</v>
      </c>
      <c r="B19" s="270"/>
      <c r="C19" s="270" t="s">
        <v>19</v>
      </c>
      <c r="D19" s="3" t="s">
        <v>32</v>
      </c>
      <c r="E19" s="3" t="s">
        <v>33</v>
      </c>
      <c r="F19" s="272">
        <v>24.6</v>
      </c>
      <c r="G19" s="272">
        <f t="shared" si="1"/>
        <v>28.845136177815775</v>
      </c>
      <c r="H19" s="272">
        <v>28.85</v>
      </c>
      <c r="I19" s="337">
        <f t="shared" si="2"/>
        <v>0.17276422764227642</v>
      </c>
    </row>
    <row r="20" spans="1:9" ht="12.75">
      <c r="A20" s="270">
        <f t="shared" si="0"/>
        <v>16</v>
      </c>
      <c r="B20" s="270"/>
      <c r="C20" s="270" t="s">
        <v>19</v>
      </c>
      <c r="D20" s="3" t="s">
        <v>34</v>
      </c>
      <c r="E20" s="3" t="s">
        <v>35</v>
      </c>
      <c r="F20" s="272">
        <v>34.95</v>
      </c>
      <c r="G20" s="272">
        <f t="shared" si="1"/>
        <v>40.98119956970168</v>
      </c>
      <c r="H20" s="272">
        <v>41</v>
      </c>
      <c r="I20" s="337">
        <f t="shared" si="2"/>
        <v>0.1731044349070099</v>
      </c>
    </row>
    <row r="21" spans="1:9" ht="12.75">
      <c r="A21" s="270">
        <f t="shared" si="0"/>
        <v>17</v>
      </c>
      <c r="B21" s="270"/>
      <c r="C21" s="270" t="s">
        <v>36</v>
      </c>
      <c r="D21" s="3" t="s">
        <v>37</v>
      </c>
      <c r="E21" s="3" t="s">
        <v>38</v>
      </c>
      <c r="F21" s="272">
        <v>3.5</v>
      </c>
      <c r="G21" s="272">
        <f t="shared" si="1"/>
        <v>4.1039827895266345</v>
      </c>
      <c r="H21" s="272">
        <v>4.1</v>
      </c>
      <c r="I21" s="337">
        <f t="shared" si="2"/>
        <v>0.17142857142857132</v>
      </c>
    </row>
    <row r="22" spans="1:9" ht="12.75">
      <c r="A22" s="270">
        <f t="shared" si="0"/>
        <v>18</v>
      </c>
      <c r="B22" s="270"/>
      <c r="C22" s="270" t="s">
        <v>36</v>
      </c>
      <c r="D22" s="3" t="s">
        <v>39</v>
      </c>
      <c r="E22" s="3" t="s">
        <v>40</v>
      </c>
      <c r="F22" s="272">
        <v>9.25</v>
      </c>
      <c r="G22" s="272">
        <f t="shared" si="1"/>
        <v>10.846240229463248</v>
      </c>
      <c r="H22" s="272">
        <v>10.9</v>
      </c>
      <c r="I22" s="337">
        <f t="shared" si="2"/>
        <v>0.17837837837837842</v>
      </c>
    </row>
    <row r="23" spans="1:9" ht="12.75">
      <c r="A23" s="270">
        <f t="shared" si="0"/>
        <v>19</v>
      </c>
      <c r="B23" s="270"/>
      <c r="C23" s="270" t="s">
        <v>36</v>
      </c>
      <c r="D23" s="3" t="s">
        <v>41</v>
      </c>
      <c r="E23" s="3" t="s">
        <v>42</v>
      </c>
      <c r="F23" s="272">
        <v>12.5</v>
      </c>
      <c r="G23" s="272">
        <f t="shared" si="1"/>
        <v>14.657081391166551</v>
      </c>
      <c r="H23" s="272">
        <v>14.75</v>
      </c>
      <c r="I23" s="337">
        <f t="shared" si="2"/>
        <v>0.18</v>
      </c>
    </row>
    <row r="24" spans="1:9" ht="12.75">
      <c r="A24" s="270">
        <f t="shared" si="0"/>
        <v>20</v>
      </c>
      <c r="B24" s="270"/>
      <c r="C24" s="270" t="s">
        <v>36</v>
      </c>
      <c r="D24" s="3" t="s">
        <v>43</v>
      </c>
      <c r="E24" s="3" t="s">
        <v>44</v>
      </c>
      <c r="F24" s="272">
        <v>5.25</v>
      </c>
      <c r="G24" s="272">
        <f t="shared" si="1"/>
        <v>6.155974184289952</v>
      </c>
      <c r="H24" s="272">
        <v>6.2</v>
      </c>
      <c r="I24" s="337">
        <f t="shared" si="2"/>
        <v>0.18095238095238098</v>
      </c>
    </row>
    <row r="25" spans="1:7" ht="12.75">
      <c r="A25" s="270">
        <f t="shared" si="0"/>
        <v>21</v>
      </c>
      <c r="B25" s="270"/>
      <c r="G25" s="338"/>
    </row>
    <row r="26" spans="1:7" ht="12.75">
      <c r="A26" s="270">
        <f t="shared" si="0"/>
        <v>22</v>
      </c>
      <c r="B26" s="270"/>
      <c r="F26" s="268"/>
      <c r="G26" s="8"/>
    </row>
    <row r="27" spans="1:9" ht="12.75">
      <c r="A27" s="270">
        <f t="shared" si="0"/>
        <v>23</v>
      </c>
      <c r="B27" s="270"/>
      <c r="F27" s="394" t="s">
        <v>223</v>
      </c>
      <c r="G27" s="395"/>
      <c r="H27" s="373"/>
      <c r="I27" s="339">
        <f>+' Appendix 2 - Rate Spread'!K15</f>
        <v>0.17256651129332404</v>
      </c>
    </row>
    <row r="28" spans="1:8" ht="12.75">
      <c r="A28" s="270"/>
      <c r="B28" s="270"/>
      <c r="F28" s="269"/>
      <c r="G28" s="271"/>
      <c r="H28" s="274"/>
    </row>
    <row r="29" spans="1:2" ht="12.75">
      <c r="A29" s="270"/>
      <c r="B29" s="270"/>
    </row>
    <row r="30" ht="12.75">
      <c r="G30" s="338"/>
    </row>
    <row r="31" ht="12.75">
      <c r="G31" s="338"/>
    </row>
    <row r="32" ht="12.75">
      <c r="G32" s="338"/>
    </row>
    <row r="33" ht="12.75">
      <c r="G33" s="338"/>
    </row>
    <row r="34" ht="12.75">
      <c r="G34" s="338"/>
    </row>
    <row r="35" ht="12.75">
      <c r="G35" s="338"/>
    </row>
    <row r="36" ht="12.75">
      <c r="G36" s="338"/>
    </row>
    <row r="37" ht="12.75">
      <c r="G37" s="338"/>
    </row>
    <row r="38" ht="12.75">
      <c r="G38" s="338"/>
    </row>
    <row r="39" ht="12.75">
      <c r="G39" s="338"/>
    </row>
    <row r="40" ht="12.75">
      <c r="G40" s="338"/>
    </row>
    <row r="41" ht="12.75">
      <c r="G41" s="338"/>
    </row>
    <row r="42" ht="12.75">
      <c r="G42" s="338"/>
    </row>
    <row r="43" ht="12.75">
      <c r="G43" s="338"/>
    </row>
  </sheetData>
  <mergeCells count="1">
    <mergeCell ref="F27:H27"/>
  </mergeCells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&amp;CPuget Sound Energy - Gas
&amp;RRate Design Appendix
&amp;A
Page &amp;P of &amp;N
For Settlement Purposes Only</oddHeader>
    <oddFooter>&amp;R&amp;D &amp;T
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 (CEP)</dc:creator>
  <cp:keywords/>
  <dc:description/>
  <cp:lastModifiedBy>Mike Sommerville</cp:lastModifiedBy>
  <cp:lastPrinted>2002-08-15T23:53:18Z</cp:lastPrinted>
  <dcterms:created xsi:type="dcterms:W3CDTF">2002-08-08T23:33:42Z</dcterms:created>
  <dcterms:modified xsi:type="dcterms:W3CDTF">2002-08-16T15:35:13Z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Order - Final</vt:lpwstr>
  </property>
  <property fmtid="{D5CDD505-2E9C-101B-9397-08002B2CF9AE}" pid="4" name="IsDocumentOrd">
    <vt:lpwstr>1</vt:lpwstr>
  </property>
  <property fmtid="{D5CDD505-2E9C-101B-9397-08002B2CF9AE}" pid="5" name="IsHighlyConfidenti">
    <vt:lpwstr>0</vt:lpwstr>
  </property>
  <property fmtid="{D5CDD505-2E9C-101B-9397-08002B2CF9AE}" pid="6" name="IsConfidenti">
    <vt:lpwstr>0</vt:lpwstr>
  </property>
  <property fmtid="{D5CDD505-2E9C-101B-9397-08002B2CF9AE}" pid="7" name="DocketNumb">
    <vt:lpwstr>021059</vt:lpwstr>
  </property>
  <property fmtid="{D5CDD505-2E9C-101B-9397-08002B2CF9AE}" pid="8" name="Dat">
    <vt:lpwstr>2002-08-28T00:00:00Z</vt:lpwstr>
  </property>
  <property fmtid="{D5CDD505-2E9C-101B-9397-08002B2CF9AE}" pid="9" name="CaseTy">
    <vt:lpwstr>Tariff Revision</vt:lpwstr>
  </property>
  <property fmtid="{D5CDD505-2E9C-101B-9397-08002B2CF9AE}" pid="10" name="OpenedDa">
    <vt:lpwstr>2002-08-21T00:00:00Z</vt:lpwstr>
  </property>
  <property fmtid="{D5CDD505-2E9C-101B-9397-08002B2CF9AE}" pid="11" name="Pref">
    <vt:lpwstr>UG</vt:lpwstr>
  </property>
  <property fmtid="{D5CDD505-2E9C-101B-9397-08002B2CF9AE}" pid="12" name="CaseCompanyNam">
    <vt:lpwstr>Puget Sound Energy</vt:lpwstr>
  </property>
  <property fmtid="{D5CDD505-2E9C-101B-9397-08002B2CF9AE}" pid="13" name="IndustryCo">
    <vt:lpwstr>150</vt:lpwstr>
  </property>
  <property fmtid="{D5CDD505-2E9C-101B-9397-08002B2CF9AE}" pid="14" name="CaseStat">
    <vt:lpwstr>Closed</vt:lpwstr>
  </property>
  <property fmtid="{D5CDD505-2E9C-101B-9397-08002B2CF9AE}" pid="15" name="_docset_NoMedatataSyncRequir">
    <vt:lpwstr>False</vt:lpwstr>
  </property>
  <property fmtid="{D5CDD505-2E9C-101B-9397-08002B2CF9AE}" pid="16" name="Nickna">
    <vt:lpwstr/>
  </property>
  <property fmtid="{D5CDD505-2E9C-101B-9397-08002B2CF9AE}" pid="17" name="Proce">
    <vt:lpwstr/>
  </property>
  <property fmtid="{D5CDD505-2E9C-101B-9397-08002B2CF9AE}" pid="18" name="Visibili">
    <vt:lpwstr/>
  </property>
  <property fmtid="{D5CDD505-2E9C-101B-9397-08002B2CF9AE}" pid="19" name="DocumentGro">
    <vt:lpwstr/>
  </property>
  <property fmtid="{D5CDD505-2E9C-101B-9397-08002B2CF9AE}" pid="20" name="DelegatedOrd">
    <vt:lpwstr>0</vt:lpwstr>
  </property>
  <property fmtid="{D5CDD505-2E9C-101B-9397-08002B2CF9AE}" pid="21" name="AgendaOrd">
    <vt:lpwstr>1</vt:lpwstr>
  </property>
</Properties>
</file>