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Dept\Rates\COVID-19\Washington\UG-200479 Cost Recovery Quarterly Report\07-25-23\"/>
    </mc:Choice>
  </mc:AlternateContent>
  <xr:revisionPtr revIDLastSave="0" documentId="13_ncr:1_{606166C2-0A42-4758-B03C-F20ED1EC4869}" xr6:coauthVersionLast="47" xr6:coauthVersionMax="47" xr10:uidLastSave="{00000000-0000-0000-0000-000000000000}"/>
  <bookViews>
    <workbookView xWindow="-120" yWindow="-120" windowWidth="29040" windowHeight="15840" tabRatio="769" xr2:uid="{00000000-000D-0000-FFFF-FFFF00000000}"/>
  </bookViews>
  <sheets>
    <sheet name="COVID-19" sheetId="9" r:id="rId1"/>
    <sheet name="JDE Export OR" sheetId="21" state="hidden" r:id="rId2"/>
    <sheet name="Savings Mar Accrual" sheetId="4" state="hidden" r:id="rId3"/>
  </sheets>
  <externalReferences>
    <externalReference r:id="rId4"/>
  </externalReferences>
  <definedNames>
    <definedName name="_xlnm.Print_Area" localSheetId="0">'COVID-19'!$A$1:$AS$36</definedName>
    <definedName name="_xlnm.Print_Area" localSheetId="1">'JDE Export OR'!$A$1:$H$25</definedName>
    <definedName name="_xlnm.Print_Area" localSheetId="2">'Savings Mar Accrual'!$A$1:$Q$81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28" i="9" l="1"/>
  <c r="AL27" i="9"/>
  <c r="AL26" i="9"/>
  <c r="AL25" i="9"/>
  <c r="AL24" i="9"/>
  <c r="AL19" i="9"/>
  <c r="AL13" i="9"/>
  <c r="AL12" i="9"/>
  <c r="AL10" i="9"/>
  <c r="AL8" i="9"/>
  <c r="AL7" i="9"/>
  <c r="AL6" i="9"/>
  <c r="AL20" i="9" l="1"/>
  <c r="AQ8" i="9" l="1"/>
  <c r="AQ10" i="9"/>
  <c r="AL18" i="9" l="1"/>
  <c r="AQ9" i="9" l="1"/>
  <c r="AL29" i="9"/>
  <c r="AQ14" i="9" l="1"/>
  <c r="AL23" i="9" l="1"/>
  <c r="AL9" i="9"/>
  <c r="AL14" i="9"/>
  <c r="AL11" i="9"/>
  <c r="AL5" i="9" l="1"/>
  <c r="AQ7" i="9" l="1"/>
  <c r="AL30" i="9"/>
  <c r="AQ6" i="9"/>
  <c r="AQ13" i="9"/>
  <c r="AL15" i="9" l="1"/>
  <c r="AL16" i="9" s="1"/>
  <c r="AL34" i="9" l="1"/>
  <c r="AL21" i="9"/>
  <c r="F24" i="21" l="1"/>
  <c r="G25" i="21" s="1"/>
  <c r="G24" i="21"/>
  <c r="F50" i="21"/>
  <c r="G50" i="21"/>
  <c r="F51" i="21" l="1"/>
  <c r="AQ15" i="9" l="1"/>
  <c r="H78" i="4" l="1"/>
  <c r="F78" i="4"/>
  <c r="D78" i="4"/>
  <c r="L79" i="4" s="1"/>
  <c r="N76" i="4"/>
  <c r="H75" i="4"/>
  <c r="F75" i="4"/>
  <c r="D75" i="4"/>
  <c r="H72" i="4"/>
  <c r="F72" i="4"/>
  <c r="D72" i="4"/>
  <c r="L73" i="4" s="1"/>
  <c r="L69" i="4"/>
  <c r="L70" i="4" s="1"/>
  <c r="H69" i="4"/>
  <c r="F69" i="4"/>
  <c r="D69" i="4"/>
  <c r="H68" i="4"/>
  <c r="F68" i="4"/>
  <c r="D68" i="4"/>
  <c r="H67" i="4"/>
  <c r="F67" i="4"/>
  <c r="D67" i="4"/>
  <c r="H66" i="4"/>
  <c r="F66" i="4"/>
  <c r="D66" i="4"/>
  <c r="H65" i="4"/>
  <c r="F65" i="4"/>
  <c r="D65" i="4"/>
  <c r="H64" i="4"/>
  <c r="F64" i="4"/>
  <c r="D64" i="4"/>
  <c r="L61" i="4"/>
  <c r="L62" i="4" s="1"/>
  <c r="H61" i="4"/>
  <c r="F61" i="4"/>
  <c r="D61" i="4"/>
  <c r="H60" i="4"/>
  <c r="F60" i="4"/>
  <c r="D60" i="4"/>
  <c r="H59" i="4"/>
  <c r="F59" i="4"/>
  <c r="D59" i="4"/>
  <c r="H58" i="4"/>
  <c r="F58" i="4"/>
  <c r="D58" i="4"/>
  <c r="H57" i="4"/>
  <c r="F57" i="4"/>
  <c r="D57" i="4"/>
  <c r="H56" i="4"/>
  <c r="F56" i="4"/>
  <c r="D56" i="4"/>
  <c r="O54" i="4"/>
  <c r="M54" i="4"/>
  <c r="M75" i="4" s="1"/>
  <c r="K51" i="4"/>
  <c r="P38" i="4"/>
  <c r="L37" i="4"/>
  <c r="R36" i="4"/>
  <c r="O36" i="4"/>
  <c r="P36" i="4" s="1"/>
  <c r="P37" i="4" s="1"/>
  <c r="M36" i="4"/>
  <c r="N37" i="4" s="1"/>
  <c r="P34" i="4"/>
  <c r="L34" i="4"/>
  <c r="R33" i="4"/>
  <c r="O33" i="4"/>
  <c r="M33" i="4"/>
  <c r="N34" i="4" s="1"/>
  <c r="L31" i="4"/>
  <c r="R30" i="4"/>
  <c r="O30" i="4"/>
  <c r="P30" i="4" s="1"/>
  <c r="P31" i="4" s="1"/>
  <c r="M30" i="4"/>
  <c r="N31" i="4" s="1"/>
  <c r="N28" i="4"/>
  <c r="R27" i="4"/>
  <c r="P27" i="4"/>
  <c r="O27" i="4"/>
  <c r="M27" i="4"/>
  <c r="S27" i="4" s="1"/>
  <c r="L27" i="4"/>
  <c r="I27" i="4"/>
  <c r="G27" i="4"/>
  <c r="E27" i="4"/>
  <c r="R26" i="4"/>
  <c r="O26" i="4"/>
  <c r="P26" i="4" s="1"/>
  <c r="M26" i="4"/>
  <c r="R25" i="4"/>
  <c r="O25" i="4"/>
  <c r="P25" i="4" s="1"/>
  <c r="M25" i="4"/>
  <c r="S25" i="4" s="1"/>
  <c r="R24" i="4"/>
  <c r="P24" i="4"/>
  <c r="O24" i="4"/>
  <c r="M24" i="4"/>
  <c r="S24" i="4" s="1"/>
  <c r="R23" i="4"/>
  <c r="P23" i="4"/>
  <c r="O23" i="4"/>
  <c r="M23" i="4"/>
  <c r="S23" i="4" s="1"/>
  <c r="R22" i="4"/>
  <c r="O22" i="4"/>
  <c r="P22" i="4" s="1"/>
  <c r="M22" i="4"/>
  <c r="R19" i="4"/>
  <c r="O19" i="4"/>
  <c r="P19" i="4" s="1"/>
  <c r="M19" i="4"/>
  <c r="S19" i="4" s="1"/>
  <c r="L19" i="4"/>
  <c r="I19" i="4"/>
  <c r="G19" i="4"/>
  <c r="N20" i="4" s="1"/>
  <c r="E19" i="4"/>
  <c r="R18" i="4"/>
  <c r="O18" i="4"/>
  <c r="P18" i="4" s="1"/>
  <c r="M18" i="4"/>
  <c r="R17" i="4"/>
  <c r="O17" i="4"/>
  <c r="P17" i="4" s="1"/>
  <c r="M17" i="4"/>
  <c r="R16" i="4"/>
  <c r="O16" i="4"/>
  <c r="P16" i="4" s="1"/>
  <c r="M16" i="4"/>
  <c r="R15" i="4"/>
  <c r="O15" i="4"/>
  <c r="P15" i="4" s="1"/>
  <c r="M15" i="4"/>
  <c r="R14" i="4"/>
  <c r="O14" i="4"/>
  <c r="P14" i="4" s="1"/>
  <c r="M14" i="4"/>
  <c r="K9" i="4"/>
  <c r="D9" i="4"/>
  <c r="S22" i="4" l="1"/>
  <c r="S33" i="4"/>
  <c r="S18" i="4"/>
  <c r="S26" i="4"/>
  <c r="S14" i="4"/>
  <c r="S15" i="4"/>
  <c r="P20" i="4"/>
  <c r="S36" i="4"/>
  <c r="M57" i="4"/>
  <c r="S16" i="4"/>
  <c r="S17" i="4"/>
  <c r="L20" i="4"/>
  <c r="P28" i="4"/>
  <c r="L28" i="4"/>
  <c r="S30" i="4"/>
  <c r="M59" i="4"/>
  <c r="R66" i="4"/>
  <c r="R75" i="4"/>
  <c r="N59" i="4"/>
  <c r="N57" i="4"/>
  <c r="R59" i="4"/>
  <c r="R78" i="4"/>
  <c r="R57" i="4"/>
  <c r="R67" i="4"/>
  <c r="R72" i="4"/>
  <c r="I61" i="4"/>
  <c r="R58" i="4"/>
  <c r="R60" i="4"/>
  <c r="I69" i="4"/>
  <c r="L76" i="4"/>
  <c r="R65" i="4"/>
  <c r="R69" i="4"/>
  <c r="R64" i="4"/>
  <c r="R68" i="4"/>
  <c r="P39" i="4"/>
  <c r="M68" i="4"/>
  <c r="M67" i="4"/>
  <c r="M66" i="4"/>
  <c r="M65" i="4"/>
  <c r="M64" i="4"/>
  <c r="M61" i="4"/>
  <c r="N80" i="4"/>
  <c r="M78" i="4"/>
  <c r="M72" i="4"/>
  <c r="M69" i="4"/>
  <c r="M60" i="4"/>
  <c r="O72" i="4"/>
  <c r="P73" i="4" s="1"/>
  <c r="O69" i="4"/>
  <c r="O60" i="4"/>
  <c r="O59" i="4"/>
  <c r="O58" i="4"/>
  <c r="O57" i="4"/>
  <c r="S57" i="4" s="1"/>
  <c r="O56" i="4"/>
  <c r="O75" i="4"/>
  <c r="P76" i="4" s="1"/>
  <c r="O68" i="4"/>
  <c r="O67" i="4"/>
  <c r="O66" i="4"/>
  <c r="O65" i="4"/>
  <c r="O64" i="4"/>
  <c r="O61" i="4"/>
  <c r="M56" i="4"/>
  <c r="M58" i="4"/>
  <c r="O78" i="4"/>
  <c r="P79" i="4" s="1"/>
  <c r="R56" i="4"/>
  <c r="R61" i="4"/>
  <c r="S59" i="4" l="1"/>
  <c r="P61" i="4"/>
  <c r="P62" i="4" s="1"/>
  <c r="S75" i="4"/>
  <c r="N56" i="4"/>
  <c r="S56" i="4"/>
  <c r="S69" i="4"/>
  <c r="N69" i="4"/>
  <c r="N61" i="4"/>
  <c r="S61" i="4"/>
  <c r="S67" i="4"/>
  <c r="N67" i="4"/>
  <c r="N72" i="4"/>
  <c r="N73" i="4" s="1"/>
  <c r="S72" i="4"/>
  <c r="S64" i="4"/>
  <c r="N64" i="4"/>
  <c r="S68" i="4"/>
  <c r="N68" i="4"/>
  <c r="N58" i="4"/>
  <c r="S58" i="4"/>
  <c r="P69" i="4"/>
  <c r="P70" i="4" s="1"/>
  <c r="N78" i="4"/>
  <c r="N79" i="4" s="1"/>
  <c r="S78" i="4"/>
  <c r="S65" i="4"/>
  <c r="N65" i="4"/>
  <c r="N60" i="4"/>
  <c r="S60" i="4"/>
  <c r="S66" i="4"/>
  <c r="N66" i="4"/>
  <c r="N70" i="4" l="1"/>
  <c r="N62" i="4"/>
  <c r="N81" i="4" l="1"/>
  <c r="AQ11" i="9" l="1"/>
  <c r="AQ16" i="9" s="1"/>
  <c r="AL3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Ryan, Christopher</author>
  </authors>
  <commentList>
    <comment ref="P1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Ryan, Christopher:</t>
        </r>
        <r>
          <rPr>
            <sz val="9"/>
            <color indexed="81"/>
            <rFont val="Tahoma"/>
            <family val="2"/>
          </rPr>
          <t xml:space="preserve">
50%</t>
        </r>
      </text>
    </comment>
  </commentList>
</comments>
</file>

<file path=xl/sharedStrings.xml><?xml version="1.0" encoding="utf-8"?>
<sst xmlns="http://schemas.openxmlformats.org/spreadsheetml/2006/main" count="285" uniqueCount="127">
  <si>
    <t>Ledger Type</t>
  </si>
  <si>
    <t>AA</t>
  </si>
  <si>
    <t>UW</t>
  </si>
  <si>
    <t>UO</t>
  </si>
  <si>
    <t>Year</t>
  </si>
  <si>
    <t>Format</t>
  </si>
  <si>
    <t>PER</t>
  </si>
  <si>
    <t>Period</t>
  </si>
  <si>
    <t>Currency</t>
  </si>
  <si>
    <t>***</t>
  </si>
  <si>
    <t>Business Unit</t>
  </si>
  <si>
    <t>Company</t>
  </si>
  <si>
    <t>00047</t>
  </si>
  <si>
    <t>*</t>
  </si>
  <si>
    <t>Washington</t>
  </si>
  <si>
    <t>Oregon</t>
  </si>
  <si>
    <t>Check</t>
  </si>
  <si>
    <t>3-Factor</t>
  </si>
  <si>
    <t>WA</t>
  </si>
  <si>
    <t>2017</t>
  </si>
  <si>
    <t>2021</t>
  </si>
  <si>
    <t>12</t>
  </si>
  <si>
    <t>3</t>
  </si>
  <si>
    <t>CNG</t>
  </si>
  <si>
    <t>Object Account</t>
  </si>
  <si>
    <t>Sub Account</t>
  </si>
  <si>
    <t>5511</t>
  </si>
  <si>
    <t>Commercial Air Service</t>
  </si>
  <si>
    <t>5512</t>
  </si>
  <si>
    <t>Corporate Aircraft</t>
  </si>
  <si>
    <t>5514</t>
  </si>
  <si>
    <t>Personal Vehicle Use</t>
  </si>
  <si>
    <t>5521</t>
  </si>
  <si>
    <t>Meals &amp; Entertainment</t>
  </si>
  <si>
    <t>5522</t>
  </si>
  <si>
    <t>Lodging &amp; Other Reimbursable Expense</t>
  </si>
  <si>
    <t>5523</t>
  </si>
  <si>
    <t>Entertainment</t>
  </si>
  <si>
    <t>5830</t>
  </si>
  <si>
    <t>Employee Meeting</t>
  </si>
  <si>
    <t>5840</t>
  </si>
  <si>
    <t>Service Club Dues</t>
  </si>
  <si>
    <t>5851</t>
  </si>
  <si>
    <t>Seminars &amp; Meeting Registration</t>
  </si>
  <si>
    <t>5852</t>
  </si>
  <si>
    <t>Executive Training</t>
  </si>
  <si>
    <t>5853</t>
  </si>
  <si>
    <t>Safety Training Materials &amp; Expenses</t>
  </si>
  <si>
    <t>5854</t>
  </si>
  <si>
    <t>Other Employee Training</t>
  </si>
  <si>
    <t>5223</t>
  </si>
  <si>
    <t>External Auditing</t>
  </si>
  <si>
    <t>5400</t>
  </si>
  <si>
    <t>Company Vehicles &amp; Work Equipment</t>
  </si>
  <si>
    <t>Per Tony's Covid-19 Mileage-Auto Cost History.xlsx file</t>
  </si>
  <si>
    <t>monthly average 9 months</t>
  </si>
  <si>
    <t>5891</t>
  </si>
  <si>
    <t>Uniforms</t>
  </si>
  <si>
    <t>Care Act tax credit</t>
  </si>
  <si>
    <t>12-month average</t>
  </si>
  <si>
    <t>2015-2019 5 Year Average less January-February 2020</t>
  </si>
  <si>
    <t>Savings</t>
  </si>
  <si>
    <t>Total</t>
  </si>
  <si>
    <t>Explanation</t>
  </si>
  <si>
    <t>Doc Number</t>
  </si>
  <si>
    <t>G/L Date</t>
  </si>
  <si>
    <t>LT 1 Debit</t>
  </si>
  <si>
    <t>DEFOR0121 - OR DEF INT &amp; AMORT</t>
  </si>
  <si>
    <t>DEFOR0221 - OR DEF INT &amp; AMORT</t>
  </si>
  <si>
    <t>DEFOR0321 - OR DEF INT &amp; AMORT</t>
  </si>
  <si>
    <t>DEFOR0421 - OR DEF INT &amp; AMORT</t>
  </si>
  <si>
    <t>DEFOR0521 - OR DEF INT &amp; AMORT</t>
  </si>
  <si>
    <t>DEFOR0621 - OR DEF INT &amp; AMORT</t>
  </si>
  <si>
    <t>Do Ty</t>
  </si>
  <si>
    <t>LT 1 Credit</t>
  </si>
  <si>
    <t>JE</t>
  </si>
  <si>
    <t>Bad Debts - True-up Jan-21</t>
  </si>
  <si>
    <t>Bad Debts - True-up Dec-20</t>
  </si>
  <si>
    <t>Savings - Not Recoverable Mar-Apr-20</t>
  </si>
  <si>
    <t xml:space="preserve">Savings - True-up Feb-21 </t>
  </si>
  <si>
    <t>Savings - True-up Jan-21</t>
  </si>
  <si>
    <t>Savings - True-up Dec-20</t>
  </si>
  <si>
    <t>Savings - True-up May-Nov-20</t>
  </si>
  <si>
    <t>4767000 - Credit &amp; Collections May-20-May-21</t>
  </si>
  <si>
    <t>Bad Debts - Not Recoverable Mar-Apr-20</t>
  </si>
  <si>
    <t>O&amp;M Work Order - Not Recoverable Mar-Apr-20</t>
  </si>
  <si>
    <t>Bad Debts - Costs</t>
  </si>
  <si>
    <t>O&amp;M Work Order - Costs</t>
  </si>
  <si>
    <t>COVID-19 DEFERRAL TRUE-UP 0221</t>
  </si>
  <si>
    <t>COVID-19 DEFERRAL TRUE-UP 0321</t>
  </si>
  <si>
    <t>COVID-19 DEFER TRUEUP CORR0321</t>
  </si>
  <si>
    <t>COVID-19 DEFERRAL TRUE-UP 0421</t>
  </si>
  <si>
    <t>COVID-19 DEFERRAL TRUE-UP 0521</t>
  </si>
  <si>
    <t>COVID-19 DEFERRAL TRUE-UP 0621</t>
  </si>
  <si>
    <t>COVID-19 DEFERRAL ACCRUAL 0621</t>
  </si>
  <si>
    <t>Column Total</t>
  </si>
  <si>
    <t>Ledger Total</t>
  </si>
  <si>
    <t>COVID-19 DEFERRAL ACCRUAL 0321</t>
  </si>
  <si>
    <t>This excludes reversing accrual entry</t>
  </si>
  <si>
    <t>Interest - Past Due Bal Apr-20-May-21</t>
  </si>
  <si>
    <t>Bad Debt Expense</t>
  </si>
  <si>
    <t>Other Direct Costs</t>
  </si>
  <si>
    <t>Reconnect Fees/Late Payment Fees</t>
  </si>
  <si>
    <t>Total 186</t>
  </si>
  <si>
    <t>Other Direct Benefits</t>
  </si>
  <si>
    <t>Total 253</t>
  </si>
  <si>
    <t>4767000 - Credit &amp; Collections</t>
  </si>
  <si>
    <t>Interest - Past Due Bal</t>
  </si>
  <si>
    <t>Savings - Care Act Credit</t>
  </si>
  <si>
    <t>Past Due Interest</t>
  </si>
  <si>
    <t>Interest - Past Due Bal corrects Oct-21</t>
  </si>
  <si>
    <t>Total Ending Balance</t>
  </si>
  <si>
    <t>Variance</t>
  </si>
  <si>
    <t>Waived LPC not booked</t>
  </si>
  <si>
    <t>Waived Reconnection Fees not booked</t>
  </si>
  <si>
    <t>Total Savings 47WA.2530.01290</t>
  </si>
  <si>
    <t>Total Costs 47WA.1860.20489</t>
  </si>
  <si>
    <t>BHG Assistance Program</t>
  </si>
  <si>
    <t xml:space="preserve">CARES Act Tax Benefit </t>
  </si>
  <si>
    <t xml:space="preserve">COVID-19 Deferral </t>
  </si>
  <si>
    <t>Total Costs 1860</t>
  </si>
  <si>
    <t>Washington - COVID-19 Costs &amp; Savings</t>
  </si>
  <si>
    <t xml:space="preserve">BHG Assistance Program </t>
  </si>
  <si>
    <t>Credit &amp; Collections</t>
  </si>
  <si>
    <t>Deferral Type</t>
  </si>
  <si>
    <t>Washington COVID-19 Deferral Summary as of 6/30/2023</t>
  </si>
  <si>
    <t>Total Ending Balance 6.30.2023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</si>
</sst>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9" formatCode="mm/dd/yyyy;@"/>
    <numFmt numFmtId="170" formatCode="_(* #,##0_);_(* \(#,##0\);_(* &quot;-&quot;??_);_(@_)"/>
  </numFmts>
  <fonts count="17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8">
    <xf numFmtId="0" fontId="0" fillId="0" borderId="0"/>
    <xf numFmtId="43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4" fontId="1" fillId="0" borderId="0" applyFont="0" applyFill="0" applyBorder="0" applyAlignment="0" applyProtection="0"/>
  </cellStyleXfs>
  <cellXfs count="182">
    <xf numFmtId="0" fontId="0" fillId="0" borderId="0" xfId="0"/>
    <xf numFmtId="43" fontId="0" fillId="0" borderId="0" xfId="1" applyFont="1"/>
    <xf numFmtId="43" fontId="0" fillId="0" borderId="0" xfId="4" applyFont="1"/>
    <xf numFmtId="0" fontId="0" fillId="0" borderId="0" xfId="0" applyFont="1"/>
    <xf numFmtId="0" fontId="4" fillId="0" borderId="0" xfId="5" applyAlignment="1">
      <alignment horizontal="center"/>
    </xf>
    <xf numFmtId="0" fontId="4" fillId="0" borderId="0" xfId="5"/>
    <xf numFmtId="0" fontId="4" fillId="6" borderId="0" xfId="5" applyFill="1" applyAlignment="1">
      <alignment horizontal="right"/>
    </xf>
    <xf numFmtId="49" fontId="4" fillId="0" borderId="0" xfId="5" applyNumberFormat="1"/>
    <xf numFmtId="0" fontId="4" fillId="7" borderId="0" xfId="5" applyFill="1"/>
    <xf numFmtId="49" fontId="5" fillId="3" borderId="0" xfId="5" quotePrefix="1" applyNumberFormat="1" applyFont="1" applyFill="1"/>
    <xf numFmtId="49" fontId="4" fillId="8" borderId="0" xfId="5" quotePrefix="1" applyNumberFormat="1" applyFill="1"/>
    <xf numFmtId="49" fontId="3" fillId="8" borderId="0" xfId="5" quotePrefix="1" applyNumberFormat="1" applyFont="1" applyFill="1" applyAlignment="1">
      <alignment horizontal="left"/>
    </xf>
    <xf numFmtId="49" fontId="4" fillId="0" borderId="0" xfId="5" applyNumberFormat="1" applyAlignment="1">
      <alignment wrapText="1"/>
    </xf>
    <xf numFmtId="49" fontId="5" fillId="9" borderId="0" xfId="5" applyNumberFormat="1" applyFont="1" applyFill="1" applyAlignment="1">
      <alignment horizontal="center"/>
    </xf>
    <xf numFmtId="0" fontId="5" fillId="10" borderId="2" xfId="5" applyFont="1" applyFill="1" applyBorder="1" applyAlignment="1">
      <alignment horizontal="center"/>
    </xf>
    <xf numFmtId="0" fontId="5" fillId="0" borderId="0" xfId="5" applyFont="1" applyAlignment="1">
      <alignment horizontal="center"/>
    </xf>
    <xf numFmtId="0" fontId="5" fillId="0" borderId="0" xfId="5" applyFont="1"/>
    <xf numFmtId="10" fontId="5" fillId="0" borderId="0" xfId="3" applyNumberFormat="1" applyFont="1" applyFill="1" applyBorder="1" applyAlignment="1">
      <alignment horizontal="center"/>
    </xf>
    <xf numFmtId="0" fontId="5" fillId="3" borderId="0" xfId="5" applyFont="1" applyFill="1"/>
    <xf numFmtId="49" fontId="4" fillId="11" borderId="0" xfId="5" applyNumberFormat="1" applyFill="1"/>
    <xf numFmtId="0" fontId="4" fillId="11" borderId="0" xfId="5" applyFill="1"/>
    <xf numFmtId="43" fontId="0" fillId="11" borderId="0" xfId="4" applyFont="1" applyFill="1"/>
    <xf numFmtId="43" fontId="4" fillId="3" borderId="0" xfId="5" applyNumberFormat="1" applyFill="1"/>
    <xf numFmtId="43" fontId="4" fillId="0" borderId="0" xfId="5" applyNumberFormat="1"/>
    <xf numFmtId="43" fontId="4" fillId="11" borderId="0" xfId="5" applyNumberFormat="1" applyFill="1"/>
    <xf numFmtId="43" fontId="0" fillId="0" borderId="0" xfId="4" applyFont="1" applyFill="1"/>
    <xf numFmtId="43" fontId="5" fillId="11" borderId="0" xfId="5" applyNumberFormat="1" applyFont="1" applyFill="1"/>
    <xf numFmtId="43" fontId="5" fillId="3" borderId="0" xfId="5" applyNumberFormat="1" applyFont="1" applyFill="1"/>
    <xf numFmtId="43" fontId="5" fillId="0" borderId="0" xfId="5" applyNumberFormat="1" applyFont="1"/>
    <xf numFmtId="49" fontId="4" fillId="9" borderId="0" xfId="5" applyNumberFormat="1" applyFill="1"/>
    <xf numFmtId="0" fontId="4" fillId="9" borderId="0" xfId="5" applyFill="1"/>
    <xf numFmtId="43" fontId="0" fillId="9" borderId="0" xfId="4" applyFont="1" applyFill="1"/>
    <xf numFmtId="43" fontId="4" fillId="9" borderId="0" xfId="5" applyNumberFormat="1" applyFill="1"/>
    <xf numFmtId="43" fontId="5" fillId="9" borderId="0" xfId="5" applyNumberFormat="1" applyFont="1" applyFill="1"/>
    <xf numFmtId="0" fontId="4" fillId="3" borderId="0" xfId="5" applyFill="1"/>
    <xf numFmtId="49" fontId="4" fillId="12" borderId="0" xfId="5" applyNumberFormat="1" applyFill="1"/>
    <xf numFmtId="0" fontId="4" fillId="12" borderId="0" xfId="5" applyFill="1"/>
    <xf numFmtId="43" fontId="0" fillId="12" borderId="0" xfId="4" applyFont="1" applyFill="1"/>
    <xf numFmtId="43" fontId="5" fillId="12" borderId="0" xfId="5" applyNumberFormat="1" applyFont="1" applyFill="1"/>
    <xf numFmtId="49" fontId="4" fillId="5" borderId="0" xfId="5" applyNumberFormat="1" applyFill="1"/>
    <xf numFmtId="0" fontId="4" fillId="5" borderId="0" xfId="5" applyFill="1"/>
    <xf numFmtId="43" fontId="0" fillId="5" borderId="0" xfId="4" applyFont="1" applyFill="1"/>
    <xf numFmtId="43" fontId="0" fillId="13" borderId="0" xfId="4" applyFont="1" applyFill="1"/>
    <xf numFmtId="43" fontId="4" fillId="13" borderId="0" xfId="5" applyNumberFormat="1" applyFill="1"/>
    <xf numFmtId="0" fontId="4" fillId="13" borderId="0" xfId="5" applyFill="1"/>
    <xf numFmtId="43" fontId="5" fillId="5" borderId="0" xfId="5" applyNumberFormat="1" applyFont="1" applyFill="1"/>
    <xf numFmtId="49" fontId="4" fillId="14" borderId="0" xfId="5" applyNumberFormat="1" applyFill="1"/>
    <xf numFmtId="0" fontId="4" fillId="14" borderId="0" xfId="5" applyFill="1"/>
    <xf numFmtId="43" fontId="0" fillId="14" borderId="0" xfId="4" applyFont="1" applyFill="1"/>
    <xf numFmtId="43" fontId="5" fillId="14" borderId="0" xfId="5" applyNumberFormat="1" applyFont="1" applyFill="1"/>
    <xf numFmtId="43" fontId="5" fillId="0" borderId="0" xfId="4" applyFont="1"/>
    <xf numFmtId="43" fontId="5" fillId="8" borderId="0" xfId="5" applyNumberFormat="1" applyFont="1" applyFill="1"/>
    <xf numFmtId="49" fontId="5" fillId="0" borderId="0" xfId="5" quotePrefix="1" applyNumberFormat="1" applyFont="1"/>
    <xf numFmtId="49" fontId="5" fillId="2" borderId="0" xfId="5" quotePrefix="1" applyNumberFormat="1" applyFont="1" applyFill="1"/>
    <xf numFmtId="49" fontId="4" fillId="0" borderId="0" xfId="5" quotePrefix="1" applyNumberFormat="1"/>
    <xf numFmtId="49" fontId="5" fillId="0" borderId="0" xfId="5" applyNumberFormat="1" applyFont="1" applyAlignment="1">
      <alignment horizontal="center"/>
    </xf>
    <xf numFmtId="49" fontId="5" fillId="0" borderId="0" xfId="5" applyNumberFormat="1" applyFont="1" applyAlignment="1">
      <alignment horizontal="left"/>
    </xf>
    <xf numFmtId="0" fontId="5" fillId="2" borderId="0" xfId="5" applyFont="1" applyFill="1"/>
    <xf numFmtId="43" fontId="0" fillId="2" borderId="0" xfId="4" applyFont="1" applyFill="1"/>
    <xf numFmtId="43" fontId="5" fillId="2" borderId="0" xfId="5" applyNumberFormat="1" applyFont="1" applyFill="1"/>
    <xf numFmtId="43" fontId="5" fillId="13" borderId="0" xfId="5" applyNumberFormat="1" applyFont="1" applyFill="1"/>
    <xf numFmtId="43" fontId="0" fillId="0" borderId="4" xfId="1" applyFont="1" applyBorder="1"/>
    <xf numFmtId="43" fontId="0" fillId="0" borderId="0" xfId="1" applyFont="1" applyBorder="1"/>
    <xf numFmtId="43" fontId="0" fillId="0" borderId="0" xfId="1" applyFont="1" applyFill="1"/>
    <xf numFmtId="43" fontId="0" fillId="0" borderId="4" xfId="1" applyFont="1" applyFill="1" applyBorder="1"/>
    <xf numFmtId="43" fontId="0" fillId="0" borderId="0" xfId="0" applyNumberFormat="1" applyFont="1"/>
    <xf numFmtId="43" fontId="0" fillId="7" borderId="8" xfId="0" applyNumberFormat="1" applyFont="1" applyFill="1" applyBorder="1"/>
    <xf numFmtId="43" fontId="0" fillId="0" borderId="0" xfId="0" applyNumberFormat="1" applyFont="1" applyFill="1"/>
    <xf numFmtId="0" fontId="0" fillId="0" borderId="0" xfId="0" applyAlignment="1">
      <alignment horizontal="center"/>
    </xf>
    <xf numFmtId="169" fontId="0" fillId="0" borderId="0" xfId="0" applyNumberFormat="1"/>
    <xf numFmtId="49" fontId="0" fillId="0" borderId="0" xfId="0" applyNumberFormat="1"/>
    <xf numFmtId="0" fontId="9" fillId="0" borderId="0" xfId="0" applyFont="1"/>
    <xf numFmtId="49" fontId="13" fillId="0" borderId="0" xfId="0" applyNumberFormat="1" applyFont="1"/>
    <xf numFmtId="0" fontId="0" fillId="0" borderId="0" xfId="0" applyFont="1" applyBorder="1"/>
    <xf numFmtId="17" fontId="14" fillId="4" borderId="0" xfId="5" applyNumberFormat="1" applyFont="1" applyFill="1" applyAlignment="1">
      <alignment horizontal="center" vertical="center"/>
    </xf>
    <xf numFmtId="17" fontId="14" fillId="4" borderId="0" xfId="5" applyNumberFormat="1" applyFont="1" applyFill="1" applyBorder="1" applyAlignment="1">
      <alignment horizontal="center" vertical="center"/>
    </xf>
    <xf numFmtId="17" fontId="14" fillId="4" borderId="1" xfId="5" applyNumberFormat="1" applyFont="1" applyFill="1" applyBorder="1" applyAlignment="1">
      <alignment horizontal="center" vertical="center"/>
    </xf>
    <xf numFmtId="17" fontId="14" fillId="7" borderId="1" xfId="5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43" fontId="0" fillId="0" borderId="0" xfId="1" applyFont="1" applyFill="1" applyBorder="1"/>
    <xf numFmtId="0" fontId="0" fillId="0" borderId="0" xfId="0" applyFont="1" applyFill="1" applyBorder="1"/>
    <xf numFmtId="43" fontId="0" fillId="0" borderId="10" xfId="1" applyFont="1" applyFill="1" applyBorder="1"/>
    <xf numFmtId="43" fontId="0" fillId="8" borderId="0" xfId="1" applyFont="1" applyFill="1"/>
    <xf numFmtId="43" fontId="0" fillId="7" borderId="7" xfId="0" applyNumberFormat="1" applyFont="1" applyFill="1" applyBorder="1"/>
    <xf numFmtId="43" fontId="9" fillId="0" borderId="0" xfId="1" applyFont="1"/>
    <xf numFmtId="49" fontId="0" fillId="0" borderId="0" xfId="0" applyNumberFormat="1" applyAlignment="1">
      <alignment horizontal="center"/>
    </xf>
    <xf numFmtId="49" fontId="13" fillId="0" borderId="0" xfId="0" applyNumberFormat="1" applyFont="1" applyAlignment="1">
      <alignment horizontal="center"/>
    </xf>
    <xf numFmtId="43" fontId="13" fillId="0" borderId="0" xfId="1" applyFont="1" applyFill="1" applyBorder="1" applyAlignment="1" applyProtection="1"/>
    <xf numFmtId="49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9" fontId="0" fillId="0" borderId="4" xfId="0" applyNumberFormat="1" applyBorder="1"/>
    <xf numFmtId="49" fontId="0" fillId="0" borderId="4" xfId="0" applyNumberFormat="1" applyBorder="1"/>
    <xf numFmtId="43" fontId="13" fillId="0" borderId="0" xfId="1" applyFont="1"/>
    <xf numFmtId="169" fontId="0" fillId="0" borderId="0" xfId="0" applyNumberFormat="1" applyAlignment="1">
      <alignment horizontal="center"/>
    </xf>
    <xf numFmtId="169" fontId="0" fillId="0" borderId="4" xfId="0" applyNumberFormat="1" applyBorder="1" applyAlignment="1">
      <alignment horizontal="center"/>
    </xf>
    <xf numFmtId="49" fontId="16" fillId="0" borderId="0" xfId="0" applyNumberFormat="1" applyFont="1"/>
    <xf numFmtId="0" fontId="15" fillId="0" borderId="0" xfId="0" applyFont="1" applyBorder="1"/>
    <xf numFmtId="43" fontId="0" fillId="0" borderId="5" xfId="0" applyNumberFormat="1" applyFont="1" applyBorder="1"/>
    <xf numFmtId="43" fontId="0" fillId="7" borderId="6" xfId="0" applyNumberFormat="1" applyFont="1" applyFill="1" applyBorder="1"/>
    <xf numFmtId="43" fontId="0" fillId="7" borderId="4" xfId="0" applyNumberFormat="1" applyFont="1" applyFill="1" applyBorder="1"/>
    <xf numFmtId="170" fontId="0" fillId="0" borderId="0" xfId="1" applyNumberFormat="1" applyFont="1"/>
    <xf numFmtId="170" fontId="0" fillId="0" borderId="0" xfId="1" applyNumberFormat="1" applyFont="1" applyBorder="1"/>
    <xf numFmtId="0" fontId="0" fillId="0" borderId="4" xfId="0" applyFont="1" applyBorder="1"/>
    <xf numFmtId="0" fontId="0" fillId="0" borderId="1" xfId="0" applyFont="1" applyBorder="1"/>
    <xf numFmtId="170" fontId="0" fillId="0" borderId="4" xfId="1" applyNumberFormat="1" applyFont="1" applyBorder="1"/>
    <xf numFmtId="0" fontId="0" fillId="0" borderId="3" xfId="0" applyFont="1" applyBorder="1"/>
    <xf numFmtId="0" fontId="0" fillId="0" borderId="5" xfId="0" applyFont="1" applyBorder="1"/>
    <xf numFmtId="43" fontId="0" fillId="0" borderId="0" xfId="0" applyNumberFormat="1" applyFont="1" applyBorder="1"/>
    <xf numFmtId="43" fontId="11" fillId="0" borderId="0" xfId="1" applyFont="1"/>
    <xf numFmtId="0" fontId="11" fillId="0" borderId="7" xfId="0" applyFont="1" applyBorder="1"/>
    <xf numFmtId="0" fontId="11" fillId="0" borderId="1" xfId="0" applyFont="1" applyBorder="1"/>
    <xf numFmtId="43" fontId="11" fillId="0" borderId="4" xfId="1" applyFont="1" applyBorder="1"/>
    <xf numFmtId="170" fontId="11" fillId="0" borderId="13" xfId="1" applyNumberFormat="1" applyFont="1" applyBorder="1"/>
    <xf numFmtId="0" fontId="11" fillId="0" borderId="10" xfId="0" applyFont="1" applyBorder="1"/>
    <xf numFmtId="0" fontId="11" fillId="0" borderId="0" xfId="0" applyFont="1"/>
    <xf numFmtId="0" fontId="11" fillId="0" borderId="5" xfId="0" applyFont="1" applyBorder="1"/>
    <xf numFmtId="43" fontId="11" fillId="0" borderId="11" xfId="1" applyFont="1" applyBorder="1"/>
    <xf numFmtId="0" fontId="0" fillId="0" borderId="0" xfId="0" applyFont="1" applyFill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11" fillId="0" borderId="14" xfId="0" applyFont="1" applyBorder="1"/>
    <xf numFmtId="43" fontId="9" fillId="0" borderId="0" xfId="0" applyNumberFormat="1" applyFont="1" applyBorder="1"/>
    <xf numFmtId="43" fontId="0" fillId="0" borderId="1" xfId="0" applyNumberFormat="1" applyFont="1" applyFill="1" applyBorder="1"/>
    <xf numFmtId="0" fontId="11" fillId="0" borderId="9" xfId="0" applyFont="1" applyBorder="1"/>
    <xf numFmtId="0" fontId="11" fillId="0" borderId="0" xfId="0" applyFont="1" applyAlignment="1">
      <alignment horizontal="center" vertical="center"/>
    </xf>
    <xf numFmtId="43" fontId="2" fillId="0" borderId="0" xfId="1" applyFont="1" applyFill="1"/>
    <xf numFmtId="43" fontId="2" fillId="0" borderId="0" xfId="1" applyFont="1" applyFill="1" applyBorder="1"/>
    <xf numFmtId="43" fontId="0" fillId="0" borderId="0" xfId="0" applyNumberFormat="1" applyFont="1" applyFill="1" applyBorder="1"/>
    <xf numFmtId="170" fontId="11" fillId="0" borderId="1" xfId="1" applyNumberFormat="1" applyFont="1" applyFill="1" applyBorder="1"/>
    <xf numFmtId="43" fontId="0" fillId="0" borderId="0" xfId="1" applyFont="1" applyFill="1" applyAlignment="1">
      <alignment horizontal="center"/>
    </xf>
    <xf numFmtId="0" fontId="0" fillId="0" borderId="11" xfId="0" applyFont="1" applyBorder="1"/>
    <xf numFmtId="0" fontId="0" fillId="4" borderId="0" xfId="0" applyFont="1" applyFill="1" applyAlignment="1">
      <alignment vertical="center"/>
    </xf>
    <xf numFmtId="43" fontId="0" fillId="0" borderId="4" xfId="0" applyNumberFormat="1" applyFont="1" applyBorder="1"/>
    <xf numFmtId="43" fontId="9" fillId="0" borderId="0" xfId="0" applyNumberFormat="1" applyFont="1" applyFill="1" applyBorder="1"/>
    <xf numFmtId="0" fontId="0" fillId="0" borderId="4" xfId="1" applyNumberFormat="1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1" applyNumberFormat="1" applyFont="1" applyFill="1" applyBorder="1" applyAlignment="1">
      <alignment horizontal="left"/>
    </xf>
    <xf numFmtId="0" fontId="0" fillId="0" borderId="0" xfId="0" applyFont="1" applyAlignment="1">
      <alignment horizontal="left" indent="1"/>
    </xf>
    <xf numFmtId="0" fontId="0" fillId="0" borderId="5" xfId="0" applyFont="1" applyBorder="1" applyAlignment="1">
      <alignment horizontal="left" indent="1"/>
    </xf>
    <xf numFmtId="0" fontId="0" fillId="0" borderId="0" xfId="0" applyFont="1" applyAlignment="1"/>
    <xf numFmtId="0" fontId="0" fillId="0" borderId="0" xfId="0" applyFont="1" applyFill="1" applyBorder="1" applyAlignment="1">
      <alignment horizontal="left"/>
    </xf>
    <xf numFmtId="43" fontId="0" fillId="0" borderId="4" xfId="1" applyFont="1" applyFill="1" applyBorder="1" applyAlignment="1">
      <alignment horizontal="right"/>
    </xf>
    <xf numFmtId="170" fontId="12" fillId="0" borderId="12" xfId="1" applyNumberFormat="1" applyFont="1" applyFill="1" applyBorder="1"/>
    <xf numFmtId="0" fontId="0" fillId="0" borderId="0" xfId="0" applyFont="1" applyBorder="1" applyAlignment="1">
      <alignment vertical="center"/>
    </xf>
    <xf numFmtId="43" fontId="2" fillId="0" borderId="4" xfId="1" applyFont="1" applyFill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/>
    <xf numFmtId="0" fontId="0" fillId="0" borderId="3" xfId="0" applyFont="1" applyBorder="1" applyAlignment="1">
      <alignment horizontal="left" vertical="center" indent="1"/>
    </xf>
    <xf numFmtId="0" fontId="0" fillId="0" borderId="9" xfId="0" applyFont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3"/>
    </xf>
    <xf numFmtId="43" fontId="0" fillId="0" borderId="1" xfId="0" applyNumberFormat="1" applyFont="1" applyBorder="1"/>
    <xf numFmtId="43" fontId="0" fillId="0" borderId="6" xfId="0" applyNumberFormat="1" applyFont="1" applyFill="1" applyBorder="1"/>
    <xf numFmtId="43" fontId="0" fillId="0" borderId="5" xfId="1" applyFont="1" applyFill="1" applyBorder="1"/>
    <xf numFmtId="43" fontId="0" fillId="0" borderId="1" xfId="1" applyFont="1" applyFill="1" applyBorder="1"/>
    <xf numFmtId="43" fontId="0" fillId="0" borderId="1" xfId="1" applyFont="1" applyBorder="1"/>
    <xf numFmtId="43" fontId="0" fillId="0" borderId="5" xfId="1" applyFont="1" applyFill="1" applyBorder="1" applyAlignment="1"/>
    <xf numFmtId="43" fontId="0" fillId="0" borderId="0" xfId="1" applyFont="1" applyFill="1" applyBorder="1" applyAlignment="1"/>
    <xf numFmtId="43" fontId="0" fillId="0" borderId="5" xfId="1" applyNumberFormat="1" applyFont="1" applyFill="1" applyBorder="1"/>
    <xf numFmtId="0" fontId="10" fillId="0" borderId="0" xfId="0" applyFont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0" fillId="0" borderId="5" xfId="0" applyFont="1" applyBorder="1" applyAlignment="1">
      <alignment horizontal="left" indent="1"/>
    </xf>
    <xf numFmtId="43" fontId="0" fillId="0" borderId="0" xfId="1" applyFont="1" applyFill="1" applyBorder="1" applyAlignment="1">
      <alignment horizontal="right"/>
    </xf>
    <xf numFmtId="43" fontId="0" fillId="0" borderId="5" xfId="1" applyFont="1" applyFill="1" applyBorder="1" applyAlignment="1">
      <alignment horizontal="right"/>
    </xf>
    <xf numFmtId="0" fontId="14" fillId="4" borderId="0" xfId="5" applyFont="1" applyFill="1" applyAlignment="1">
      <alignment horizontal="left"/>
    </xf>
    <xf numFmtId="43" fontId="12" fillId="15" borderId="15" xfId="1" applyFont="1" applyFill="1" applyBorder="1" applyAlignment="1">
      <alignment horizontal="center" vertical="center"/>
    </xf>
    <xf numFmtId="43" fontId="12" fillId="15" borderId="18" xfId="1" applyFont="1" applyFill="1" applyBorder="1" applyAlignment="1">
      <alignment horizontal="center" vertical="center"/>
    </xf>
    <xf numFmtId="0" fontId="5" fillId="3" borderId="0" xfId="5" applyFont="1" applyFill="1" applyAlignment="1">
      <alignment horizontal="center"/>
    </xf>
    <xf numFmtId="0" fontId="5" fillId="2" borderId="0" xfId="5" quotePrefix="1" applyFont="1" applyFill="1" applyAlignment="1">
      <alignment horizontal="center" wrapText="1"/>
    </xf>
    <xf numFmtId="43" fontId="0" fillId="0" borderId="7" xfId="0" applyNumberFormat="1" applyFont="1" applyFill="1" applyBorder="1"/>
    <xf numFmtId="0" fontId="0" fillId="0" borderId="1" xfId="0" applyFont="1" applyFill="1" applyBorder="1"/>
    <xf numFmtId="43" fontId="9" fillId="0" borderId="8" xfId="0" applyNumberFormat="1" applyFont="1" applyFill="1" applyBorder="1"/>
    <xf numFmtId="170" fontId="0" fillId="0" borderId="0" xfId="1" applyNumberFormat="1" applyFont="1" applyFill="1" applyBorder="1"/>
    <xf numFmtId="43" fontId="11" fillId="0" borderId="0" xfId="1" applyFont="1" applyFill="1"/>
    <xf numFmtId="43" fontId="11" fillId="0" borderId="16" xfId="1" applyFont="1" applyFill="1" applyBorder="1" applyAlignment="1">
      <alignment horizontal="left" indent="1"/>
    </xf>
    <xf numFmtId="170" fontId="11" fillId="0" borderId="17" xfId="1" applyNumberFormat="1" applyFont="1" applyFill="1" applyBorder="1" applyAlignment="1">
      <alignment horizontal="center"/>
    </xf>
    <xf numFmtId="43" fontId="11" fillId="0" borderId="1" xfId="1" applyFont="1" applyFill="1" applyBorder="1"/>
    <xf numFmtId="43" fontId="11" fillId="0" borderId="7" xfId="1" applyFont="1" applyFill="1" applyBorder="1"/>
    <xf numFmtId="43" fontId="12" fillId="0" borderId="5" xfId="1" applyFont="1" applyFill="1" applyBorder="1" applyAlignment="1">
      <alignment horizontal="left" indent="1"/>
    </xf>
    <xf numFmtId="43" fontId="11" fillId="0" borderId="11" xfId="1" applyFont="1" applyFill="1" applyBorder="1"/>
    <xf numFmtId="43" fontId="12" fillId="0" borderId="0" xfId="1" applyFont="1" applyFill="1" applyBorder="1" applyAlignment="1">
      <alignment horizontal="left" indent="1"/>
    </xf>
    <xf numFmtId="43" fontId="12" fillId="0" borderId="19" xfId="1" applyFont="1" applyFill="1" applyBorder="1" applyAlignment="1">
      <alignment horizontal="left" indent="2"/>
    </xf>
  </cellXfs>
  <cellStyles count="18">
    <cellStyle name="Comma" xfId="1" builtinId="3"/>
    <cellStyle name="Comma 2" xfId="4" xr:uid="{00000000-0005-0000-0000-000001000000}"/>
    <cellStyle name="Comma 2 2" xfId="6" xr:uid="{00000000-0005-0000-0000-000002000000}"/>
    <cellStyle name="Comma 3" xfId="14" xr:uid="{3D37DA5E-4CF5-4389-AB8C-58833F6A7F2A}"/>
    <cellStyle name="Comma 4" xfId="10" xr:uid="{00000000-0005-0000-0000-000003000000}"/>
    <cellStyle name="Currency 2" xfId="8" xr:uid="{00000000-0005-0000-0000-000005000000}"/>
    <cellStyle name="Currency 3" xfId="17" xr:uid="{3BABD266-31FC-4D2E-B8AA-EC0BA76CC5D5}"/>
    <cellStyle name="Normal" xfId="0" builtinId="0"/>
    <cellStyle name="Normal 14" xfId="5" xr:uid="{00000000-0005-0000-0000-000007000000}"/>
    <cellStyle name="Normal 2" xfId="2" xr:uid="{00000000-0005-0000-0000-000008000000}"/>
    <cellStyle name="Normal 2 2" xfId="7" xr:uid="{00000000-0005-0000-0000-000009000000}"/>
    <cellStyle name="Normal 3" xfId="11" xr:uid="{23727E03-B171-41B0-849B-A7B364BB66E5}"/>
    <cellStyle name="Normal 3 2" xfId="16" xr:uid="{DF1C1A47-A096-4728-ADF4-3E681E8986A0}"/>
    <cellStyle name="Normal 4" xfId="13" xr:uid="{CFB10456-07E6-4CC9-BAEF-10F13C881162}"/>
    <cellStyle name="Percent 2" xfId="3" xr:uid="{00000000-0005-0000-0000-00000D000000}"/>
    <cellStyle name="Percent 2 2" xfId="9" xr:uid="{00000000-0005-0000-0000-00000E000000}"/>
    <cellStyle name="Percent 3" xfId="12" xr:uid="{14671C1C-29D1-4165-A405-3A0D0FA54A9C}"/>
    <cellStyle name="Percent 4" xfId="15" xr:uid="{E2DCBEF8-5C47-40A3-B824-DD0B23CD83FC}"/>
  </cellStyles>
  <dxfs count="0"/>
  <tableStyles count="1" defaultTableStyle="TableStyleMedium2" defaultPivotStyle="PivotStyleLight16">
    <tableStyle name="Invisible" pivot="0" table="0" count="0" xr9:uid="{34E934EE-EAFF-443F-A0B5-240E0F5A7865}"/>
  </tableStyles>
  <colors>
    <mruColors>
      <color rgb="FFFDB66F"/>
      <color rgb="FFEB7703"/>
      <color rgb="FFFB7609"/>
      <color rgb="FFEA6C04"/>
      <color rgb="FFEA6104"/>
      <color rgb="FFE472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376840</xdr:colOff>
      <xdr:row>36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2959BFB-69F7-4AEB-9071-9A9CC4135F54}"/>
            </a:ext>
          </a:extLst>
        </xdr:cNvPr>
        <xdr:cNvSpPr txBox="1"/>
      </xdr:nvSpPr>
      <xdr:spPr>
        <a:xfrm>
          <a:off x="7747219" y="1133409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Accounting/GA/AcctIssues/2021/Covid-19/03-2021%20Covid-19%20Accr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"/>
      <sheetName val="COSTS WA &amp; OR"/>
      <sheetName val="SS (Estimate) (3)"/>
      <sheetName val="WO SS"/>
      <sheetName val="SS (Estimate)"/>
      <sheetName val="OR Paste Special Monthly"/>
      <sheetName val="SAVINGS WA &amp; OR"/>
      <sheetName val="WO Paste Special"/>
      <sheetName val="SS"/>
      <sheetName val="Paste Special WA Jan-Feb 2020"/>
      <sheetName val="SS WA Jan-Feb 2020"/>
      <sheetName val="Paste Special WA 5yr"/>
      <sheetName val="SS WA 5yr"/>
      <sheetName val="WA OR Bad 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4">
          <cell r="D14">
            <v>177138.6</v>
          </cell>
          <cell r="F14">
            <v>130140.296</v>
          </cell>
          <cell r="H14">
            <v>46998.304000000004</v>
          </cell>
        </row>
        <row r="15">
          <cell r="D15">
            <v>45351.35</v>
          </cell>
          <cell r="F15">
            <v>33568.373999999996</v>
          </cell>
          <cell r="H15">
            <v>11782.975999999999</v>
          </cell>
        </row>
        <row r="16">
          <cell r="D16">
            <v>15114.723999999998</v>
          </cell>
          <cell r="F16">
            <v>11296.248</v>
          </cell>
          <cell r="H16">
            <v>3818.4760000000001</v>
          </cell>
        </row>
        <row r="17">
          <cell r="D17">
            <v>281029.53600000002</v>
          </cell>
          <cell r="F17">
            <v>198780.08199999999</v>
          </cell>
          <cell r="H17">
            <v>82249.453999999998</v>
          </cell>
        </row>
        <row r="18">
          <cell r="D18">
            <v>305051.946</v>
          </cell>
          <cell r="F18">
            <v>218962.14199999999</v>
          </cell>
          <cell r="H18">
            <v>86089.804000000004</v>
          </cell>
        </row>
        <row r="19">
          <cell r="D19">
            <v>4023.7719999999999</v>
          </cell>
          <cell r="F19">
            <v>3071.922</v>
          </cell>
          <cell r="H19">
            <v>951.85</v>
          </cell>
        </row>
        <row r="22">
          <cell r="D22">
            <v>2827.2120000000004</v>
          </cell>
          <cell r="F22">
            <v>2139.9440000000004</v>
          </cell>
          <cell r="H22">
            <v>687.26799999999992</v>
          </cell>
        </row>
        <row r="23">
          <cell r="D23">
            <v>1183.4000000000001</v>
          </cell>
          <cell r="F23">
            <v>1175.4000000000001</v>
          </cell>
          <cell r="H23">
            <v>8</v>
          </cell>
        </row>
        <row r="24">
          <cell r="D24">
            <v>108460.19399999999</v>
          </cell>
          <cell r="F24">
            <v>81924.676000000007</v>
          </cell>
          <cell r="H24">
            <v>26535.518000000004</v>
          </cell>
        </row>
        <row r="25">
          <cell r="D25">
            <v>5748.2699999999995</v>
          </cell>
          <cell r="F25">
            <v>4351.5619999999999</v>
          </cell>
          <cell r="H25">
            <v>1396.7080000000001</v>
          </cell>
        </row>
        <row r="26">
          <cell r="D26">
            <v>148090.95199999999</v>
          </cell>
          <cell r="F26">
            <v>105349.804</v>
          </cell>
          <cell r="H26">
            <v>42741.148000000001</v>
          </cell>
        </row>
        <row r="27">
          <cell r="D27">
            <v>16041.485999999999</v>
          </cell>
          <cell r="F27">
            <v>12943.636</v>
          </cell>
          <cell r="H27">
            <v>3097.85</v>
          </cell>
        </row>
        <row r="30">
          <cell r="D30">
            <v>362827.93800000002</v>
          </cell>
          <cell r="F30">
            <v>273057.91800000001</v>
          </cell>
          <cell r="H30">
            <v>89770.02</v>
          </cell>
        </row>
        <row r="33">
          <cell r="D33">
            <v>1902544.6640000001</v>
          </cell>
          <cell r="F33">
            <v>1407055.878</v>
          </cell>
          <cell r="H33">
            <v>495488.78600000002</v>
          </cell>
        </row>
        <row r="36">
          <cell r="D36">
            <v>254935.804</v>
          </cell>
          <cell r="F36">
            <v>192011.37</v>
          </cell>
          <cell r="H36">
            <v>62924.433999999994</v>
          </cell>
        </row>
      </sheetData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T36"/>
  <sheetViews>
    <sheetView showGridLines="0" tabSelected="1" topLeftCell="Z1" zoomScaleNormal="100" zoomScaleSheetLayoutView="85" workbookViewId="0">
      <selection activeCell="AE20" sqref="AE20"/>
    </sheetView>
  </sheetViews>
  <sheetFormatPr defaultRowHeight="14.25" x14ac:dyDescent="0.2"/>
  <cols>
    <col min="1" max="1" width="3.25" style="3" customWidth="1"/>
    <col min="2" max="2" width="1.75" style="3" customWidth="1"/>
    <col min="3" max="3" width="3.875" style="3" customWidth="1"/>
    <col min="4" max="4" width="34.75" style="3" customWidth="1"/>
    <col min="5" max="5" width="11.875" style="3" customWidth="1"/>
    <col min="6" max="6" width="12.25" style="3" customWidth="1"/>
    <col min="7" max="8" width="11.75" style="3" customWidth="1"/>
    <col min="9" max="9" width="12.25" style="3" customWidth="1"/>
    <col min="10" max="11" width="11.5" style="3" customWidth="1"/>
    <col min="12" max="23" width="12.625" style="3" customWidth="1"/>
    <col min="24" max="24" width="11.125" style="3" customWidth="1"/>
    <col min="25" max="36" width="12.625" style="3" customWidth="1"/>
    <col min="37" max="37" width="0.75" style="3" customWidth="1"/>
    <col min="38" max="38" width="13.875" style="3" customWidth="1"/>
    <col min="39" max="39" width="1.125" style="3" customWidth="1"/>
    <col min="40" max="40" width="1.625" style="3" customWidth="1"/>
    <col min="41" max="41" width="2" style="1" customWidth="1"/>
    <col min="42" max="42" width="44.5" style="1" customWidth="1"/>
    <col min="43" max="43" width="13.5" style="100" customWidth="1"/>
    <col min="44" max="44" width="2" style="3" customWidth="1"/>
    <col min="45" max="45" width="3.25" style="3" customWidth="1"/>
    <col min="46" max="16384" width="9" style="3"/>
  </cols>
  <sheetData>
    <row r="1" spans="1:45" ht="15.75" customHeight="1" x14ac:dyDescent="0.25">
      <c r="A1" s="73"/>
      <c r="AM1" s="121"/>
      <c r="AN1" s="65"/>
    </row>
    <row r="2" spans="1:45" ht="15.75" customHeight="1" x14ac:dyDescent="0.25">
      <c r="C2" s="159" t="s">
        <v>121</v>
      </c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21"/>
      <c r="AP2" s="61"/>
      <c r="AQ2" s="104"/>
    </row>
    <row r="3" spans="1:45" ht="12" customHeight="1" thickBot="1" x14ac:dyDescent="0.3">
      <c r="B3" s="164" t="s">
        <v>119</v>
      </c>
      <c r="C3" s="164"/>
      <c r="D3" s="164"/>
      <c r="E3" s="74">
        <v>43952</v>
      </c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77"/>
      <c r="AL3" s="131"/>
      <c r="AM3" s="121"/>
      <c r="AN3" s="143"/>
      <c r="AO3" s="123"/>
      <c r="AP3" s="114"/>
      <c r="AQ3" s="114"/>
      <c r="AR3" s="115"/>
      <c r="AS3" s="105"/>
    </row>
    <row r="4" spans="1:45" ht="16.5" thickBot="1" x14ac:dyDescent="0.3">
      <c r="A4" s="103"/>
      <c r="B4" s="164"/>
      <c r="C4" s="164"/>
      <c r="D4" s="164"/>
      <c r="E4" s="74">
        <v>44156</v>
      </c>
      <c r="F4" s="74">
        <v>44186</v>
      </c>
      <c r="G4" s="74">
        <v>44197</v>
      </c>
      <c r="H4" s="74">
        <v>44228</v>
      </c>
      <c r="I4" s="75">
        <v>44256</v>
      </c>
      <c r="J4" s="75">
        <v>44287</v>
      </c>
      <c r="K4" s="74">
        <v>44317</v>
      </c>
      <c r="L4" s="75">
        <v>44348</v>
      </c>
      <c r="M4" s="75">
        <v>44378</v>
      </c>
      <c r="N4" s="75">
        <v>44409</v>
      </c>
      <c r="O4" s="75">
        <v>44440</v>
      </c>
      <c r="P4" s="75">
        <v>44490</v>
      </c>
      <c r="Q4" s="75">
        <v>44521</v>
      </c>
      <c r="R4" s="75">
        <v>44551</v>
      </c>
      <c r="S4" s="75">
        <v>44582</v>
      </c>
      <c r="T4" s="75">
        <v>44613</v>
      </c>
      <c r="U4" s="75">
        <v>44641</v>
      </c>
      <c r="V4" s="75">
        <v>44671</v>
      </c>
      <c r="W4" s="75">
        <v>44701</v>
      </c>
      <c r="X4" s="75">
        <v>44731</v>
      </c>
      <c r="Y4" s="75">
        <v>44761</v>
      </c>
      <c r="Z4" s="75">
        <v>44791</v>
      </c>
      <c r="AA4" s="75">
        <v>44821</v>
      </c>
      <c r="AB4" s="75">
        <v>44851</v>
      </c>
      <c r="AC4" s="75">
        <v>44881</v>
      </c>
      <c r="AD4" s="75">
        <v>44911</v>
      </c>
      <c r="AE4" s="75">
        <v>44941</v>
      </c>
      <c r="AF4" s="75">
        <v>44971</v>
      </c>
      <c r="AG4" s="75">
        <v>45001</v>
      </c>
      <c r="AH4" s="75">
        <v>45031</v>
      </c>
      <c r="AI4" s="75">
        <v>45061</v>
      </c>
      <c r="AJ4" s="75">
        <v>45091</v>
      </c>
      <c r="AK4" s="77"/>
      <c r="AL4" s="76" t="s">
        <v>62</v>
      </c>
      <c r="AM4" s="121"/>
      <c r="AN4" s="151"/>
      <c r="AO4" s="108"/>
      <c r="AP4" s="165" t="s">
        <v>125</v>
      </c>
      <c r="AQ4" s="166"/>
      <c r="AR4" s="120"/>
      <c r="AS4" s="73"/>
    </row>
    <row r="5" spans="1:45" ht="15.75" x14ac:dyDescent="0.25">
      <c r="A5" s="103"/>
      <c r="C5" s="160" t="s">
        <v>86</v>
      </c>
      <c r="D5" s="160"/>
      <c r="E5" s="63">
        <v>95087.75</v>
      </c>
      <c r="F5" s="63">
        <v>215508.29</v>
      </c>
      <c r="G5" s="63">
        <v>-4356.18</v>
      </c>
      <c r="H5" s="63">
        <v>55165.84</v>
      </c>
      <c r="I5" s="63">
        <v>-41970.52</v>
      </c>
      <c r="J5" s="63">
        <v>-76832.52</v>
      </c>
      <c r="K5" s="63">
        <v>32913.49</v>
      </c>
      <c r="L5" s="63">
        <v>206292.17</v>
      </c>
      <c r="M5" s="63">
        <v>-89920.36</v>
      </c>
      <c r="N5" s="63">
        <v>7792.44</v>
      </c>
      <c r="O5" s="63">
        <v>-83970.18</v>
      </c>
      <c r="P5" s="63">
        <v>-86758.71</v>
      </c>
      <c r="Q5" s="63">
        <v>-171853.01</v>
      </c>
      <c r="R5" s="63">
        <v>-158238.84</v>
      </c>
      <c r="S5" s="63">
        <v>-2421.84</v>
      </c>
      <c r="T5" s="63">
        <v>-61922.69</v>
      </c>
      <c r="U5" s="63">
        <v>-420442.57</v>
      </c>
      <c r="V5" s="63">
        <v>-46712.73</v>
      </c>
      <c r="W5" s="63">
        <v>132894.85</v>
      </c>
      <c r="X5" s="125">
        <v>-50807.28</v>
      </c>
      <c r="Y5" s="63">
        <v>5709.59</v>
      </c>
      <c r="Z5" s="63">
        <v>128634.29</v>
      </c>
      <c r="AA5" s="125">
        <v>64545.88</v>
      </c>
      <c r="AB5" s="125">
        <v>67014.55</v>
      </c>
      <c r="AC5" s="125">
        <v>-61096.82</v>
      </c>
      <c r="AD5" s="125">
        <v>54711.07</v>
      </c>
      <c r="AE5" s="125">
        <v>71094.73</v>
      </c>
      <c r="AF5" s="125">
        <v>13721.07</v>
      </c>
      <c r="AG5" s="63">
        <v>11950.58</v>
      </c>
      <c r="AH5" s="63">
        <v>-34851.75</v>
      </c>
      <c r="AI5" s="63">
        <v>173034.08</v>
      </c>
      <c r="AJ5" s="63">
        <v>54790.17</v>
      </c>
      <c r="AK5" s="66"/>
      <c r="AL5" s="122">
        <f t="shared" ref="AL5:AL15" si="0">SUM(E5:AJ5)</f>
        <v>-1295.1600000000763</v>
      </c>
      <c r="AM5" s="133"/>
      <c r="AN5" s="122"/>
      <c r="AO5" s="173"/>
      <c r="AP5" s="174" t="s">
        <v>124</v>
      </c>
      <c r="AQ5" s="175" t="s">
        <v>18</v>
      </c>
      <c r="AR5" s="110"/>
      <c r="AS5" s="73"/>
    </row>
    <row r="6" spans="1:45" ht="15.75" x14ac:dyDescent="0.25">
      <c r="A6" s="103"/>
      <c r="C6" s="160" t="s">
        <v>76</v>
      </c>
      <c r="D6" s="160"/>
      <c r="E6" s="117"/>
      <c r="F6" s="117"/>
      <c r="G6" s="63"/>
      <c r="H6" s="63"/>
      <c r="I6" s="63">
        <v>7357.82</v>
      </c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125"/>
      <c r="Y6" s="63"/>
      <c r="Z6" s="63"/>
      <c r="AA6" s="125"/>
      <c r="AB6" s="125"/>
      <c r="AC6" s="125"/>
      <c r="AD6" s="125"/>
      <c r="AE6" s="125"/>
      <c r="AF6" s="125"/>
      <c r="AG6" s="63"/>
      <c r="AH6" s="63"/>
      <c r="AI6" s="63"/>
      <c r="AJ6" s="63"/>
      <c r="AK6" s="66"/>
      <c r="AL6" s="122">
        <f t="shared" si="0"/>
        <v>7357.82</v>
      </c>
      <c r="AM6" s="133"/>
      <c r="AN6" s="122"/>
      <c r="AO6" s="176"/>
      <c r="AP6" s="173" t="s">
        <v>100</v>
      </c>
      <c r="AQ6" s="128">
        <f>AL5+AL6+AL7+AL8</f>
        <v>-34341.100000000079</v>
      </c>
      <c r="AR6" s="109"/>
      <c r="AS6" s="73"/>
    </row>
    <row r="7" spans="1:45" ht="15.75" x14ac:dyDescent="0.25">
      <c r="A7" s="103"/>
      <c r="C7" s="160" t="s">
        <v>77</v>
      </c>
      <c r="D7" s="160"/>
      <c r="E7" s="117"/>
      <c r="F7" s="117"/>
      <c r="G7" s="63"/>
      <c r="H7" s="63"/>
      <c r="I7" s="63"/>
      <c r="J7" s="63">
        <v>7410.97</v>
      </c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125"/>
      <c r="Y7" s="63"/>
      <c r="Z7" s="63"/>
      <c r="AA7" s="125"/>
      <c r="AB7" s="125"/>
      <c r="AC7" s="125"/>
      <c r="AD7" s="125"/>
      <c r="AE7" s="125"/>
      <c r="AF7" s="125"/>
      <c r="AG7" s="63"/>
      <c r="AH7" s="63"/>
      <c r="AI7" s="63"/>
      <c r="AJ7" s="63"/>
      <c r="AK7" s="66"/>
      <c r="AL7" s="122">
        <f t="shared" si="0"/>
        <v>7410.97</v>
      </c>
      <c r="AM7" s="133"/>
      <c r="AN7" s="67"/>
      <c r="AO7" s="177"/>
      <c r="AP7" s="173" t="s">
        <v>109</v>
      </c>
      <c r="AQ7" s="128">
        <f>+AL9+AL11+AL10</f>
        <v>506467.81999999995</v>
      </c>
      <c r="AR7" s="110"/>
      <c r="AS7" s="73"/>
    </row>
    <row r="8" spans="1:45" ht="15.75" x14ac:dyDescent="0.25">
      <c r="A8" s="103"/>
      <c r="C8" s="160" t="s">
        <v>84</v>
      </c>
      <c r="D8" s="160"/>
      <c r="E8" s="117"/>
      <c r="F8" s="117"/>
      <c r="G8" s="63"/>
      <c r="H8" s="63"/>
      <c r="I8" s="63"/>
      <c r="J8" s="63"/>
      <c r="K8" s="63"/>
      <c r="L8" s="63">
        <v>-47814.73</v>
      </c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125"/>
      <c r="Y8" s="63"/>
      <c r="Z8" s="63"/>
      <c r="AA8" s="125"/>
      <c r="AB8" s="125"/>
      <c r="AC8" s="125"/>
      <c r="AD8" s="125"/>
      <c r="AE8" s="125"/>
      <c r="AF8" s="125"/>
      <c r="AG8" s="63"/>
      <c r="AH8" s="63"/>
      <c r="AI8" s="63"/>
      <c r="AJ8" s="63"/>
      <c r="AK8" s="66"/>
      <c r="AL8" s="122">
        <f t="shared" si="0"/>
        <v>-47814.73</v>
      </c>
      <c r="AM8" s="133"/>
      <c r="AN8" s="67"/>
      <c r="AO8" s="177"/>
      <c r="AP8" s="173" t="s">
        <v>101</v>
      </c>
      <c r="AQ8" s="128">
        <f>+AL12+AL13</f>
        <v>124102.42000000006</v>
      </c>
      <c r="AR8" s="110"/>
    </row>
    <row r="9" spans="1:45" ht="15.75" x14ac:dyDescent="0.25">
      <c r="A9" s="103"/>
      <c r="C9" s="160" t="s">
        <v>107</v>
      </c>
      <c r="D9" s="160"/>
      <c r="E9" s="117"/>
      <c r="F9" s="117"/>
      <c r="G9" s="63"/>
      <c r="H9" s="63"/>
      <c r="I9" s="63"/>
      <c r="J9" s="63"/>
      <c r="K9" s="63"/>
      <c r="L9" s="79">
        <v>7261.85</v>
      </c>
      <c r="M9" s="79">
        <v>6846.45</v>
      </c>
      <c r="N9" s="79">
        <v>6066.44</v>
      </c>
      <c r="O9" s="79">
        <v>5547.32</v>
      </c>
      <c r="P9" s="79">
        <v>4674.8900000000003</v>
      </c>
      <c r="Q9" s="79">
        <v>4860.26</v>
      </c>
      <c r="R9" s="79">
        <v>6047.54</v>
      </c>
      <c r="S9" s="79">
        <v>8820.5400000000009</v>
      </c>
      <c r="T9" s="79">
        <v>11531.84</v>
      </c>
      <c r="U9" s="79">
        <v>8462.48</v>
      </c>
      <c r="V9" s="79">
        <v>14265.63</v>
      </c>
      <c r="W9" s="79">
        <v>13665.94</v>
      </c>
      <c r="X9" s="126">
        <v>12233.7</v>
      </c>
      <c r="Y9" s="79">
        <v>13600.64</v>
      </c>
      <c r="Z9" s="79">
        <v>10800.18</v>
      </c>
      <c r="AA9" s="125">
        <v>10061.11</v>
      </c>
      <c r="AB9" s="126">
        <v>9368.94</v>
      </c>
      <c r="AC9" s="126">
        <v>9076.7000000000007</v>
      </c>
      <c r="AD9" s="126">
        <v>10825.54</v>
      </c>
      <c r="AE9" s="126">
        <v>34412.080000000002</v>
      </c>
      <c r="AF9" s="126">
        <v>41171.660000000003</v>
      </c>
      <c r="AG9" s="126">
        <v>35431.07</v>
      </c>
      <c r="AH9" s="126">
        <v>42669.120000000003</v>
      </c>
      <c r="AI9" s="126">
        <v>40466.129999999997</v>
      </c>
      <c r="AJ9" s="126">
        <v>40466.129999999997</v>
      </c>
      <c r="AK9" s="66"/>
      <c r="AL9" s="122">
        <f t="shared" si="0"/>
        <v>408634.18</v>
      </c>
      <c r="AM9" s="133"/>
      <c r="AN9" s="67"/>
      <c r="AO9" s="177"/>
      <c r="AP9" s="173" t="s">
        <v>122</v>
      </c>
      <c r="AQ9" s="128">
        <f>+AL18</f>
        <v>3709874.9970000004</v>
      </c>
      <c r="AR9" s="110"/>
      <c r="AS9" s="73"/>
    </row>
    <row r="10" spans="1:45" ht="15.75" x14ac:dyDescent="0.25">
      <c r="A10" s="103"/>
      <c r="C10" s="160" t="s">
        <v>110</v>
      </c>
      <c r="D10" s="160"/>
      <c r="E10" s="119"/>
      <c r="F10" s="119"/>
      <c r="G10" s="63"/>
      <c r="H10" s="63"/>
      <c r="I10" s="63"/>
      <c r="J10" s="63"/>
      <c r="K10" s="63"/>
      <c r="L10" s="79"/>
      <c r="M10" s="79"/>
      <c r="N10" s="79"/>
      <c r="O10" s="79"/>
      <c r="P10" s="79"/>
      <c r="Q10" s="79"/>
      <c r="R10" s="79">
        <v>301.66000000000003</v>
      </c>
      <c r="S10" s="79"/>
      <c r="T10" s="79"/>
      <c r="U10" s="79"/>
      <c r="V10" s="79"/>
      <c r="W10" s="79"/>
      <c r="X10" s="79"/>
      <c r="Y10" s="79"/>
      <c r="Z10" s="79"/>
      <c r="AA10" s="126"/>
      <c r="AB10" s="126"/>
      <c r="AC10" s="126"/>
      <c r="AD10" s="126"/>
      <c r="AE10" s="126"/>
      <c r="AF10" s="126"/>
      <c r="AG10" s="79"/>
      <c r="AH10" s="79"/>
      <c r="AI10" s="79"/>
      <c r="AJ10" s="79"/>
      <c r="AK10" s="66"/>
      <c r="AL10" s="122">
        <f t="shared" si="0"/>
        <v>301.66000000000003</v>
      </c>
      <c r="AM10" s="133"/>
      <c r="AN10" s="67"/>
      <c r="AO10" s="177"/>
      <c r="AP10" s="173" t="s">
        <v>102</v>
      </c>
      <c r="AQ10" s="128">
        <f>+AL20+AL19</f>
        <v>5084877.9400000013</v>
      </c>
      <c r="AR10" s="110"/>
      <c r="AS10" s="73"/>
    </row>
    <row r="11" spans="1:45" ht="15.75" x14ac:dyDescent="0.25">
      <c r="A11" s="103"/>
      <c r="C11" s="160" t="s">
        <v>99</v>
      </c>
      <c r="D11" s="160"/>
      <c r="E11" s="140"/>
      <c r="F11" s="140"/>
      <c r="G11" s="79"/>
      <c r="H11" s="79"/>
      <c r="I11" s="79"/>
      <c r="J11" s="79"/>
      <c r="K11" s="79"/>
      <c r="L11" s="79">
        <v>97531.98</v>
      </c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126"/>
      <c r="AB11" s="126"/>
      <c r="AC11" s="126"/>
      <c r="AD11" s="126"/>
      <c r="AE11" s="126"/>
      <c r="AF11" s="126"/>
      <c r="AG11" s="79"/>
      <c r="AH11" s="79"/>
      <c r="AI11" s="79"/>
      <c r="AJ11" s="154"/>
      <c r="AK11" s="66"/>
      <c r="AL11" s="122">
        <f t="shared" si="0"/>
        <v>97531.98</v>
      </c>
      <c r="AM11" s="133"/>
      <c r="AN11" s="67"/>
      <c r="AO11" s="177"/>
      <c r="AP11" s="178" t="s">
        <v>103</v>
      </c>
      <c r="AQ11" s="142">
        <f>SUM(AQ6:AQ10)</f>
        <v>9390982.0770000014</v>
      </c>
      <c r="AR11" s="110"/>
      <c r="AS11" s="73"/>
    </row>
    <row r="12" spans="1:45" ht="15.75" x14ac:dyDescent="0.25">
      <c r="A12" s="103"/>
      <c r="C12" s="135" t="s">
        <v>87</v>
      </c>
      <c r="D12" s="135"/>
      <c r="E12" s="63">
        <v>64076.89</v>
      </c>
      <c r="F12" s="63">
        <v>3023.96</v>
      </c>
      <c r="G12" s="63">
        <v>1120.47</v>
      </c>
      <c r="H12" s="63">
        <v>1596.99</v>
      </c>
      <c r="I12" s="63">
        <v>1889.89</v>
      </c>
      <c r="J12" s="63">
        <v>793.26</v>
      </c>
      <c r="K12" s="63">
        <v>732.38</v>
      </c>
      <c r="L12" s="63">
        <v>20735.18</v>
      </c>
      <c r="M12" s="63">
        <v>1611.76</v>
      </c>
      <c r="N12" s="63">
        <v>15855.71</v>
      </c>
      <c r="O12" s="63">
        <v>2330.2399999999998</v>
      </c>
      <c r="P12" s="63">
        <v>4638.7700000000004</v>
      </c>
      <c r="Q12" s="63">
        <v>1058.1099999999999</v>
      </c>
      <c r="R12" s="63">
        <v>771.89</v>
      </c>
      <c r="S12" s="63">
        <v>15519.05</v>
      </c>
      <c r="T12" s="63">
        <v>458.45</v>
      </c>
      <c r="U12" s="63">
        <v>1061.92</v>
      </c>
      <c r="V12" s="63">
        <v>545.05999999999995</v>
      </c>
      <c r="W12" s="63">
        <v>560.71</v>
      </c>
      <c r="X12" s="125">
        <v>545.05999999999995</v>
      </c>
      <c r="Y12" s="63">
        <v>557.9</v>
      </c>
      <c r="Z12" s="63">
        <v>545.05999999999995</v>
      </c>
      <c r="AA12" s="125">
        <v>539.79</v>
      </c>
      <c r="AB12" s="125">
        <v>878.1</v>
      </c>
      <c r="AC12" s="125">
        <v>539.79</v>
      </c>
      <c r="AD12" s="126">
        <v>878.1</v>
      </c>
      <c r="AE12" s="125">
        <v>707.91</v>
      </c>
      <c r="AF12" s="125">
        <v>539</v>
      </c>
      <c r="AG12" s="63">
        <v>713.16</v>
      </c>
      <c r="AH12" s="63">
        <v>-327.31</v>
      </c>
      <c r="AI12" s="63"/>
      <c r="AJ12" s="63"/>
      <c r="AK12" s="66"/>
      <c r="AL12" s="122">
        <f t="shared" si="0"/>
        <v>144497.25000000006</v>
      </c>
      <c r="AM12" s="133"/>
      <c r="AN12" s="67"/>
      <c r="AO12" s="177"/>
      <c r="AP12" s="63"/>
      <c r="AQ12" s="172"/>
      <c r="AR12" s="109"/>
      <c r="AS12" s="105"/>
    </row>
    <row r="13" spans="1:45" ht="15.75" customHeight="1" x14ac:dyDescent="0.25">
      <c r="A13" s="103"/>
      <c r="C13" s="135" t="s">
        <v>85</v>
      </c>
      <c r="D13" s="135"/>
      <c r="E13" s="135"/>
      <c r="F13" s="135"/>
      <c r="G13" s="63"/>
      <c r="H13" s="63"/>
      <c r="I13" s="63"/>
      <c r="J13" s="63"/>
      <c r="K13" s="63"/>
      <c r="L13" s="63">
        <v>-20394.830000000002</v>
      </c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125"/>
      <c r="Y13" s="63"/>
      <c r="Z13" s="63"/>
      <c r="AA13" s="125"/>
      <c r="AB13" s="125"/>
      <c r="AC13" s="125"/>
      <c r="AD13" s="126"/>
      <c r="AE13" s="125"/>
      <c r="AF13" s="125"/>
      <c r="AG13" s="63"/>
      <c r="AH13" s="63"/>
      <c r="AI13" s="63"/>
      <c r="AJ13" s="63"/>
      <c r="AK13" s="66"/>
      <c r="AL13" s="122">
        <f t="shared" si="0"/>
        <v>-20394.830000000002</v>
      </c>
      <c r="AM13" s="133"/>
      <c r="AN13" s="122"/>
      <c r="AO13" s="177"/>
      <c r="AP13" s="173" t="s">
        <v>104</v>
      </c>
      <c r="AQ13" s="128">
        <f>SUM(AL23:AL28)</f>
        <v>-1024053.7299999997</v>
      </c>
      <c r="AR13" s="110"/>
    </row>
    <row r="14" spans="1:45" ht="15.75" customHeight="1" x14ac:dyDescent="0.25">
      <c r="A14" s="103"/>
      <c r="C14" s="135" t="s">
        <v>106</v>
      </c>
      <c r="D14" s="135"/>
      <c r="E14" s="135"/>
      <c r="F14" s="135"/>
      <c r="G14" s="63"/>
      <c r="H14" s="63"/>
      <c r="I14" s="63"/>
      <c r="J14" s="63"/>
      <c r="K14" s="63"/>
      <c r="L14" s="63">
        <v>25049.67</v>
      </c>
      <c r="M14" s="63">
        <v>29351.72</v>
      </c>
      <c r="N14" s="63">
        <v>25225.040000000001</v>
      </c>
      <c r="O14" s="63">
        <v>25408.93</v>
      </c>
      <c r="P14" s="63">
        <v>25999.73</v>
      </c>
      <c r="Q14" s="63">
        <v>24940.06</v>
      </c>
      <c r="R14" s="63">
        <v>25829.45</v>
      </c>
      <c r="S14" s="63">
        <v>25810.2</v>
      </c>
      <c r="T14" s="63">
        <v>23362.34</v>
      </c>
      <c r="U14" s="63">
        <v>27041.01</v>
      </c>
      <c r="V14" s="63">
        <v>22570.25</v>
      </c>
      <c r="W14" s="63">
        <v>22498.7</v>
      </c>
      <c r="X14" s="125">
        <v>20985.38</v>
      </c>
      <c r="Y14" s="63">
        <v>22922.03</v>
      </c>
      <c r="Z14" s="63">
        <v>22819.84</v>
      </c>
      <c r="AA14" s="125">
        <v>24327.41</v>
      </c>
      <c r="AB14" s="125">
        <v>19061.650000000001</v>
      </c>
      <c r="AC14" s="125">
        <v>20564.41</v>
      </c>
      <c r="AD14" s="126">
        <v>24226.79</v>
      </c>
      <c r="AE14" s="125">
        <v>23607.05</v>
      </c>
      <c r="AF14" s="125">
        <v>22024.51</v>
      </c>
      <c r="AG14" s="63">
        <v>23581.58</v>
      </c>
      <c r="AH14" s="63">
        <v>21175.51</v>
      </c>
      <c r="AI14" s="63">
        <v>24489.4</v>
      </c>
      <c r="AJ14" s="63">
        <v>29632.06</v>
      </c>
      <c r="AK14" s="66"/>
      <c r="AL14" s="169">
        <f t="shared" si="0"/>
        <v>602504.72000000009</v>
      </c>
      <c r="AM14" s="133"/>
      <c r="AN14" s="122"/>
      <c r="AO14" s="177"/>
      <c r="AP14" s="179" t="s">
        <v>118</v>
      </c>
      <c r="AQ14" s="128">
        <f>+AL29</f>
        <v>-158487.77000000002</v>
      </c>
      <c r="AR14" s="110"/>
    </row>
    <row r="15" spans="1:45" ht="15.75" customHeight="1" x14ac:dyDescent="0.25">
      <c r="A15" s="103"/>
      <c r="C15" s="160" t="s">
        <v>83</v>
      </c>
      <c r="D15" s="160"/>
      <c r="E15" s="118"/>
      <c r="F15" s="118"/>
      <c r="G15" s="64"/>
      <c r="H15" s="64"/>
      <c r="I15" s="64"/>
      <c r="J15" s="64"/>
      <c r="K15" s="64"/>
      <c r="L15" s="64">
        <v>314488.43</v>
      </c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144"/>
      <c r="Y15" s="64"/>
      <c r="Z15" s="64"/>
      <c r="AA15" s="63"/>
      <c r="AB15" s="64"/>
      <c r="AC15" s="64"/>
      <c r="AD15" s="64"/>
      <c r="AE15" s="64"/>
      <c r="AF15" s="64"/>
      <c r="AG15" s="64"/>
      <c r="AH15" s="64"/>
      <c r="AI15" s="64"/>
      <c r="AJ15" s="81"/>
      <c r="AK15" s="66"/>
      <c r="AL15" s="169">
        <f t="shared" si="0"/>
        <v>314488.43</v>
      </c>
      <c r="AM15" s="133"/>
      <c r="AN15" s="122"/>
      <c r="AO15" s="177"/>
      <c r="AP15" s="180" t="s">
        <v>105</v>
      </c>
      <c r="AQ15" s="142">
        <f>+AQ14+AQ13</f>
        <v>-1182541.4999999998</v>
      </c>
      <c r="AR15" s="110"/>
    </row>
    <row r="16" spans="1:45" ht="15.75" customHeight="1" thickBot="1" x14ac:dyDescent="0.3">
      <c r="A16" s="103"/>
      <c r="B16" s="106"/>
      <c r="C16" s="161" t="s">
        <v>116</v>
      </c>
      <c r="D16" s="161"/>
      <c r="E16" s="79">
        <v>159164.64000000001</v>
      </c>
      <c r="F16" s="79">
        <v>218532.25</v>
      </c>
      <c r="G16" s="79">
        <v>-3235.71</v>
      </c>
      <c r="H16" s="79">
        <v>56762.829999999994</v>
      </c>
      <c r="I16" s="79">
        <v>-32722.809999999998</v>
      </c>
      <c r="J16" s="79">
        <v>-68628.290000000008</v>
      </c>
      <c r="K16" s="79">
        <v>33645.869999999995</v>
      </c>
      <c r="L16" s="79">
        <v>603149.72</v>
      </c>
      <c r="M16" s="79">
        <v>-52110.430000000008</v>
      </c>
      <c r="N16" s="79">
        <v>54939.63</v>
      </c>
      <c r="O16" s="79">
        <v>-50683.689999999981</v>
      </c>
      <c r="P16" s="79">
        <v>-51445.320000000007</v>
      </c>
      <c r="Q16" s="79">
        <v>-140994.58000000002</v>
      </c>
      <c r="R16" s="79">
        <v>-125288.29999999997</v>
      </c>
      <c r="S16" s="79">
        <v>47727.95</v>
      </c>
      <c r="T16" s="79">
        <v>-26570.060000000009</v>
      </c>
      <c r="U16" s="79">
        <v>-383877.16000000003</v>
      </c>
      <c r="V16" s="79">
        <v>-9331.7900000000045</v>
      </c>
      <c r="W16" s="79">
        <v>169620.2</v>
      </c>
      <c r="X16" s="79">
        <v>-17043.140000000003</v>
      </c>
      <c r="Y16" s="79">
        <v>42790.16</v>
      </c>
      <c r="Z16" s="79">
        <v>162799.37</v>
      </c>
      <c r="AA16" s="153">
        <v>99474.189999999988</v>
      </c>
      <c r="AB16" s="153">
        <v>96323.24000000002</v>
      </c>
      <c r="AC16" s="153">
        <v>-30915.919999999995</v>
      </c>
      <c r="AD16" s="153">
        <v>90641.5</v>
      </c>
      <c r="AE16" s="153">
        <v>129821.77</v>
      </c>
      <c r="AF16" s="153">
        <v>77456.240000000005</v>
      </c>
      <c r="AG16" s="158">
        <v>71676.390000000014</v>
      </c>
      <c r="AH16" s="158">
        <v>28665.57</v>
      </c>
      <c r="AI16" s="158">
        <v>237989.61</v>
      </c>
      <c r="AJ16" s="158">
        <v>124888.35999999999</v>
      </c>
      <c r="AK16" s="66"/>
      <c r="AL16" s="152">
        <f>SUM(AL5:AL15)</f>
        <v>1513222.29</v>
      </c>
      <c r="AM16" s="133"/>
      <c r="AN16" s="79"/>
      <c r="AO16" s="177"/>
      <c r="AP16" s="181" t="s">
        <v>126</v>
      </c>
      <c r="AQ16" s="142">
        <f>ROUND(AQ11+AQ15,2)</f>
        <v>8208440.5800000001</v>
      </c>
      <c r="AR16" s="110"/>
    </row>
    <row r="17" spans="1:46" ht="15.75" customHeight="1" thickTop="1" x14ac:dyDescent="0.25">
      <c r="A17" s="103"/>
      <c r="B17" s="105"/>
      <c r="C17" s="145"/>
      <c r="D17" s="145"/>
      <c r="E17" s="145"/>
      <c r="F17" s="145"/>
      <c r="G17" s="107"/>
      <c r="H17" s="107"/>
      <c r="I17" s="107"/>
      <c r="J17" s="107"/>
      <c r="K17" s="10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83"/>
      <c r="AL17" s="122"/>
      <c r="AM17" s="121"/>
      <c r="AN17" s="67"/>
      <c r="AO17" s="116"/>
      <c r="AP17" s="111"/>
      <c r="AQ17" s="112"/>
      <c r="AR17" s="113"/>
    </row>
    <row r="18" spans="1:46" ht="15.75" customHeight="1" x14ac:dyDescent="0.25">
      <c r="A18" s="103"/>
      <c r="B18" s="73"/>
      <c r="C18" s="136" t="s">
        <v>117</v>
      </c>
      <c r="D18" s="136"/>
      <c r="E18" s="96"/>
      <c r="F18" s="96"/>
      <c r="G18" s="79"/>
      <c r="H18" s="79"/>
      <c r="I18" s="73"/>
      <c r="J18" s="73"/>
      <c r="K18" s="79"/>
      <c r="L18" s="79"/>
      <c r="M18" s="73"/>
      <c r="N18" s="73"/>
      <c r="O18" s="79">
        <v>2137758.1900000004</v>
      </c>
      <c r="P18" s="79"/>
      <c r="Q18" s="79"/>
      <c r="R18" s="79">
        <v>453182.83999999997</v>
      </c>
      <c r="S18" s="79"/>
      <c r="T18" s="79"/>
      <c r="U18" s="79">
        <v>1073569.4269999999</v>
      </c>
      <c r="V18" s="79"/>
      <c r="W18" s="79"/>
      <c r="X18" s="79">
        <v>45364.54</v>
      </c>
      <c r="Y18" s="79"/>
      <c r="Z18" s="73"/>
      <c r="AA18" s="79">
        <v>0</v>
      </c>
      <c r="AB18" s="121"/>
      <c r="AC18" s="121"/>
      <c r="AD18" s="121"/>
      <c r="AE18" s="121"/>
      <c r="AF18" s="121"/>
      <c r="AG18" s="121"/>
      <c r="AH18" s="121"/>
      <c r="AI18" s="121"/>
      <c r="AJ18" s="121"/>
      <c r="AK18" s="83"/>
      <c r="AL18" s="169">
        <f>SUM(E18:AJ18)</f>
        <v>3709874.9970000004</v>
      </c>
      <c r="AM18" s="121"/>
      <c r="AN18" s="67"/>
      <c r="AO18" s="3"/>
      <c r="AP18" s="3"/>
      <c r="AQ18" s="3"/>
    </row>
    <row r="19" spans="1:46" ht="15.75" customHeight="1" x14ac:dyDescent="0.25">
      <c r="A19" s="103"/>
      <c r="B19" s="73"/>
      <c r="C19" s="136" t="s">
        <v>114</v>
      </c>
      <c r="D19" s="136"/>
      <c r="E19" s="129">
        <v>33504</v>
      </c>
      <c r="F19" s="129">
        <v>2016</v>
      </c>
      <c r="G19" s="63">
        <v>2904</v>
      </c>
      <c r="H19" s="63">
        <v>3648</v>
      </c>
      <c r="I19" s="63">
        <v>5016</v>
      </c>
      <c r="J19" s="63">
        <v>4368</v>
      </c>
      <c r="K19" s="63">
        <v>3504</v>
      </c>
      <c r="L19" s="63">
        <v>4320</v>
      </c>
      <c r="M19" s="63">
        <v>3480</v>
      </c>
      <c r="N19" s="63">
        <v>3984</v>
      </c>
      <c r="O19" s="63">
        <v>4824</v>
      </c>
      <c r="P19" s="63">
        <v>9288</v>
      </c>
      <c r="Q19" s="63">
        <v>672</v>
      </c>
      <c r="R19" s="63">
        <v>840</v>
      </c>
      <c r="S19" s="63">
        <v>576</v>
      </c>
      <c r="T19" s="63">
        <v>264</v>
      </c>
      <c r="U19" s="63">
        <v>336</v>
      </c>
      <c r="V19" s="63">
        <v>720</v>
      </c>
      <c r="W19" s="63">
        <v>1080</v>
      </c>
      <c r="X19" s="63">
        <v>912</v>
      </c>
      <c r="Y19" s="63">
        <v>408</v>
      </c>
      <c r="Z19" s="63">
        <v>744</v>
      </c>
      <c r="AA19" s="125">
        <v>864</v>
      </c>
      <c r="AB19" s="125"/>
      <c r="AC19" s="125"/>
      <c r="AD19" s="63"/>
      <c r="AE19" s="125"/>
      <c r="AF19" s="125"/>
      <c r="AG19" s="63"/>
      <c r="AH19" s="63"/>
      <c r="AI19" s="63"/>
      <c r="AJ19" s="63"/>
      <c r="AK19" s="83"/>
      <c r="AL19" s="169">
        <f>SUM(E19:AJ19)</f>
        <v>88272</v>
      </c>
      <c r="AM19" s="121"/>
      <c r="AN19" s="67"/>
      <c r="AO19" s="3"/>
      <c r="AP19" s="3"/>
      <c r="AQ19" s="3"/>
    </row>
    <row r="20" spans="1:46" ht="15.75" customHeight="1" x14ac:dyDescent="0.2">
      <c r="A20" s="103"/>
      <c r="B20" s="130"/>
      <c r="C20" s="134" t="s">
        <v>113</v>
      </c>
      <c r="D20" s="134"/>
      <c r="E20" s="61">
        <v>274704.58999999997</v>
      </c>
      <c r="F20" s="61">
        <v>85717.04</v>
      </c>
      <c r="G20" s="64">
        <v>110279.5</v>
      </c>
      <c r="H20" s="64">
        <v>173644.32</v>
      </c>
      <c r="I20" s="64">
        <v>169823.35</v>
      </c>
      <c r="J20" s="64">
        <v>176527.62</v>
      </c>
      <c r="K20" s="64">
        <v>173084.35</v>
      </c>
      <c r="L20" s="64">
        <v>168228.91</v>
      </c>
      <c r="M20" s="64">
        <v>169463.26</v>
      </c>
      <c r="N20" s="64">
        <v>166165.07</v>
      </c>
      <c r="O20" s="64">
        <v>164080.9</v>
      </c>
      <c r="P20" s="64">
        <v>163118.51999999999</v>
      </c>
      <c r="Q20" s="64">
        <v>136848.84</v>
      </c>
      <c r="R20" s="64">
        <v>124345.49</v>
      </c>
      <c r="S20" s="64">
        <v>127726.62</v>
      </c>
      <c r="T20" s="64">
        <v>145980.93</v>
      </c>
      <c r="U20" s="64">
        <v>159985.37</v>
      </c>
      <c r="V20" s="64">
        <v>148690.31</v>
      </c>
      <c r="W20" s="64">
        <v>142940.93</v>
      </c>
      <c r="X20" s="64">
        <v>144126.24</v>
      </c>
      <c r="Y20" s="64">
        <v>140516.39000000001</v>
      </c>
      <c r="Z20" s="64">
        <v>146012.61000000138</v>
      </c>
      <c r="AA20" s="144">
        <v>144211.37</v>
      </c>
      <c r="AB20" s="144">
        <v>136919.07</v>
      </c>
      <c r="AC20" s="144">
        <v>117099.54</v>
      </c>
      <c r="AD20" s="64">
        <v>118928.34</v>
      </c>
      <c r="AE20" s="64">
        <v>152633.29</v>
      </c>
      <c r="AF20" s="144">
        <v>174479.52</v>
      </c>
      <c r="AG20" s="64">
        <v>179380.85</v>
      </c>
      <c r="AH20" s="64">
        <v>187179.25</v>
      </c>
      <c r="AI20" s="64">
        <v>183996.75</v>
      </c>
      <c r="AJ20" s="64">
        <v>189766.8</v>
      </c>
      <c r="AK20" s="66"/>
      <c r="AL20" s="169">
        <f>SUM(E20:AJ20)</f>
        <v>4996605.9400000013</v>
      </c>
      <c r="AN20" s="67"/>
      <c r="AO20" s="3"/>
      <c r="AP20" s="3"/>
      <c r="AQ20" s="3"/>
    </row>
    <row r="21" spans="1:46" ht="15.75" customHeight="1" x14ac:dyDescent="0.25">
      <c r="A21" s="103"/>
      <c r="C21" s="138" t="s">
        <v>120</v>
      </c>
      <c r="D21" s="138"/>
      <c r="E21" s="65">
        <v>467373.23</v>
      </c>
      <c r="F21" s="65">
        <v>306265.28999999998</v>
      </c>
      <c r="G21" s="65">
        <v>109947.79</v>
      </c>
      <c r="H21" s="65">
        <v>234055.15</v>
      </c>
      <c r="I21" s="65">
        <v>142116.54</v>
      </c>
      <c r="J21" s="65">
        <v>112267.32999999999</v>
      </c>
      <c r="K21" s="65">
        <v>210234.22</v>
      </c>
      <c r="L21" s="65">
        <v>775698.63</v>
      </c>
      <c r="M21" s="65">
        <v>120832.83</v>
      </c>
      <c r="N21" s="65">
        <v>225088.7</v>
      </c>
      <c r="O21" s="65">
        <v>2255979.4000000004</v>
      </c>
      <c r="P21" s="65">
        <v>120961.19999999998</v>
      </c>
      <c r="Q21" s="65">
        <v>-3473.7400000000198</v>
      </c>
      <c r="R21" s="65">
        <v>453080.02999999997</v>
      </c>
      <c r="S21" s="65">
        <v>176030.57</v>
      </c>
      <c r="T21" s="65">
        <v>119674.86999999998</v>
      </c>
      <c r="U21" s="65">
        <v>850013.63699999987</v>
      </c>
      <c r="V21" s="65">
        <v>140078.51999999999</v>
      </c>
      <c r="W21" s="65">
        <v>313641.13</v>
      </c>
      <c r="X21" s="65">
        <v>173359.63999999998</v>
      </c>
      <c r="Y21" s="65">
        <v>183714.55000000002</v>
      </c>
      <c r="Z21" s="65">
        <v>309555.98000000138</v>
      </c>
      <c r="AA21" s="65">
        <v>244549.56</v>
      </c>
      <c r="AB21" s="65">
        <v>233242.31000000003</v>
      </c>
      <c r="AC21" s="65">
        <v>86183.62</v>
      </c>
      <c r="AD21" s="65">
        <v>209569.84</v>
      </c>
      <c r="AE21" s="65">
        <v>282455.06</v>
      </c>
      <c r="AF21" s="65">
        <v>251935.76</v>
      </c>
      <c r="AG21" s="65">
        <v>251057.24000000002</v>
      </c>
      <c r="AH21" s="65">
        <v>215844.82</v>
      </c>
      <c r="AI21" s="65">
        <v>421986.36</v>
      </c>
      <c r="AJ21" s="65">
        <v>314655.15999999997</v>
      </c>
      <c r="AK21" s="66"/>
      <c r="AL21" s="169">
        <f>+AL16+AL18+AL19+AL20</f>
        <v>10307975.227000002</v>
      </c>
      <c r="AM21" s="121"/>
      <c r="AN21" s="67"/>
      <c r="AO21" s="3"/>
      <c r="AP21" s="3"/>
      <c r="AQ21" s="3"/>
    </row>
    <row r="22" spans="1:46" ht="15.75" customHeight="1" x14ac:dyDescent="0.25">
      <c r="A22" s="103"/>
      <c r="AE22" s="71"/>
      <c r="AK22" s="66"/>
      <c r="AL22" s="170"/>
      <c r="AM22" s="121"/>
      <c r="AN22" s="67"/>
      <c r="AO22" s="3"/>
      <c r="AP22" s="3"/>
      <c r="AQ22" s="3"/>
    </row>
    <row r="23" spans="1:46" ht="15.75" customHeight="1" x14ac:dyDescent="0.25">
      <c r="A23" s="103"/>
      <c r="C23" s="139" t="s">
        <v>61</v>
      </c>
      <c r="D23" s="139"/>
      <c r="E23" s="63">
        <v>-589798.68000000005</v>
      </c>
      <c r="F23" s="63">
        <v>-45280.94</v>
      </c>
      <c r="G23" s="63">
        <v>-54563.8</v>
      </c>
      <c r="H23" s="63">
        <v>-54213.71</v>
      </c>
      <c r="I23" s="63">
        <v>-53307.5</v>
      </c>
      <c r="J23" s="63">
        <v>-52164.36</v>
      </c>
      <c r="K23" s="63">
        <v>-55635.519999999997</v>
      </c>
      <c r="L23" s="63">
        <v>-59690.81</v>
      </c>
      <c r="M23" s="63">
        <v>-50992.19</v>
      </c>
      <c r="N23" s="63">
        <v>459.77</v>
      </c>
      <c r="O23" s="63">
        <v>-94037.94</v>
      </c>
      <c r="P23" s="63">
        <v>-48130.39</v>
      </c>
      <c r="Q23" s="63">
        <v>-18648.64</v>
      </c>
      <c r="R23" s="63">
        <v>-17212.32</v>
      </c>
      <c r="S23" s="63">
        <v>5775.18</v>
      </c>
      <c r="T23" s="63">
        <v>-14927.01</v>
      </c>
      <c r="U23" s="63">
        <v>2194.59</v>
      </c>
      <c r="V23" s="63">
        <v>45687.87</v>
      </c>
      <c r="W23" s="63">
        <v>6698.71</v>
      </c>
      <c r="X23" s="125">
        <v>-1822.94</v>
      </c>
      <c r="Y23" s="63">
        <v>9548.9</v>
      </c>
      <c r="Z23" s="63">
        <v>946.59</v>
      </c>
      <c r="AA23" s="125">
        <v>-22552.58</v>
      </c>
      <c r="AB23" s="125">
        <v>-11541.98</v>
      </c>
      <c r="AC23" s="125">
        <v>-11107.15</v>
      </c>
      <c r="AD23" s="63">
        <v>-4286.3500000000004</v>
      </c>
      <c r="AE23" s="125">
        <v>21073.99</v>
      </c>
      <c r="AF23" s="125">
        <v>12302.16</v>
      </c>
      <c r="AG23" s="63">
        <v>-12835.59</v>
      </c>
      <c r="AH23" s="63">
        <v>-1338.18</v>
      </c>
      <c r="AI23" s="63">
        <v>-7676.78</v>
      </c>
      <c r="AJ23" s="63">
        <v>-46637.03</v>
      </c>
      <c r="AK23" s="66"/>
      <c r="AL23" s="122">
        <f>SUM(E23:AJ23)</f>
        <v>-1223714.6299999999</v>
      </c>
      <c r="AM23" s="121"/>
      <c r="AO23" s="3"/>
      <c r="AP23" s="3"/>
      <c r="AQ23" s="3"/>
    </row>
    <row r="24" spans="1:46" ht="15.75" customHeight="1" x14ac:dyDescent="0.25">
      <c r="A24" s="103"/>
      <c r="C24" s="139" t="s">
        <v>79</v>
      </c>
      <c r="D24" s="139"/>
      <c r="E24" s="137"/>
      <c r="F24" s="137"/>
      <c r="G24" s="79"/>
      <c r="H24" s="79"/>
      <c r="I24" s="79"/>
      <c r="J24" s="79">
        <v>5272.16</v>
      </c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83"/>
      <c r="AL24" s="122">
        <f t="shared" ref="AL24:AL28" si="1">SUM(E24:AJ24)</f>
        <v>5272.16</v>
      </c>
      <c r="AM24" s="121"/>
      <c r="AN24" s="124"/>
      <c r="AO24" s="3"/>
      <c r="AP24" s="3"/>
      <c r="AQ24" s="3"/>
    </row>
    <row r="25" spans="1:46" ht="15.75" customHeight="1" x14ac:dyDescent="0.25">
      <c r="A25" s="103"/>
      <c r="C25" s="139" t="s">
        <v>80</v>
      </c>
      <c r="D25" s="139"/>
      <c r="E25" s="137"/>
      <c r="F25" s="137"/>
      <c r="G25" s="63"/>
      <c r="H25" s="63"/>
      <c r="I25" s="63">
        <v>-122.08</v>
      </c>
      <c r="J25" s="63">
        <v>62796.59</v>
      </c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6"/>
      <c r="AL25" s="122">
        <f t="shared" si="1"/>
        <v>62674.509999999995</v>
      </c>
      <c r="AM25" s="121"/>
      <c r="AN25" s="107"/>
      <c r="AO25" s="3"/>
      <c r="AP25" s="3"/>
      <c r="AQ25" s="3"/>
    </row>
    <row r="26" spans="1:46" ht="15.75" customHeight="1" x14ac:dyDescent="0.25">
      <c r="A26" s="103"/>
      <c r="C26" s="139" t="s">
        <v>81</v>
      </c>
      <c r="D26" s="139"/>
      <c r="E26" s="137"/>
      <c r="F26" s="137"/>
      <c r="G26" s="63"/>
      <c r="H26" s="63"/>
      <c r="I26" s="63"/>
      <c r="J26" s="63">
        <v>-29154.41</v>
      </c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6"/>
      <c r="AL26" s="122">
        <f t="shared" si="1"/>
        <v>-29154.41</v>
      </c>
      <c r="AM26" s="121"/>
      <c r="AN26" s="62"/>
      <c r="AO26" s="3"/>
      <c r="AP26" s="3"/>
      <c r="AQ26" s="3"/>
      <c r="AT26" s="73"/>
    </row>
    <row r="27" spans="1:46" ht="15.75" customHeight="1" x14ac:dyDescent="0.25">
      <c r="A27" s="103"/>
      <c r="C27" s="139" t="s">
        <v>82</v>
      </c>
      <c r="D27" s="139"/>
      <c r="E27" s="137"/>
      <c r="F27" s="137"/>
      <c r="G27" s="63"/>
      <c r="H27" s="63"/>
      <c r="I27" s="63"/>
      <c r="J27" s="63"/>
      <c r="K27" s="63"/>
      <c r="L27" s="79">
        <v>78885.58</v>
      </c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66"/>
      <c r="AL27" s="122">
        <f t="shared" si="1"/>
        <v>78885.58</v>
      </c>
      <c r="AM27" s="121"/>
      <c r="AN27" s="67"/>
      <c r="AO27" s="3"/>
      <c r="AP27" s="3"/>
      <c r="AQ27" s="3"/>
      <c r="AT27" s="73"/>
    </row>
    <row r="28" spans="1:46" ht="15.75" customHeight="1" x14ac:dyDescent="0.25">
      <c r="A28" s="103"/>
      <c r="B28" s="73"/>
      <c r="C28" s="146" t="s">
        <v>78</v>
      </c>
      <c r="D28" s="146"/>
      <c r="E28" s="137"/>
      <c r="F28" s="137"/>
      <c r="G28" s="80"/>
      <c r="H28" s="80"/>
      <c r="I28" s="80"/>
      <c r="J28" s="80"/>
      <c r="K28" s="79"/>
      <c r="L28" s="79">
        <v>81983.06</v>
      </c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62"/>
      <c r="AC28" s="62"/>
      <c r="AD28" s="62"/>
      <c r="AE28" s="62"/>
      <c r="AF28" s="62"/>
      <c r="AG28" s="62"/>
      <c r="AH28" s="62"/>
      <c r="AI28" s="62"/>
      <c r="AJ28" s="155"/>
      <c r="AK28" s="66"/>
      <c r="AL28" s="122">
        <f t="shared" si="1"/>
        <v>81983.06</v>
      </c>
      <c r="AM28" s="121"/>
      <c r="AN28" s="67"/>
    </row>
    <row r="29" spans="1:46" ht="15.75" customHeight="1" x14ac:dyDescent="0.25">
      <c r="A29" s="103"/>
      <c r="B29" s="147"/>
      <c r="C29" s="139" t="s">
        <v>108</v>
      </c>
      <c r="D29" s="139"/>
      <c r="E29" s="63"/>
      <c r="F29" s="63"/>
      <c r="G29" s="63"/>
      <c r="H29" s="63"/>
      <c r="I29" s="63">
        <v>-60630.47</v>
      </c>
      <c r="J29" s="63"/>
      <c r="K29" s="63"/>
      <c r="L29" s="63"/>
      <c r="M29" s="63">
        <v>-36075.24</v>
      </c>
      <c r="N29" s="63"/>
      <c r="O29" s="63"/>
      <c r="P29" s="63"/>
      <c r="Q29" s="63">
        <v>-51300.91</v>
      </c>
      <c r="R29" s="63">
        <v>957.71</v>
      </c>
      <c r="S29" s="63"/>
      <c r="T29" s="63"/>
      <c r="U29" s="63">
        <v>-11438.86</v>
      </c>
      <c r="V29" s="63"/>
      <c r="W29" s="63"/>
      <c r="X29" s="63"/>
      <c r="Y29" s="63"/>
      <c r="Z29" s="63"/>
      <c r="AA29" s="63"/>
      <c r="AB29" s="61"/>
      <c r="AC29" s="61"/>
      <c r="AD29" s="61"/>
      <c r="AE29" s="61"/>
      <c r="AF29" s="61"/>
      <c r="AG29" s="61"/>
      <c r="AH29" s="62"/>
      <c r="AI29" s="62"/>
      <c r="AJ29" s="62"/>
      <c r="AK29" s="83"/>
      <c r="AL29" s="122">
        <f>SUM(E29:AJ29)</f>
        <v>-158487.77000000002</v>
      </c>
      <c r="AM29" s="121"/>
      <c r="AN29" s="67"/>
      <c r="AO29" s="3"/>
      <c r="AP29" s="3"/>
      <c r="AQ29" s="3"/>
    </row>
    <row r="30" spans="1:46" ht="15.75" customHeight="1" x14ac:dyDescent="0.25">
      <c r="A30" s="103"/>
      <c r="B30" s="148"/>
      <c r="C30" s="138" t="s">
        <v>115</v>
      </c>
      <c r="D30" s="138"/>
      <c r="E30" s="97">
        <v>-589798.68000000005</v>
      </c>
      <c r="F30" s="97">
        <v>-45280.94</v>
      </c>
      <c r="G30" s="97">
        <v>-54563.8</v>
      </c>
      <c r="H30" s="97">
        <v>-54213.71</v>
      </c>
      <c r="I30" s="97">
        <v>-114060.05</v>
      </c>
      <c r="J30" s="97">
        <v>-13250.02</v>
      </c>
      <c r="K30" s="97">
        <v>-55635.519999999997</v>
      </c>
      <c r="L30" s="97">
        <v>101177.83</v>
      </c>
      <c r="M30" s="97">
        <v>-87067.43</v>
      </c>
      <c r="N30" s="97">
        <v>459.77</v>
      </c>
      <c r="O30" s="97">
        <v>-94037.94</v>
      </c>
      <c r="P30" s="97">
        <v>-48130.39</v>
      </c>
      <c r="Q30" s="97">
        <v>-69949.55</v>
      </c>
      <c r="R30" s="97">
        <v>-16254.61</v>
      </c>
      <c r="S30" s="97">
        <v>5775.18</v>
      </c>
      <c r="T30" s="97">
        <v>-14927.01</v>
      </c>
      <c r="U30" s="97">
        <v>-9244.27</v>
      </c>
      <c r="V30" s="97">
        <v>45687.87</v>
      </c>
      <c r="W30" s="97">
        <v>6698.71</v>
      </c>
      <c r="X30" s="97">
        <v>-1822.94</v>
      </c>
      <c r="Y30" s="97">
        <v>9548.9</v>
      </c>
      <c r="Z30" s="97">
        <v>946.59</v>
      </c>
      <c r="AA30" s="97">
        <v>-22552.58</v>
      </c>
      <c r="AB30" s="97">
        <v>-11541.98</v>
      </c>
      <c r="AC30" s="97">
        <v>-11107.15</v>
      </c>
      <c r="AD30" s="97">
        <v>-4286.3500000000004</v>
      </c>
      <c r="AE30" s="97">
        <v>21073.99</v>
      </c>
      <c r="AF30" s="97">
        <v>12302.16</v>
      </c>
      <c r="AG30" s="97">
        <v>-12835.59</v>
      </c>
      <c r="AH30" s="97">
        <v>-1338.18</v>
      </c>
      <c r="AI30" s="97">
        <v>-7676.78</v>
      </c>
      <c r="AJ30" s="97">
        <v>-46637.03</v>
      </c>
      <c r="AK30" s="98"/>
      <c r="AL30" s="152">
        <f>SUM(AL23:AL29)</f>
        <v>-1182541.4999999998</v>
      </c>
      <c r="AM30" s="121"/>
      <c r="AN30" s="67"/>
      <c r="AO30" s="3"/>
      <c r="AP30" s="3"/>
      <c r="AQ30" s="3"/>
    </row>
    <row r="31" spans="1:46" ht="15.75" customHeight="1" x14ac:dyDescent="0.25">
      <c r="A31" s="103"/>
      <c r="B31" s="105"/>
      <c r="C31" s="150"/>
      <c r="D31" s="150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99"/>
      <c r="AL31" s="122"/>
      <c r="AM31" s="121"/>
      <c r="AN31" s="67"/>
    </row>
    <row r="32" spans="1:46" ht="15.75" customHeight="1" x14ac:dyDescent="0.25">
      <c r="A32" s="103"/>
      <c r="B32" s="130"/>
      <c r="C32" s="149" t="s">
        <v>111</v>
      </c>
      <c r="D32" s="134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32"/>
      <c r="S32" s="102"/>
      <c r="T32" s="102"/>
      <c r="U32" s="102"/>
      <c r="V32" s="102"/>
      <c r="W32" s="102"/>
      <c r="X32" s="102"/>
      <c r="Y32" s="141"/>
      <c r="Z32" s="141"/>
      <c r="AA32" s="141"/>
      <c r="AB32" s="102"/>
      <c r="AC32" s="102"/>
      <c r="AD32" s="102"/>
      <c r="AE32" s="102"/>
      <c r="AF32" s="102"/>
      <c r="AG32" s="102"/>
      <c r="AH32" s="102"/>
      <c r="AI32" s="102"/>
      <c r="AJ32" s="102"/>
      <c r="AK32" s="66"/>
      <c r="AL32" s="171">
        <f>AL20+AL19+AL18+AL30+AL16</f>
        <v>9125433.7270000018</v>
      </c>
      <c r="AM32" s="121"/>
      <c r="AN32" s="67"/>
    </row>
    <row r="33" spans="1:43" ht="15.75" customHeight="1" x14ac:dyDescent="0.2">
      <c r="A33" s="73"/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AA33" s="156"/>
      <c r="AC33" s="163" t="s">
        <v>112</v>
      </c>
      <c r="AD33" s="163"/>
      <c r="AE33" s="163"/>
      <c r="AF33" s="163"/>
      <c r="AG33" s="163"/>
      <c r="AH33" s="163"/>
      <c r="AI33" s="163"/>
      <c r="AJ33" s="163"/>
      <c r="AK33" s="163"/>
      <c r="AL33" s="97">
        <v>916993.15</v>
      </c>
      <c r="AN33" s="78"/>
    </row>
    <row r="34" spans="1:43" ht="15.75" customHeight="1" x14ac:dyDescent="0.2">
      <c r="AA34" s="157"/>
      <c r="AC34" s="162" t="s">
        <v>123</v>
      </c>
      <c r="AD34" s="162"/>
      <c r="AE34" s="162"/>
      <c r="AF34" s="162"/>
      <c r="AG34" s="162"/>
      <c r="AH34" s="162"/>
      <c r="AI34" s="162"/>
      <c r="AJ34" s="162"/>
      <c r="AK34" s="162"/>
      <c r="AL34" s="65">
        <f>+AL14+AL15</f>
        <v>916993.15000000014</v>
      </c>
      <c r="AN34" s="107"/>
    </row>
    <row r="35" spans="1:43" ht="15" x14ac:dyDescent="0.25">
      <c r="AM35" s="121"/>
      <c r="AN35" s="73"/>
      <c r="AQ35" s="101"/>
    </row>
    <row r="36" spans="1:43" ht="15" x14ac:dyDescent="0.25">
      <c r="AM36" s="121"/>
      <c r="AN36" s="73"/>
    </row>
  </sheetData>
  <mergeCells count="14">
    <mergeCell ref="AP4:AQ4"/>
    <mergeCell ref="B3:D4"/>
    <mergeCell ref="AC33:AK33"/>
    <mergeCell ref="AC34:AK34"/>
    <mergeCell ref="C9:D9"/>
    <mergeCell ref="C8:D8"/>
    <mergeCell ref="C2:AL2"/>
    <mergeCell ref="C11:D11"/>
    <mergeCell ref="C5:D5"/>
    <mergeCell ref="C6:D6"/>
    <mergeCell ref="C15:D15"/>
    <mergeCell ref="C10:D10"/>
    <mergeCell ref="C7:D7"/>
    <mergeCell ref="C16:D16"/>
  </mergeCells>
  <pageMargins left="0.2" right="0.2" top="0.25" bottom="0.25" header="0.3" footer="0.3"/>
  <pageSetup scale="19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G53"/>
  <sheetViews>
    <sheetView showGridLines="0" topLeftCell="A22" zoomScaleNormal="100" workbookViewId="0">
      <selection activeCell="G45" sqref="G45"/>
    </sheetView>
  </sheetViews>
  <sheetFormatPr defaultRowHeight="14.25" x14ac:dyDescent="0.2"/>
  <cols>
    <col min="1" max="1" width="2.125" customWidth="1"/>
    <col min="2" max="2" width="5.375" style="70" bestFit="1" customWidth="1"/>
    <col min="3" max="3" width="10.625" style="68" bestFit="1" customWidth="1"/>
    <col min="4" max="4" width="9.875" style="69" bestFit="1" customWidth="1"/>
    <col min="5" max="5" width="35" style="70" bestFit="1" customWidth="1"/>
    <col min="6" max="6" width="11.125" style="1" bestFit="1" customWidth="1"/>
    <col min="7" max="7" width="11.75" style="1" bestFit="1" customWidth="1"/>
    <col min="8" max="8" width="2.625" customWidth="1"/>
  </cols>
  <sheetData>
    <row r="2" spans="2:7" x14ac:dyDescent="0.2">
      <c r="B2" s="72" t="s">
        <v>73</v>
      </c>
      <c r="C2" s="86" t="s">
        <v>64</v>
      </c>
      <c r="D2" s="72" t="s">
        <v>65</v>
      </c>
      <c r="E2" s="72" t="s">
        <v>63</v>
      </c>
      <c r="F2" s="92" t="s">
        <v>66</v>
      </c>
      <c r="G2" s="92" t="s">
        <v>74</v>
      </c>
    </row>
    <row r="3" spans="2:7" x14ac:dyDescent="0.2">
      <c r="B3" s="70" t="s">
        <v>75</v>
      </c>
      <c r="C3" s="68">
        <v>57301</v>
      </c>
      <c r="D3" s="69">
        <v>44227</v>
      </c>
      <c r="E3" s="70" t="s">
        <v>67</v>
      </c>
      <c r="G3" s="82">
        <v>-579.61</v>
      </c>
    </row>
    <row r="4" spans="2:7" x14ac:dyDescent="0.2">
      <c r="B4" s="70" t="s">
        <v>75</v>
      </c>
      <c r="C4" s="68">
        <v>57606</v>
      </c>
      <c r="D4" s="69">
        <v>44255</v>
      </c>
      <c r="E4" s="70" t="s">
        <v>68</v>
      </c>
      <c r="G4" s="82">
        <v>-563.55999999999995</v>
      </c>
    </row>
    <row r="5" spans="2:7" x14ac:dyDescent="0.2">
      <c r="B5" s="70" t="s">
        <v>75</v>
      </c>
      <c r="C5" s="68">
        <v>57644</v>
      </c>
      <c r="D5" s="69">
        <v>44255</v>
      </c>
      <c r="E5" s="70" t="s">
        <v>88</v>
      </c>
      <c r="G5" s="82">
        <v>-15370.19</v>
      </c>
    </row>
    <row r="7" spans="2:7" x14ac:dyDescent="0.2">
      <c r="B7" s="70" t="s">
        <v>75</v>
      </c>
      <c r="C7" s="68">
        <v>57892</v>
      </c>
      <c r="D7" s="69">
        <v>44286</v>
      </c>
      <c r="E7" s="70" t="s">
        <v>89</v>
      </c>
      <c r="G7" s="82">
        <v>-15252.71</v>
      </c>
    </row>
    <row r="8" spans="2:7" x14ac:dyDescent="0.2">
      <c r="B8" s="70" t="s">
        <v>75</v>
      </c>
      <c r="C8" s="68">
        <v>57901</v>
      </c>
      <c r="D8" s="69">
        <v>44286</v>
      </c>
      <c r="E8" s="70" t="s">
        <v>90</v>
      </c>
      <c r="F8" s="82">
        <v>118.39</v>
      </c>
    </row>
    <row r="9" spans="2:7" x14ac:dyDescent="0.2">
      <c r="B9" s="70" t="s">
        <v>75</v>
      </c>
      <c r="C9" s="68">
        <v>57915</v>
      </c>
      <c r="D9" s="69">
        <v>44286</v>
      </c>
      <c r="E9" s="70" t="s">
        <v>69</v>
      </c>
      <c r="G9" s="82">
        <v>-678.43</v>
      </c>
    </row>
    <row r="10" spans="2:7" x14ac:dyDescent="0.2">
      <c r="B10" s="70" t="s">
        <v>75</v>
      </c>
      <c r="C10" s="68">
        <v>57949</v>
      </c>
      <c r="D10" s="69">
        <v>44286</v>
      </c>
      <c r="E10" s="70" t="s">
        <v>97</v>
      </c>
    </row>
    <row r="12" spans="2:7" x14ac:dyDescent="0.2">
      <c r="B12" s="70" t="s">
        <v>75</v>
      </c>
      <c r="C12" s="68">
        <v>58221</v>
      </c>
      <c r="D12" s="69">
        <v>44316</v>
      </c>
      <c r="E12" s="70" t="s">
        <v>70</v>
      </c>
      <c r="G12" s="82">
        <v>-757.91</v>
      </c>
    </row>
    <row r="13" spans="2:7" x14ac:dyDescent="0.2">
      <c r="B13" s="70" t="s">
        <v>75</v>
      </c>
      <c r="C13" s="68">
        <v>58248</v>
      </c>
      <c r="D13" s="69">
        <v>44316</v>
      </c>
      <c r="E13" s="70" t="s">
        <v>91</v>
      </c>
      <c r="G13" s="82">
        <v>-53434.239999999998</v>
      </c>
    </row>
    <row r="14" spans="2:7" x14ac:dyDescent="0.2">
      <c r="B14" s="70" t="s">
        <v>75</v>
      </c>
      <c r="C14" s="68">
        <v>58248</v>
      </c>
      <c r="D14" s="69">
        <v>44316</v>
      </c>
      <c r="E14" s="70" t="s">
        <v>91</v>
      </c>
      <c r="F14" s="82">
        <v>3560.73</v>
      </c>
    </row>
    <row r="15" spans="2:7" x14ac:dyDescent="0.2">
      <c r="B15" s="70" t="s">
        <v>75</v>
      </c>
      <c r="C15" s="68">
        <v>58248</v>
      </c>
      <c r="D15" s="69">
        <v>44316</v>
      </c>
      <c r="E15" s="70" t="s">
        <v>91</v>
      </c>
      <c r="F15" s="82">
        <v>26539.919999999998</v>
      </c>
    </row>
    <row r="16" spans="2:7" x14ac:dyDescent="0.2">
      <c r="B16" s="70" t="s">
        <v>75</v>
      </c>
      <c r="C16" s="68">
        <v>58248</v>
      </c>
      <c r="D16" s="69">
        <v>44316</v>
      </c>
      <c r="E16" s="70" t="s">
        <v>91</v>
      </c>
      <c r="G16" s="82">
        <v>-9803.01</v>
      </c>
    </row>
    <row r="18" spans="2:7" x14ac:dyDescent="0.2">
      <c r="B18" s="70" t="s">
        <v>75</v>
      </c>
      <c r="C18" s="68">
        <v>58515</v>
      </c>
      <c r="D18" s="69">
        <v>44347</v>
      </c>
      <c r="E18" s="70" t="s">
        <v>71</v>
      </c>
      <c r="G18" s="82">
        <v>-837.81</v>
      </c>
    </row>
    <row r="19" spans="2:7" x14ac:dyDescent="0.2">
      <c r="B19" s="70" t="s">
        <v>75</v>
      </c>
      <c r="C19" s="68">
        <v>58527</v>
      </c>
      <c r="D19" s="69">
        <v>44347</v>
      </c>
      <c r="E19" s="70" t="s">
        <v>92</v>
      </c>
      <c r="G19" s="82">
        <v>-18022.2</v>
      </c>
    </row>
    <row r="21" spans="2:7" x14ac:dyDescent="0.2">
      <c r="B21" s="70" t="s">
        <v>75</v>
      </c>
      <c r="C21" s="68">
        <v>58830</v>
      </c>
      <c r="D21" s="69">
        <v>44377</v>
      </c>
      <c r="E21" s="70" t="s">
        <v>93</v>
      </c>
      <c r="G21" s="82">
        <v>-24314.17</v>
      </c>
    </row>
    <row r="22" spans="2:7" x14ac:dyDescent="0.2">
      <c r="B22" s="70" t="s">
        <v>75</v>
      </c>
      <c r="C22" s="68">
        <v>58833</v>
      </c>
      <c r="D22" s="69">
        <v>44377</v>
      </c>
      <c r="E22" s="70" t="s">
        <v>72</v>
      </c>
      <c r="G22" s="82">
        <v>-893.21</v>
      </c>
    </row>
    <row r="23" spans="2:7" x14ac:dyDescent="0.2">
      <c r="B23" s="70" t="s">
        <v>75</v>
      </c>
      <c r="C23" s="68">
        <v>58853</v>
      </c>
      <c r="D23" s="69">
        <v>44377</v>
      </c>
      <c r="E23" s="70" t="s">
        <v>94</v>
      </c>
      <c r="G23" s="82">
        <v>-16490.27</v>
      </c>
    </row>
    <row r="24" spans="2:7" x14ac:dyDescent="0.2">
      <c r="B24" s="91"/>
      <c r="C24" s="89"/>
      <c r="D24" s="90"/>
      <c r="E24" s="91" t="s">
        <v>95</v>
      </c>
      <c r="F24" s="61">
        <f>SUM(F3:F23)</f>
        <v>30219.039999999997</v>
      </c>
      <c r="G24" s="61">
        <f>SUM(G3:G23)</f>
        <v>-156997.31999999995</v>
      </c>
    </row>
    <row r="25" spans="2:7" ht="15" x14ac:dyDescent="0.25">
      <c r="E25" s="70" t="s">
        <v>96</v>
      </c>
      <c r="G25" s="84">
        <f>+F24+G24</f>
        <v>-126778.27999999996</v>
      </c>
    </row>
    <row r="27" spans="2:7" x14ac:dyDescent="0.2">
      <c r="B27" s="86" t="s">
        <v>73</v>
      </c>
      <c r="C27" s="86" t="s">
        <v>64</v>
      </c>
      <c r="D27" s="86" t="s">
        <v>65</v>
      </c>
      <c r="E27" s="72" t="s">
        <v>63</v>
      </c>
      <c r="F27" s="87" t="s">
        <v>66</v>
      </c>
      <c r="G27" s="87" t="s">
        <v>74</v>
      </c>
    </row>
    <row r="28" spans="2:7" x14ac:dyDescent="0.2">
      <c r="B28" s="85" t="s">
        <v>75</v>
      </c>
      <c r="C28" s="68">
        <v>57301</v>
      </c>
      <c r="D28" s="93">
        <v>44227</v>
      </c>
      <c r="E28" s="70" t="s">
        <v>67</v>
      </c>
      <c r="F28" s="82">
        <v>496.33</v>
      </c>
    </row>
    <row r="29" spans="2:7" x14ac:dyDescent="0.2">
      <c r="B29" s="85"/>
      <c r="D29" s="93"/>
    </row>
    <row r="30" spans="2:7" x14ac:dyDescent="0.2">
      <c r="B30" s="85" t="s">
        <v>75</v>
      </c>
      <c r="C30" s="68">
        <v>57606</v>
      </c>
      <c r="D30" s="93">
        <v>44255</v>
      </c>
      <c r="E30" s="70" t="s">
        <v>68</v>
      </c>
      <c r="F30" s="82">
        <v>391.34</v>
      </c>
    </row>
    <row r="31" spans="2:7" x14ac:dyDescent="0.2">
      <c r="B31" s="85" t="s">
        <v>75</v>
      </c>
      <c r="C31" s="68">
        <v>57644</v>
      </c>
      <c r="D31" s="93">
        <v>44255</v>
      </c>
      <c r="E31" s="70" t="s">
        <v>88</v>
      </c>
      <c r="G31" s="82">
        <v>-15415.06</v>
      </c>
    </row>
    <row r="32" spans="2:7" x14ac:dyDescent="0.2">
      <c r="B32" s="85"/>
      <c r="D32" s="93"/>
      <c r="G32"/>
    </row>
    <row r="33" spans="2:7" x14ac:dyDescent="0.2">
      <c r="B33" s="85" t="s">
        <v>75</v>
      </c>
      <c r="C33" s="68">
        <v>57892</v>
      </c>
      <c r="D33" s="93">
        <v>44286</v>
      </c>
      <c r="E33" s="70" t="s">
        <v>89</v>
      </c>
      <c r="G33" s="82">
        <v>-10945.09</v>
      </c>
    </row>
    <row r="34" spans="2:7" x14ac:dyDescent="0.2">
      <c r="B34" s="85" t="s">
        <v>75</v>
      </c>
      <c r="C34" s="68">
        <v>57901</v>
      </c>
      <c r="D34" s="93">
        <v>44286</v>
      </c>
      <c r="E34" s="70" t="s">
        <v>90</v>
      </c>
      <c r="F34" s="82">
        <v>1402.03</v>
      </c>
    </row>
    <row r="35" spans="2:7" x14ac:dyDescent="0.2">
      <c r="B35" s="85" t="s">
        <v>75</v>
      </c>
      <c r="C35" s="68">
        <v>57915</v>
      </c>
      <c r="D35" s="93">
        <v>44286</v>
      </c>
      <c r="E35" s="70" t="s">
        <v>69</v>
      </c>
      <c r="F35" s="82">
        <v>395.33</v>
      </c>
    </row>
    <row r="36" spans="2:7" x14ac:dyDescent="0.2">
      <c r="B36" s="85"/>
      <c r="D36" s="93"/>
    </row>
    <row r="37" spans="2:7" x14ac:dyDescent="0.2">
      <c r="B37" s="85" t="s">
        <v>75</v>
      </c>
      <c r="C37" s="68">
        <v>58221</v>
      </c>
      <c r="D37" s="93">
        <v>44316</v>
      </c>
      <c r="E37" s="70" t="s">
        <v>70</v>
      </c>
      <c r="F37" s="82">
        <v>327.94</v>
      </c>
    </row>
    <row r="38" spans="2:7" x14ac:dyDescent="0.2">
      <c r="B38" s="85" t="s">
        <v>75</v>
      </c>
      <c r="C38" s="68">
        <v>58248</v>
      </c>
      <c r="D38" s="93">
        <v>44316</v>
      </c>
      <c r="E38" s="70" t="s">
        <v>91</v>
      </c>
      <c r="F38" s="82"/>
      <c r="G38" s="82">
        <v>-18046.41</v>
      </c>
    </row>
    <row r="39" spans="2:7" x14ac:dyDescent="0.2">
      <c r="B39" s="85" t="s">
        <v>75</v>
      </c>
      <c r="C39" s="68">
        <v>58248</v>
      </c>
      <c r="D39" s="93">
        <v>44316</v>
      </c>
      <c r="E39" s="70" t="s">
        <v>91</v>
      </c>
      <c r="G39" s="82">
        <v>-1624.21</v>
      </c>
    </row>
    <row r="40" spans="2:7" x14ac:dyDescent="0.2">
      <c r="B40" s="85" t="s">
        <v>75</v>
      </c>
      <c r="C40" s="68">
        <v>58248</v>
      </c>
      <c r="D40" s="93">
        <v>44316</v>
      </c>
      <c r="E40" s="70" t="s">
        <v>91</v>
      </c>
      <c r="F40" s="82">
        <v>1351.05</v>
      </c>
      <c r="G40" s="82"/>
    </row>
    <row r="41" spans="2:7" x14ac:dyDescent="0.2">
      <c r="B41" s="85"/>
      <c r="D41" s="93"/>
      <c r="F41" s="82"/>
    </row>
    <row r="42" spans="2:7" x14ac:dyDescent="0.2">
      <c r="B42" s="85" t="s">
        <v>75</v>
      </c>
      <c r="C42" s="68">
        <v>58515</v>
      </c>
      <c r="D42" s="93">
        <v>44347</v>
      </c>
      <c r="E42" s="70" t="s">
        <v>71</v>
      </c>
      <c r="F42" s="82">
        <v>274.3</v>
      </c>
    </row>
    <row r="43" spans="2:7" x14ac:dyDescent="0.2">
      <c r="B43" s="85" t="s">
        <v>75</v>
      </c>
      <c r="C43" s="68">
        <v>58527</v>
      </c>
      <c r="D43" s="93">
        <v>44347</v>
      </c>
      <c r="E43" s="70" t="s">
        <v>92</v>
      </c>
      <c r="F43" s="82"/>
      <c r="G43" s="82">
        <v>-23445.97</v>
      </c>
    </row>
    <row r="44" spans="2:7" x14ac:dyDescent="0.2">
      <c r="B44" s="85"/>
      <c r="D44" s="93"/>
    </row>
    <row r="45" spans="2:7" x14ac:dyDescent="0.2">
      <c r="B45" s="85" t="s">
        <v>75</v>
      </c>
      <c r="C45" s="68">
        <v>58752</v>
      </c>
      <c r="D45" s="93">
        <v>44377</v>
      </c>
      <c r="E45" s="70" t="s">
        <v>93</v>
      </c>
      <c r="F45" s="82">
        <v>121361.32</v>
      </c>
    </row>
    <row r="46" spans="2:7" x14ac:dyDescent="0.2">
      <c r="B46" s="85" t="s">
        <v>75</v>
      </c>
      <c r="C46" s="68">
        <v>58830</v>
      </c>
      <c r="D46" s="93">
        <v>44377</v>
      </c>
      <c r="E46" s="70" t="s">
        <v>93</v>
      </c>
      <c r="F46" s="82">
        <v>15851.49</v>
      </c>
    </row>
    <row r="47" spans="2:7" x14ac:dyDescent="0.2">
      <c r="B47" s="85" t="s">
        <v>75</v>
      </c>
      <c r="C47" s="68">
        <v>58830</v>
      </c>
      <c r="D47" s="93">
        <v>44377</v>
      </c>
      <c r="E47" s="70" t="s">
        <v>93</v>
      </c>
      <c r="F47" s="82">
        <v>26188.67</v>
      </c>
    </row>
    <row r="48" spans="2:7" x14ac:dyDescent="0.2">
      <c r="B48" s="85" t="s">
        <v>75</v>
      </c>
      <c r="C48" s="68">
        <v>58833</v>
      </c>
      <c r="D48" s="93">
        <v>44377</v>
      </c>
      <c r="E48" s="70" t="s">
        <v>72</v>
      </c>
      <c r="F48" s="82">
        <v>314.57</v>
      </c>
    </row>
    <row r="49" spans="2:7" x14ac:dyDescent="0.2">
      <c r="B49" s="85" t="s">
        <v>75</v>
      </c>
      <c r="C49" s="68">
        <v>58853</v>
      </c>
      <c r="D49" s="93">
        <v>44377</v>
      </c>
      <c r="E49" s="70" t="s">
        <v>94</v>
      </c>
      <c r="F49" s="82">
        <v>14578.34</v>
      </c>
    </row>
    <row r="50" spans="2:7" x14ac:dyDescent="0.2">
      <c r="B50" s="88"/>
      <c r="C50" s="89"/>
      <c r="D50" s="94"/>
      <c r="E50" s="91" t="s">
        <v>95</v>
      </c>
      <c r="F50" s="61">
        <f>SUM(F28:F49)</f>
        <v>182932.71</v>
      </c>
      <c r="G50" s="61">
        <f>SUM(G28:G49)</f>
        <v>-69476.739999999991</v>
      </c>
    </row>
    <row r="51" spans="2:7" ht="15" x14ac:dyDescent="0.25">
      <c r="B51" s="85"/>
      <c r="D51" s="93"/>
      <c r="E51" s="70" t="s">
        <v>96</v>
      </c>
      <c r="F51" s="84">
        <f>+F50+G50</f>
        <v>113455.97</v>
      </c>
    </row>
    <row r="53" spans="2:7" ht="15" x14ac:dyDescent="0.25">
      <c r="B53" s="95" t="s">
        <v>98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Z81"/>
  <sheetViews>
    <sheetView view="pageBreakPreview" topLeftCell="A34" zoomScaleNormal="130" zoomScaleSheetLayoutView="100" workbookViewId="0">
      <selection activeCell="F87" sqref="F87"/>
    </sheetView>
  </sheetViews>
  <sheetFormatPr defaultRowHeight="15" x14ac:dyDescent="0.25"/>
  <cols>
    <col min="1" max="1" width="12.75" style="5" bestFit="1" customWidth="1"/>
    <col min="2" max="2" width="10.375" style="5" bestFit="1" customWidth="1"/>
    <col min="3" max="3" width="32.125" style="5" bestFit="1" customWidth="1"/>
    <col min="4" max="4" width="11.75" style="5" bestFit="1" customWidth="1"/>
    <col min="5" max="5" width="10.75" style="5" bestFit="1" customWidth="1"/>
    <col min="6" max="6" width="11.75" style="5" bestFit="1" customWidth="1"/>
    <col min="7" max="7" width="10.375" style="5" bestFit="1" customWidth="1"/>
    <col min="8" max="8" width="11.125" style="5" customWidth="1"/>
    <col min="9" max="9" width="10.75" style="5" bestFit="1" customWidth="1"/>
    <col min="10" max="10" width="3.125" style="5" customWidth="1"/>
    <col min="11" max="11" width="11.125" style="5" bestFit="1" customWidth="1"/>
    <col min="12" max="12" width="14.5" style="5" bestFit="1" customWidth="1"/>
    <col min="13" max="13" width="11.75" style="5" bestFit="1" customWidth="1"/>
    <col min="14" max="14" width="14.875" style="5" bestFit="1" customWidth="1"/>
    <col min="15" max="15" width="11.125" style="5" customWidth="1"/>
    <col min="16" max="16" width="13.875" style="5" bestFit="1" customWidth="1"/>
    <col min="17" max="17" width="1" style="5" customWidth="1"/>
    <col min="18" max="18" width="6.125" style="5" bestFit="1" customWidth="1"/>
    <col min="19" max="19" width="5.375" style="5" bestFit="1" customWidth="1"/>
    <col min="20" max="16384" width="9" style="5"/>
  </cols>
  <sheetData>
    <row r="1" spans="1:19" x14ac:dyDescent="0.25">
      <c r="A1" s="4"/>
      <c r="C1" s="6" t="s">
        <v>0</v>
      </c>
      <c r="D1" s="7" t="s">
        <v>1</v>
      </c>
      <c r="F1" s="7" t="s">
        <v>2</v>
      </c>
      <c r="G1" s="7"/>
      <c r="H1" s="7" t="s">
        <v>3</v>
      </c>
      <c r="J1" s="8"/>
      <c r="K1" s="7" t="s">
        <v>1</v>
      </c>
      <c r="M1" s="7" t="s">
        <v>2</v>
      </c>
      <c r="N1" s="7"/>
      <c r="O1" s="7" t="s">
        <v>3</v>
      </c>
    </row>
    <row r="2" spans="1:19" x14ac:dyDescent="0.25">
      <c r="A2" s="4"/>
      <c r="C2" s="6" t="s">
        <v>4</v>
      </c>
      <c r="D2" s="9" t="s">
        <v>19</v>
      </c>
      <c r="J2" s="8"/>
      <c r="K2" s="9" t="s">
        <v>20</v>
      </c>
    </row>
    <row r="3" spans="1:19" x14ac:dyDescent="0.25">
      <c r="A3" s="4"/>
      <c r="C3" s="6" t="s">
        <v>5</v>
      </c>
      <c r="D3" s="7" t="s">
        <v>6</v>
      </c>
      <c r="J3" s="8"/>
      <c r="K3" s="7" t="s">
        <v>6</v>
      </c>
    </row>
    <row r="4" spans="1:19" ht="15.75" x14ac:dyDescent="0.25">
      <c r="A4" s="4"/>
      <c r="C4" s="6" t="s">
        <v>7</v>
      </c>
      <c r="D4" s="10" t="s">
        <v>21</v>
      </c>
      <c r="J4" s="8"/>
      <c r="K4" s="11" t="s">
        <v>22</v>
      </c>
    </row>
    <row r="5" spans="1:19" x14ac:dyDescent="0.25">
      <c r="A5" s="4"/>
      <c r="C5" s="6" t="s">
        <v>8</v>
      </c>
      <c r="D5" s="7" t="s">
        <v>9</v>
      </c>
      <c r="J5" s="8"/>
      <c r="K5" s="7" t="s">
        <v>9</v>
      </c>
    </row>
    <row r="6" spans="1:19" x14ac:dyDescent="0.25">
      <c r="A6" s="4"/>
      <c r="C6" s="6" t="s">
        <v>11</v>
      </c>
      <c r="D6" s="7" t="s">
        <v>12</v>
      </c>
      <c r="J6" s="8"/>
      <c r="K6" s="7" t="s">
        <v>12</v>
      </c>
    </row>
    <row r="7" spans="1:19" x14ac:dyDescent="0.25">
      <c r="A7" s="4"/>
      <c r="C7" s="6" t="s">
        <v>10</v>
      </c>
      <c r="D7" s="12" t="s">
        <v>13</v>
      </c>
      <c r="J7" s="8"/>
      <c r="K7" s="12" t="s">
        <v>13</v>
      </c>
    </row>
    <row r="8" spans="1:19" x14ac:dyDescent="0.25">
      <c r="D8" s="13" t="s">
        <v>23</v>
      </c>
      <c r="J8" s="8"/>
      <c r="K8" s="13" t="s">
        <v>23</v>
      </c>
    </row>
    <row r="9" spans="1:19" x14ac:dyDescent="0.25">
      <c r="A9" s="5" t="s">
        <v>24</v>
      </c>
      <c r="B9" s="5" t="s">
        <v>25</v>
      </c>
      <c r="D9" s="14" t="str">
        <f t="shared" ref="D9" si="0">TEXT(D4&amp;"/1/"&amp;D2,"mmm yy")</f>
        <v>Dec 17</v>
      </c>
      <c r="J9" s="8"/>
      <c r="K9" s="14" t="str">
        <f t="shared" ref="K9" si="1">TEXT(K4&amp;"/1/"&amp;K2,"mmm yy")</f>
        <v>Mar 21</v>
      </c>
    </row>
    <row r="10" spans="1:19" x14ac:dyDescent="0.25">
      <c r="D10" s="15"/>
      <c r="F10" s="15"/>
      <c r="G10" s="16"/>
      <c r="H10" s="15"/>
      <c r="J10" s="8"/>
      <c r="K10" s="15"/>
      <c r="M10" s="15"/>
      <c r="N10" s="16"/>
      <c r="O10" s="15"/>
    </row>
    <row r="11" spans="1:19" x14ac:dyDescent="0.25">
      <c r="D11" s="167"/>
      <c r="E11" s="167"/>
      <c r="F11" s="167"/>
      <c r="G11" s="16"/>
      <c r="H11" s="15"/>
      <c r="J11" s="8"/>
      <c r="K11" s="167" t="s">
        <v>17</v>
      </c>
      <c r="L11" s="167"/>
      <c r="M11" s="167"/>
      <c r="N11" s="167"/>
      <c r="O11" s="167"/>
    </row>
    <row r="12" spans="1:19" x14ac:dyDescent="0.25">
      <c r="D12" s="15"/>
      <c r="F12" s="15"/>
      <c r="G12" s="16"/>
      <c r="H12" s="15"/>
      <c r="J12" s="8"/>
      <c r="K12" s="15">
        <v>2021</v>
      </c>
      <c r="M12" s="17">
        <v>0.74890000000000001</v>
      </c>
      <c r="N12" s="16"/>
      <c r="O12" s="17">
        <v>0.25109999999999999</v>
      </c>
      <c r="R12" s="5" t="s">
        <v>16</v>
      </c>
    </row>
    <row r="13" spans="1:19" x14ac:dyDescent="0.25">
      <c r="D13" s="15">
        <v>2017</v>
      </c>
      <c r="J13" s="8"/>
      <c r="K13" s="15"/>
      <c r="M13" s="17"/>
      <c r="O13" s="17"/>
      <c r="P13" s="18" t="s">
        <v>15</v>
      </c>
    </row>
    <row r="14" spans="1:19" x14ac:dyDescent="0.25">
      <c r="A14" s="7" t="s">
        <v>26</v>
      </c>
      <c r="B14" s="19" t="s">
        <v>13</v>
      </c>
      <c r="C14" s="20" t="s">
        <v>27</v>
      </c>
      <c r="D14" s="21">
        <v>20296.75</v>
      </c>
      <c r="E14" s="20"/>
      <c r="F14" s="21">
        <v>14330.43</v>
      </c>
      <c r="G14" s="21"/>
      <c r="H14" s="21">
        <v>5966.32</v>
      </c>
      <c r="I14" s="20"/>
      <c r="J14" s="8"/>
      <c r="K14" s="21">
        <v>211.82</v>
      </c>
      <c r="L14" s="20"/>
      <c r="M14" s="21">
        <f>SUM(K14*$M$12)</f>
        <v>158.63199800000001</v>
      </c>
      <c r="N14" s="21"/>
      <c r="O14" s="21">
        <f>SUM(K14*$O$12)</f>
        <v>53.188001999999997</v>
      </c>
      <c r="P14" s="22">
        <f>O14-H14</f>
        <v>-5913.1319979999998</v>
      </c>
      <c r="R14" s="23">
        <f t="shared" ref="R14:R19" si="2">D14-F14-H14</f>
        <v>0</v>
      </c>
      <c r="S14" s="23">
        <f t="shared" ref="S14:S36" si="3">K14-M14-O14</f>
        <v>0</v>
      </c>
    </row>
    <row r="15" spans="1:19" x14ac:dyDescent="0.25">
      <c r="A15" s="7" t="s">
        <v>28</v>
      </c>
      <c r="B15" s="19" t="s">
        <v>13</v>
      </c>
      <c r="C15" s="20" t="s">
        <v>29</v>
      </c>
      <c r="D15" s="21">
        <v>2117.64</v>
      </c>
      <c r="E15" s="20"/>
      <c r="F15" s="21">
        <v>1589.08</v>
      </c>
      <c r="G15" s="21"/>
      <c r="H15" s="21">
        <v>528.55999999999995</v>
      </c>
      <c r="I15" s="20"/>
      <c r="J15" s="8"/>
      <c r="K15" s="21">
        <v>0</v>
      </c>
      <c r="L15" s="20"/>
      <c r="M15" s="21">
        <f t="shared" ref="M15:M19" si="4">SUM(K15*$M$12)</f>
        <v>0</v>
      </c>
      <c r="N15" s="21"/>
      <c r="O15" s="21">
        <f t="shared" ref="O15:O19" si="5">SUM(K15*$O$12)</f>
        <v>0</v>
      </c>
      <c r="P15" s="22">
        <f t="shared" ref="P15:P19" si="6">O15-H15</f>
        <v>-528.55999999999995</v>
      </c>
      <c r="R15" s="23">
        <f t="shared" si="2"/>
        <v>0</v>
      </c>
      <c r="S15" s="23">
        <f t="shared" si="3"/>
        <v>0</v>
      </c>
    </row>
    <row r="16" spans="1:19" x14ac:dyDescent="0.25">
      <c r="A16" s="7" t="s">
        <v>30</v>
      </c>
      <c r="B16" s="19" t="s">
        <v>13</v>
      </c>
      <c r="C16" s="20" t="s">
        <v>31</v>
      </c>
      <c r="D16" s="21">
        <v>815.66</v>
      </c>
      <c r="E16" s="20"/>
      <c r="F16" s="21">
        <v>657.82</v>
      </c>
      <c r="G16" s="21"/>
      <c r="H16" s="21">
        <v>157.84</v>
      </c>
      <c r="I16" s="20"/>
      <c r="J16" s="8"/>
      <c r="K16" s="21">
        <v>7.27</v>
      </c>
      <c r="L16" s="20"/>
      <c r="M16" s="21">
        <f t="shared" si="4"/>
        <v>5.4445030000000001</v>
      </c>
      <c r="N16" s="21"/>
      <c r="O16" s="21">
        <f t="shared" si="5"/>
        <v>1.8254969999999999</v>
      </c>
      <c r="P16" s="22">
        <f t="shared" si="6"/>
        <v>-156.01450299999999</v>
      </c>
      <c r="R16" s="23">
        <f t="shared" si="2"/>
        <v>0</v>
      </c>
      <c r="S16" s="23">
        <f t="shared" si="3"/>
        <v>0</v>
      </c>
    </row>
    <row r="17" spans="1:19" x14ac:dyDescent="0.25">
      <c r="A17" s="7" t="s">
        <v>32</v>
      </c>
      <c r="B17" s="19" t="s">
        <v>13</v>
      </c>
      <c r="C17" s="20" t="s">
        <v>33</v>
      </c>
      <c r="D17" s="21">
        <v>21933.759999999998</v>
      </c>
      <c r="E17" s="20"/>
      <c r="F17" s="21">
        <v>13313.07</v>
      </c>
      <c r="G17" s="21"/>
      <c r="H17" s="21">
        <v>8620.69</v>
      </c>
      <c r="I17" s="20"/>
      <c r="J17" s="8"/>
      <c r="K17" s="21">
        <v>6177.3</v>
      </c>
      <c r="L17" s="20"/>
      <c r="M17" s="21">
        <f t="shared" si="4"/>
        <v>4626.1799700000001</v>
      </c>
      <c r="N17" s="21"/>
      <c r="O17" s="21">
        <f t="shared" si="5"/>
        <v>1551.12003</v>
      </c>
      <c r="P17" s="22">
        <f>SUM(O17-H17)/2</f>
        <v>-3534.7849850000002</v>
      </c>
      <c r="R17" s="23">
        <f t="shared" si="2"/>
        <v>0</v>
      </c>
      <c r="S17" s="23">
        <f t="shared" si="3"/>
        <v>0</v>
      </c>
    </row>
    <row r="18" spans="1:19" x14ac:dyDescent="0.25">
      <c r="A18" s="7" t="s">
        <v>34</v>
      </c>
      <c r="B18" s="19" t="s">
        <v>13</v>
      </c>
      <c r="C18" s="20" t="s">
        <v>35</v>
      </c>
      <c r="D18" s="21">
        <v>16375.43</v>
      </c>
      <c r="E18" s="20"/>
      <c r="F18" s="21">
        <v>10951.77</v>
      </c>
      <c r="G18" s="21"/>
      <c r="H18" s="21">
        <v>5423.66</v>
      </c>
      <c r="I18" s="20"/>
      <c r="J18" s="8"/>
      <c r="K18" s="21">
        <v>3508.43</v>
      </c>
      <c r="L18" s="20"/>
      <c r="M18" s="21">
        <f t="shared" si="4"/>
        <v>2627.4632269999997</v>
      </c>
      <c r="N18" s="21"/>
      <c r="O18" s="21">
        <f t="shared" si="5"/>
        <v>880.96677299999988</v>
      </c>
      <c r="P18" s="22">
        <f t="shared" si="6"/>
        <v>-4542.6932269999998</v>
      </c>
      <c r="R18" s="23">
        <f t="shared" si="2"/>
        <v>0</v>
      </c>
      <c r="S18" s="23">
        <f t="shared" si="3"/>
        <v>0</v>
      </c>
    </row>
    <row r="19" spans="1:19" x14ac:dyDescent="0.25">
      <c r="A19" s="7" t="s">
        <v>36</v>
      </c>
      <c r="B19" s="19" t="s">
        <v>13</v>
      </c>
      <c r="C19" s="20" t="s">
        <v>37</v>
      </c>
      <c r="D19" s="21">
        <v>0</v>
      </c>
      <c r="E19" s="24">
        <f>SUM(D14:D19)</f>
        <v>61539.24</v>
      </c>
      <c r="F19" s="21">
        <v>0</v>
      </c>
      <c r="G19" s="24">
        <f>SUM(F14:F19)</f>
        <v>40842.17</v>
      </c>
      <c r="H19" s="21">
        <v>0</v>
      </c>
      <c r="I19" s="24">
        <f>SUM(H14:H19)</f>
        <v>20697.07</v>
      </c>
      <c r="J19" s="8"/>
      <c r="K19" s="21">
        <v>0</v>
      </c>
      <c r="L19" s="24">
        <f>SUM(K14:K19)</f>
        <v>9904.82</v>
      </c>
      <c r="M19" s="21">
        <f t="shared" si="4"/>
        <v>0</v>
      </c>
      <c r="N19" s="21"/>
      <c r="O19" s="21">
        <f t="shared" si="5"/>
        <v>0</v>
      </c>
      <c r="P19" s="22">
        <f t="shared" si="6"/>
        <v>0</v>
      </c>
      <c r="R19" s="23">
        <f t="shared" si="2"/>
        <v>0</v>
      </c>
      <c r="S19" s="23">
        <f t="shared" si="3"/>
        <v>0</v>
      </c>
    </row>
    <row r="20" spans="1:19" x14ac:dyDescent="0.25">
      <c r="A20" s="7"/>
      <c r="B20" s="7"/>
      <c r="D20" s="2"/>
      <c r="F20" s="2"/>
      <c r="G20" s="25"/>
      <c r="H20" s="2"/>
      <c r="J20" s="8"/>
      <c r="K20" s="2"/>
      <c r="L20" s="26">
        <f>L19-E19</f>
        <v>-51634.42</v>
      </c>
      <c r="M20" s="2"/>
      <c r="N20" s="26">
        <f>N19-G19</f>
        <v>-40842.17</v>
      </c>
      <c r="O20" s="2"/>
      <c r="P20" s="27">
        <f>SUM(P14:P19)</f>
        <v>-14675.184713000001</v>
      </c>
      <c r="R20" s="23"/>
      <c r="S20" s="23"/>
    </row>
    <row r="21" spans="1:19" x14ac:dyDescent="0.25">
      <c r="A21" s="7"/>
      <c r="B21" s="7"/>
      <c r="D21" s="2"/>
      <c r="F21" s="2"/>
      <c r="G21" s="25"/>
      <c r="H21" s="2"/>
      <c r="J21" s="8"/>
      <c r="K21" s="2"/>
      <c r="L21" s="28"/>
      <c r="M21" s="25"/>
      <c r="N21" s="28"/>
      <c r="O21" s="2"/>
      <c r="P21" s="27"/>
      <c r="R21" s="23"/>
      <c r="S21" s="23"/>
    </row>
    <row r="22" spans="1:19" x14ac:dyDescent="0.25">
      <c r="A22" s="7" t="s">
        <v>38</v>
      </c>
      <c r="B22" s="29" t="s">
        <v>13</v>
      </c>
      <c r="C22" s="30" t="s">
        <v>39</v>
      </c>
      <c r="D22" s="31">
        <v>0</v>
      </c>
      <c r="E22" s="30"/>
      <c r="F22" s="31">
        <v>0</v>
      </c>
      <c r="G22" s="30"/>
      <c r="H22" s="31">
        <v>0</v>
      </c>
      <c r="I22" s="30"/>
      <c r="J22" s="8"/>
      <c r="K22" s="31">
        <v>0</v>
      </c>
      <c r="L22" s="30"/>
      <c r="M22" s="31">
        <f>SUM(K22*$M$12)</f>
        <v>0</v>
      </c>
      <c r="N22" s="31"/>
      <c r="O22" s="31">
        <f>SUM(K22*$O$12)</f>
        <v>0</v>
      </c>
      <c r="P22" s="22">
        <f>O22-H22</f>
        <v>0</v>
      </c>
      <c r="R22" s="23">
        <f t="shared" ref="R22:R27" si="7">D22-F22-H22</f>
        <v>0</v>
      </c>
      <c r="S22" s="23">
        <f t="shared" si="3"/>
        <v>0</v>
      </c>
    </row>
    <row r="23" spans="1:19" x14ac:dyDescent="0.25">
      <c r="A23" s="7" t="s">
        <v>40</v>
      </c>
      <c r="B23" s="29" t="s">
        <v>13</v>
      </c>
      <c r="C23" s="30" t="s">
        <v>41</v>
      </c>
      <c r="D23" s="31">
        <v>0</v>
      </c>
      <c r="E23" s="30"/>
      <c r="F23" s="31">
        <v>0</v>
      </c>
      <c r="G23" s="30"/>
      <c r="H23" s="31">
        <v>0</v>
      </c>
      <c r="I23" s="30"/>
      <c r="J23" s="8"/>
      <c r="K23" s="31">
        <v>0</v>
      </c>
      <c r="L23" s="30"/>
      <c r="M23" s="31">
        <f t="shared" ref="M23:M27" si="8">SUM(K23*$M$12)</f>
        <v>0</v>
      </c>
      <c r="N23" s="31"/>
      <c r="O23" s="31">
        <f t="shared" ref="O23:O27" si="9">SUM(K23*$O$12)</f>
        <v>0</v>
      </c>
      <c r="P23" s="22">
        <f t="shared" ref="P23:P27" si="10">O23-H23</f>
        <v>0</v>
      </c>
      <c r="R23" s="23">
        <f t="shared" si="7"/>
        <v>0</v>
      </c>
      <c r="S23" s="23">
        <f t="shared" si="3"/>
        <v>0</v>
      </c>
    </row>
    <row r="24" spans="1:19" x14ac:dyDescent="0.25">
      <c r="A24" s="7" t="s">
        <v>42</v>
      </c>
      <c r="B24" s="29" t="s">
        <v>13</v>
      </c>
      <c r="C24" s="30" t="s">
        <v>43</v>
      </c>
      <c r="D24" s="31">
        <v>8244.5300000000007</v>
      </c>
      <c r="E24" s="30"/>
      <c r="F24" s="31">
        <v>5694.03</v>
      </c>
      <c r="G24" s="30"/>
      <c r="H24" s="31">
        <v>2550.5</v>
      </c>
      <c r="I24" s="30"/>
      <c r="J24" s="8"/>
      <c r="K24" s="31">
        <v>7952.46</v>
      </c>
      <c r="L24" s="30"/>
      <c r="M24" s="31">
        <f t="shared" si="8"/>
        <v>5955.5972940000001</v>
      </c>
      <c r="N24" s="31"/>
      <c r="O24" s="31">
        <f t="shared" si="9"/>
        <v>1996.8627059999999</v>
      </c>
      <c r="P24" s="22">
        <f t="shared" si="10"/>
        <v>-553.63729400000011</v>
      </c>
      <c r="R24" s="23">
        <f t="shared" si="7"/>
        <v>0</v>
      </c>
      <c r="S24" s="23">
        <f t="shared" si="3"/>
        <v>0</v>
      </c>
    </row>
    <row r="25" spans="1:19" x14ac:dyDescent="0.25">
      <c r="A25" s="7" t="s">
        <v>44</v>
      </c>
      <c r="B25" s="29" t="s">
        <v>13</v>
      </c>
      <c r="C25" s="30" t="s">
        <v>45</v>
      </c>
      <c r="D25" s="31">
        <v>0</v>
      </c>
      <c r="E25" s="30"/>
      <c r="F25" s="31">
        <v>0</v>
      </c>
      <c r="G25" s="30"/>
      <c r="H25" s="31">
        <v>0</v>
      </c>
      <c r="I25" s="30"/>
      <c r="J25" s="8"/>
      <c r="K25" s="31">
        <v>0</v>
      </c>
      <c r="L25" s="30"/>
      <c r="M25" s="31">
        <f t="shared" si="8"/>
        <v>0</v>
      </c>
      <c r="N25" s="31"/>
      <c r="O25" s="31">
        <f t="shared" si="9"/>
        <v>0</v>
      </c>
      <c r="P25" s="22">
        <f t="shared" si="10"/>
        <v>0</v>
      </c>
      <c r="R25" s="23">
        <f t="shared" si="7"/>
        <v>0</v>
      </c>
      <c r="S25" s="23">
        <f t="shared" si="3"/>
        <v>0</v>
      </c>
    </row>
    <row r="26" spans="1:19" x14ac:dyDescent="0.25">
      <c r="A26" s="7" t="s">
        <v>46</v>
      </c>
      <c r="B26" s="29" t="s">
        <v>13</v>
      </c>
      <c r="C26" s="30" t="s">
        <v>47</v>
      </c>
      <c r="D26" s="31">
        <v>8700.1200000000008</v>
      </c>
      <c r="E26" s="30"/>
      <c r="F26" s="31">
        <v>5989.28</v>
      </c>
      <c r="G26" s="30"/>
      <c r="H26" s="31">
        <v>2710.84</v>
      </c>
      <c r="I26" s="30"/>
      <c r="J26" s="8"/>
      <c r="K26" s="31">
        <v>12283.56</v>
      </c>
      <c r="L26" s="30"/>
      <c r="M26" s="31">
        <f t="shared" si="8"/>
        <v>9199.1580840000006</v>
      </c>
      <c r="N26" s="31"/>
      <c r="O26" s="31">
        <f t="shared" si="9"/>
        <v>3084.4019159999998</v>
      </c>
      <c r="P26" s="22">
        <f t="shared" si="10"/>
        <v>373.56191599999966</v>
      </c>
      <c r="R26" s="23">
        <f t="shared" si="7"/>
        <v>0</v>
      </c>
      <c r="S26" s="23">
        <f t="shared" si="3"/>
        <v>0</v>
      </c>
    </row>
    <row r="27" spans="1:19" x14ac:dyDescent="0.25">
      <c r="A27" s="7" t="s">
        <v>48</v>
      </c>
      <c r="B27" s="29" t="s">
        <v>13</v>
      </c>
      <c r="C27" s="30" t="s">
        <v>49</v>
      </c>
      <c r="D27" s="31">
        <v>7099.07</v>
      </c>
      <c r="E27" s="32">
        <f>SUM(D22:D27)</f>
        <v>24043.72</v>
      </c>
      <c r="F27" s="31">
        <v>6475.3</v>
      </c>
      <c r="G27" s="32">
        <f>SUM(F22:F27)</f>
        <v>18158.61</v>
      </c>
      <c r="H27" s="31">
        <v>623.77</v>
      </c>
      <c r="I27" s="32">
        <f>SUM(H22:H27)</f>
        <v>5885.1100000000006</v>
      </c>
      <c r="J27" s="8"/>
      <c r="K27" s="31">
        <v>0</v>
      </c>
      <c r="L27" s="32">
        <f>SUM(K22:K27)</f>
        <v>20236.02</v>
      </c>
      <c r="M27" s="31">
        <f t="shared" si="8"/>
        <v>0</v>
      </c>
      <c r="N27" s="31"/>
      <c r="O27" s="31">
        <f t="shared" si="9"/>
        <v>0</v>
      </c>
      <c r="P27" s="22">
        <f t="shared" si="10"/>
        <v>-623.77</v>
      </c>
      <c r="R27" s="23">
        <f t="shared" si="7"/>
        <v>0</v>
      </c>
      <c r="S27" s="23">
        <f t="shared" si="3"/>
        <v>0</v>
      </c>
    </row>
    <row r="28" spans="1:19" x14ac:dyDescent="0.25">
      <c r="A28" s="7"/>
      <c r="B28" s="7"/>
      <c r="D28" s="25"/>
      <c r="E28" s="23"/>
      <c r="F28" s="25"/>
      <c r="G28" s="25"/>
      <c r="H28" s="25"/>
      <c r="J28" s="8"/>
      <c r="K28" s="25"/>
      <c r="L28" s="33">
        <f>L27-E27</f>
        <v>-3807.7000000000007</v>
      </c>
      <c r="M28" s="25"/>
      <c r="N28" s="33">
        <f>N27-G27</f>
        <v>-18158.61</v>
      </c>
      <c r="O28" s="25"/>
      <c r="P28" s="27">
        <f>SUM(P22:P27)</f>
        <v>-803.84537800000044</v>
      </c>
      <c r="R28" s="23"/>
      <c r="S28" s="23"/>
    </row>
    <row r="29" spans="1:19" x14ac:dyDescent="0.25">
      <c r="A29" s="7"/>
      <c r="B29" s="7"/>
      <c r="D29" s="25"/>
      <c r="E29" s="23"/>
      <c r="F29" s="25"/>
      <c r="G29" s="25"/>
      <c r="H29" s="25"/>
      <c r="J29" s="8"/>
      <c r="K29" s="25"/>
      <c r="L29" s="28"/>
      <c r="M29" s="25"/>
      <c r="N29" s="25"/>
      <c r="O29" s="25"/>
      <c r="P29" s="34"/>
      <c r="R29" s="23"/>
      <c r="S29" s="23"/>
    </row>
    <row r="30" spans="1:19" x14ac:dyDescent="0.25">
      <c r="A30" s="7" t="s">
        <v>50</v>
      </c>
      <c r="B30" s="35" t="s">
        <v>13</v>
      </c>
      <c r="C30" s="36" t="s">
        <v>51</v>
      </c>
      <c r="D30" s="37">
        <v>22557.41</v>
      </c>
      <c r="E30" s="36"/>
      <c r="F30" s="37">
        <v>16927.080000000002</v>
      </c>
      <c r="G30" s="37"/>
      <c r="H30" s="37">
        <v>5630.33</v>
      </c>
      <c r="I30" s="36"/>
      <c r="J30" s="8"/>
      <c r="K30" s="37">
        <v>35751.360000000001</v>
      </c>
      <c r="L30" s="36"/>
      <c r="M30" s="37">
        <f t="shared" ref="M30" si="11">SUM(K30*$M$12)</f>
        <v>26774.193504000003</v>
      </c>
      <c r="N30" s="37"/>
      <c r="O30" s="37">
        <f t="shared" ref="O30" si="12">SUM(K30*$O$12)</f>
        <v>8977.1664959999998</v>
      </c>
      <c r="P30" s="22">
        <f t="shared" ref="P30" si="13">O30-H30</f>
        <v>3346.8364959999999</v>
      </c>
      <c r="R30" s="23">
        <f>D30-F30-H30</f>
        <v>0</v>
      </c>
      <c r="S30" s="23">
        <f>K30-M30-O30</f>
        <v>0</v>
      </c>
    </row>
    <row r="31" spans="1:19" x14ac:dyDescent="0.25">
      <c r="A31" s="7"/>
      <c r="B31" s="7"/>
      <c r="D31" s="25"/>
      <c r="F31" s="25"/>
      <c r="G31" s="25"/>
      <c r="H31" s="25"/>
      <c r="J31" s="8"/>
      <c r="K31" s="25"/>
      <c r="L31" s="38">
        <f>K30-D30</f>
        <v>13193.95</v>
      </c>
      <c r="M31" s="2"/>
      <c r="N31" s="38">
        <f>M30-F30</f>
        <v>9847.1135040000008</v>
      </c>
      <c r="O31" s="2"/>
      <c r="P31" s="27">
        <f>SUM(P30)</f>
        <v>3346.8364959999999</v>
      </c>
      <c r="Q31" s="28"/>
      <c r="R31" s="23"/>
      <c r="S31" s="23"/>
    </row>
    <row r="32" spans="1:19" x14ac:dyDescent="0.25">
      <c r="A32" s="7"/>
      <c r="B32" s="7"/>
      <c r="D32" s="25"/>
      <c r="F32" s="25"/>
      <c r="G32" s="25"/>
      <c r="H32" s="25"/>
      <c r="J32" s="8"/>
      <c r="K32" s="25"/>
      <c r="L32" s="28"/>
      <c r="M32" s="2"/>
      <c r="N32" s="28"/>
      <c r="O32" s="2"/>
      <c r="P32" s="27"/>
      <c r="Q32" s="28"/>
      <c r="R32" s="23"/>
      <c r="S32" s="23"/>
    </row>
    <row r="33" spans="1:26" x14ac:dyDescent="0.25">
      <c r="A33" s="7" t="s">
        <v>52</v>
      </c>
      <c r="B33" s="39" t="s">
        <v>13</v>
      </c>
      <c r="C33" s="40" t="s">
        <v>53</v>
      </c>
      <c r="D33" s="41">
        <v>226939.45</v>
      </c>
      <c r="E33" s="40"/>
      <c r="F33" s="41">
        <v>167967.75</v>
      </c>
      <c r="G33" s="41"/>
      <c r="H33" s="41">
        <v>58971.7</v>
      </c>
      <c r="I33" s="40"/>
      <c r="J33" s="8"/>
      <c r="K33" s="41">
        <v>185122.35</v>
      </c>
      <c r="L33" s="40"/>
      <c r="M33" s="41">
        <f t="shared" ref="M33" si="14">SUM(K33*$M$12)</f>
        <v>138638.12791500002</v>
      </c>
      <c r="N33" s="42"/>
      <c r="O33" s="41">
        <f t="shared" ref="O33" si="15">SUM(K33*$O$12)</f>
        <v>46484.222085000001</v>
      </c>
      <c r="P33" s="42">
        <v>-1715.7</v>
      </c>
      <c r="R33" s="23">
        <f>D33-F33-H33</f>
        <v>0</v>
      </c>
      <c r="S33" s="23">
        <f>K33-M33-O33</f>
        <v>0</v>
      </c>
      <c r="T33" s="43" t="s">
        <v>54</v>
      </c>
      <c r="U33" s="43"/>
      <c r="V33" s="44"/>
      <c r="W33" s="44"/>
      <c r="X33" s="44"/>
      <c r="Y33" s="44"/>
      <c r="Z33" s="44"/>
    </row>
    <row r="34" spans="1:26" x14ac:dyDescent="0.25">
      <c r="A34" s="7"/>
      <c r="B34" s="7"/>
      <c r="D34" s="25"/>
      <c r="E34" s="23"/>
      <c r="F34" s="25"/>
      <c r="G34" s="25"/>
      <c r="H34" s="25"/>
      <c r="J34" s="8"/>
      <c r="K34" s="25"/>
      <c r="L34" s="45">
        <f>K33-D33</f>
        <v>-41817.100000000006</v>
      </c>
      <c r="M34" s="2"/>
      <c r="N34" s="45">
        <f>M33-F33</f>
        <v>-29329.622084999981</v>
      </c>
      <c r="O34" s="2"/>
      <c r="P34" s="27">
        <f>SUM(P33)</f>
        <v>-1715.7</v>
      </c>
      <c r="Q34" s="28"/>
      <c r="R34" s="23"/>
      <c r="S34" s="23"/>
      <c r="T34" s="44" t="s">
        <v>55</v>
      </c>
      <c r="U34" s="44"/>
      <c r="V34" s="44"/>
    </row>
    <row r="35" spans="1:26" x14ac:dyDescent="0.25">
      <c r="A35" s="7"/>
      <c r="B35" s="7"/>
      <c r="D35" s="25"/>
      <c r="E35" s="23"/>
      <c r="F35" s="25"/>
      <c r="G35" s="25"/>
      <c r="H35" s="25"/>
      <c r="J35" s="8"/>
      <c r="K35" s="25"/>
      <c r="L35" s="28"/>
      <c r="M35" s="2"/>
      <c r="N35" s="28"/>
      <c r="O35" s="2"/>
      <c r="P35" s="27"/>
      <c r="Q35" s="28"/>
      <c r="R35" s="23"/>
      <c r="S35" s="23"/>
    </row>
    <row r="36" spans="1:26" x14ac:dyDescent="0.25">
      <c r="A36" s="7" t="s">
        <v>56</v>
      </c>
      <c r="B36" s="46" t="s">
        <v>13</v>
      </c>
      <c r="C36" s="47" t="s">
        <v>57</v>
      </c>
      <c r="D36" s="48">
        <v>11714.45</v>
      </c>
      <c r="E36" s="47"/>
      <c r="F36" s="48">
        <v>7500.92</v>
      </c>
      <c r="G36" s="48"/>
      <c r="H36" s="48">
        <v>4213.53</v>
      </c>
      <c r="I36" s="47"/>
      <c r="J36" s="8"/>
      <c r="K36" s="48">
        <v>12859.96</v>
      </c>
      <c r="L36" s="47"/>
      <c r="M36" s="48">
        <f t="shared" ref="M36" si="16">SUM(K36*$M$12)</f>
        <v>9630.824043999999</v>
      </c>
      <c r="N36" s="48"/>
      <c r="O36" s="48">
        <f t="shared" ref="O36" si="17">SUM(K36*$O$12)</f>
        <v>3229.1359559999996</v>
      </c>
      <c r="P36" s="22">
        <f t="shared" ref="P36" si="18">O36-H36</f>
        <v>-984.39404400000012</v>
      </c>
      <c r="R36" s="23">
        <f>D36-F36-H36</f>
        <v>0</v>
      </c>
      <c r="S36" s="23">
        <f t="shared" si="3"/>
        <v>0</v>
      </c>
    </row>
    <row r="37" spans="1:26" x14ac:dyDescent="0.25">
      <c r="A37" s="7"/>
      <c r="B37" s="7"/>
      <c r="D37" s="2"/>
      <c r="F37" s="2"/>
      <c r="G37" s="25"/>
      <c r="H37" s="2"/>
      <c r="J37" s="8"/>
      <c r="K37" s="2"/>
      <c r="L37" s="49">
        <f>K36-D36</f>
        <v>1145.5099999999984</v>
      </c>
      <c r="M37" s="2"/>
      <c r="N37" s="49">
        <f>M36-F36</f>
        <v>2129.904043999999</v>
      </c>
      <c r="O37" s="2"/>
      <c r="P37" s="27">
        <f>SUM(P36)</f>
        <v>-984.39404400000012</v>
      </c>
      <c r="Q37" s="28"/>
      <c r="R37" s="23"/>
      <c r="S37" s="23"/>
    </row>
    <row r="38" spans="1:26" x14ac:dyDescent="0.25">
      <c r="A38" s="7"/>
      <c r="B38" s="7"/>
      <c r="D38" s="2"/>
      <c r="F38" s="2"/>
      <c r="G38" s="25"/>
      <c r="H38" s="23" t="s">
        <v>58</v>
      </c>
      <c r="J38" s="8"/>
      <c r="K38" s="50">
        <v>80959.37</v>
      </c>
      <c r="M38" s="2"/>
      <c r="N38" s="25"/>
      <c r="O38" s="2"/>
      <c r="P38" s="27">
        <f>-K38*O12</f>
        <v>-20328.897806999998</v>
      </c>
      <c r="R38" s="23"/>
      <c r="S38" s="23" t="s">
        <v>58</v>
      </c>
    </row>
    <row r="39" spans="1:26" x14ac:dyDescent="0.25">
      <c r="A39" s="7"/>
      <c r="B39" s="7"/>
      <c r="D39" s="2"/>
      <c r="F39" s="2"/>
      <c r="G39" s="25"/>
      <c r="H39" s="2"/>
      <c r="J39" s="8"/>
      <c r="K39" s="2"/>
      <c r="M39" s="2"/>
      <c r="N39" s="25"/>
      <c r="O39" s="2"/>
      <c r="P39" s="51">
        <f>P20+P28+P31+P34+P37+P38</f>
        <v>-35161.185446000003</v>
      </c>
      <c r="R39" s="23"/>
      <c r="S39" s="23"/>
    </row>
    <row r="43" spans="1:26" x14ac:dyDescent="0.25">
      <c r="A43" s="4"/>
      <c r="C43" s="6" t="s">
        <v>0</v>
      </c>
      <c r="D43" s="7" t="s">
        <v>1</v>
      </c>
      <c r="F43" s="7" t="s">
        <v>2</v>
      </c>
      <c r="G43" s="7"/>
      <c r="H43" s="7" t="s">
        <v>3</v>
      </c>
      <c r="J43" s="8"/>
      <c r="K43" s="7" t="s">
        <v>1</v>
      </c>
      <c r="M43" s="7" t="s">
        <v>2</v>
      </c>
      <c r="N43" s="7"/>
      <c r="O43" s="7" t="s">
        <v>3</v>
      </c>
    </row>
    <row r="44" spans="1:26" x14ac:dyDescent="0.25">
      <c r="A44" s="4"/>
      <c r="C44" s="6" t="s">
        <v>4</v>
      </c>
      <c r="D44" s="52"/>
      <c r="J44" s="8"/>
      <c r="K44" s="53" t="s">
        <v>20</v>
      </c>
    </row>
    <row r="45" spans="1:26" x14ac:dyDescent="0.25">
      <c r="A45" s="4"/>
      <c r="C45" s="6" t="s">
        <v>5</v>
      </c>
      <c r="D45" s="7"/>
      <c r="J45" s="8"/>
      <c r="K45" s="7" t="s">
        <v>6</v>
      </c>
    </row>
    <row r="46" spans="1:26" ht="15.75" x14ac:dyDescent="0.25">
      <c r="A46" s="4"/>
      <c r="C46" s="6" t="s">
        <v>7</v>
      </c>
      <c r="D46" s="54"/>
      <c r="J46" s="8"/>
      <c r="K46" s="11" t="s">
        <v>22</v>
      </c>
    </row>
    <row r="47" spans="1:26" x14ac:dyDescent="0.25">
      <c r="A47" s="4"/>
      <c r="C47" s="6" t="s">
        <v>8</v>
      </c>
      <c r="D47" s="7"/>
      <c r="J47" s="8"/>
      <c r="K47" s="7" t="s">
        <v>9</v>
      </c>
    </row>
    <row r="48" spans="1:26" x14ac:dyDescent="0.25">
      <c r="A48" s="4"/>
      <c r="C48" s="6" t="s">
        <v>11</v>
      </c>
      <c r="D48" s="7"/>
      <c r="J48" s="8"/>
      <c r="K48" s="7" t="s">
        <v>12</v>
      </c>
    </row>
    <row r="49" spans="1:19" x14ac:dyDescent="0.25">
      <c r="A49" s="4"/>
      <c r="C49" s="6" t="s">
        <v>10</v>
      </c>
      <c r="D49" s="12"/>
      <c r="J49" s="8"/>
      <c r="K49" s="12" t="s">
        <v>13</v>
      </c>
    </row>
    <row r="50" spans="1:19" x14ac:dyDescent="0.25">
      <c r="D50" s="55"/>
      <c r="J50" s="8"/>
      <c r="K50" s="13" t="s">
        <v>23</v>
      </c>
    </row>
    <row r="51" spans="1:19" x14ac:dyDescent="0.25">
      <c r="A51" s="5" t="s">
        <v>24</v>
      </c>
      <c r="B51" s="5" t="s">
        <v>25</v>
      </c>
      <c r="D51" s="56" t="s">
        <v>59</v>
      </c>
      <c r="J51" s="8"/>
      <c r="K51" s="14" t="str">
        <f t="shared" ref="K51" si="19">TEXT(K46&amp;"/1/"&amp;K44,"mmm yy")</f>
        <v>Mar 21</v>
      </c>
    </row>
    <row r="52" spans="1:19" x14ac:dyDescent="0.25">
      <c r="D52" s="15"/>
      <c r="F52" s="15"/>
      <c r="G52" s="16"/>
      <c r="H52" s="15"/>
      <c r="J52" s="8"/>
      <c r="K52" s="15"/>
      <c r="M52" s="15"/>
      <c r="N52" s="16"/>
      <c r="O52" s="15"/>
    </row>
    <row r="53" spans="1:19" x14ac:dyDescent="0.25">
      <c r="D53" s="168" t="s">
        <v>60</v>
      </c>
      <c r="E53" s="168"/>
      <c r="F53" s="168"/>
      <c r="G53" s="16"/>
      <c r="H53" s="15"/>
      <c r="J53" s="8"/>
      <c r="K53" s="167" t="s">
        <v>17</v>
      </c>
      <c r="L53" s="167"/>
      <c r="M53" s="167"/>
      <c r="N53" s="167"/>
      <c r="O53" s="167"/>
    </row>
    <row r="54" spans="1:19" x14ac:dyDescent="0.25">
      <c r="D54" s="168"/>
      <c r="E54" s="168"/>
      <c r="F54" s="168"/>
      <c r="G54" s="16"/>
      <c r="H54" s="15"/>
      <c r="J54" s="8"/>
      <c r="K54" s="15">
        <v>2021</v>
      </c>
      <c r="M54" s="17">
        <f>+M12</f>
        <v>0.74890000000000001</v>
      </c>
      <c r="N54" s="16"/>
      <c r="O54" s="17">
        <f>+O12</f>
        <v>0.25109999999999999</v>
      </c>
      <c r="R54" s="5" t="s">
        <v>16</v>
      </c>
    </row>
    <row r="55" spans="1:19" x14ac:dyDescent="0.25">
      <c r="D55" s="15"/>
      <c r="J55" s="8"/>
      <c r="K55" s="15"/>
      <c r="N55" s="57" t="s">
        <v>14</v>
      </c>
    </row>
    <row r="56" spans="1:19" x14ac:dyDescent="0.25">
      <c r="A56" s="7" t="s">
        <v>26</v>
      </c>
      <c r="B56" s="19" t="s">
        <v>13</v>
      </c>
      <c r="C56" s="20" t="s">
        <v>27</v>
      </c>
      <c r="D56" s="21">
        <f>SUM('[1]Paste Special WA 5yr'!D14)/12</f>
        <v>14761.550000000001</v>
      </c>
      <c r="E56" s="20"/>
      <c r="F56" s="21">
        <f>SUM('[1]Paste Special WA 5yr'!F14)/12</f>
        <v>10845.024666666666</v>
      </c>
      <c r="G56" s="21"/>
      <c r="H56" s="21">
        <f>SUM('[1]Paste Special WA 5yr'!H14)/12</f>
        <v>3916.5253333333335</v>
      </c>
      <c r="I56" s="20"/>
      <c r="J56" s="8"/>
      <c r="K56" s="21">
        <v>211.82</v>
      </c>
      <c r="L56" s="20"/>
      <c r="M56" s="21">
        <f>SUM(K56*$M$54)</f>
        <v>158.63199800000001</v>
      </c>
      <c r="N56" s="58">
        <f>M56-F56</f>
        <v>-10686.392668666665</v>
      </c>
      <c r="O56" s="21">
        <f>SUM(K56*$O$54)</f>
        <v>53.188001999999997</v>
      </c>
      <c r="P56" s="20"/>
      <c r="R56" s="23">
        <f t="shared" ref="R56:R61" si="20">D56-F56-H56</f>
        <v>0</v>
      </c>
      <c r="S56" s="23">
        <f t="shared" ref="S56:S61" si="21">K56-M56-O56</f>
        <v>0</v>
      </c>
    </row>
    <row r="57" spans="1:19" x14ac:dyDescent="0.25">
      <c r="A57" s="7" t="s">
        <v>28</v>
      </c>
      <c r="B57" s="19" t="s">
        <v>13</v>
      </c>
      <c r="C57" s="20" t="s">
        <v>29</v>
      </c>
      <c r="D57" s="21">
        <f>SUM('[1]Paste Special WA 5yr'!D15)/12</f>
        <v>3779.2791666666667</v>
      </c>
      <c r="E57" s="20"/>
      <c r="F57" s="21">
        <f>SUM('[1]Paste Special WA 5yr'!F15)/12</f>
        <v>2797.3644999999997</v>
      </c>
      <c r="G57" s="21"/>
      <c r="H57" s="21">
        <f>SUM('[1]Paste Special WA 5yr'!H15)/12</f>
        <v>981.91466666666656</v>
      </c>
      <c r="I57" s="20"/>
      <c r="J57" s="8"/>
      <c r="K57" s="21">
        <v>0</v>
      </c>
      <c r="L57" s="20"/>
      <c r="M57" s="21">
        <f t="shared" ref="M57:M61" si="22">SUM(K57*$M$54)</f>
        <v>0</v>
      </c>
      <c r="N57" s="58">
        <f t="shared" ref="N57:N61" si="23">M57-F57</f>
        <v>-2797.3644999999997</v>
      </c>
      <c r="O57" s="21">
        <f t="shared" ref="O57:O61" si="24">SUM(K57*$O$54)</f>
        <v>0</v>
      </c>
      <c r="P57" s="20"/>
      <c r="R57" s="23">
        <f t="shared" si="20"/>
        <v>0</v>
      </c>
      <c r="S57" s="23">
        <f t="shared" si="21"/>
        <v>0</v>
      </c>
    </row>
    <row r="58" spans="1:19" x14ac:dyDescent="0.25">
      <c r="A58" s="7" t="s">
        <v>30</v>
      </c>
      <c r="B58" s="19" t="s">
        <v>13</v>
      </c>
      <c r="C58" s="20" t="s">
        <v>31</v>
      </c>
      <c r="D58" s="21">
        <f>SUM('[1]Paste Special WA 5yr'!D16)/12</f>
        <v>1259.5603333333331</v>
      </c>
      <c r="E58" s="20"/>
      <c r="F58" s="21">
        <f>SUM('[1]Paste Special WA 5yr'!F16)/12</f>
        <v>941.35399999999993</v>
      </c>
      <c r="G58" s="21"/>
      <c r="H58" s="21">
        <f>SUM('[1]Paste Special WA 5yr'!H16)/12</f>
        <v>318.20633333333336</v>
      </c>
      <c r="I58" s="20"/>
      <c r="J58" s="8"/>
      <c r="K58" s="21">
        <v>7.27</v>
      </c>
      <c r="L58" s="20"/>
      <c r="M58" s="21">
        <f t="shared" si="22"/>
        <v>5.4445030000000001</v>
      </c>
      <c r="N58" s="58">
        <f t="shared" si="23"/>
        <v>-935.90949699999987</v>
      </c>
      <c r="O58" s="21">
        <f t="shared" si="24"/>
        <v>1.8254969999999999</v>
      </c>
      <c r="P58" s="20"/>
      <c r="R58" s="23">
        <f t="shared" si="20"/>
        <v>0</v>
      </c>
      <c r="S58" s="23">
        <f t="shared" si="21"/>
        <v>0</v>
      </c>
    </row>
    <row r="59" spans="1:19" x14ac:dyDescent="0.25">
      <c r="A59" s="7" t="s">
        <v>32</v>
      </c>
      <c r="B59" s="19" t="s">
        <v>13</v>
      </c>
      <c r="C59" s="20" t="s">
        <v>33</v>
      </c>
      <c r="D59" s="21">
        <f>SUM('[1]Paste Special WA 5yr'!D17)/12</f>
        <v>23419.128000000001</v>
      </c>
      <c r="E59" s="20"/>
      <c r="F59" s="21">
        <f>SUM('[1]Paste Special WA 5yr'!F17)/12</f>
        <v>16565.006833333333</v>
      </c>
      <c r="G59" s="21"/>
      <c r="H59" s="21">
        <f>SUM('[1]Paste Special WA 5yr'!H17)/12</f>
        <v>6854.1211666666668</v>
      </c>
      <c r="I59" s="20"/>
      <c r="J59" s="8"/>
      <c r="K59" s="21">
        <v>6177.3</v>
      </c>
      <c r="L59" s="20"/>
      <c r="M59" s="21">
        <f t="shared" si="22"/>
        <v>4626.1799700000001</v>
      </c>
      <c r="N59" s="58">
        <f t="shared" si="23"/>
        <v>-11938.826863333332</v>
      </c>
      <c r="O59" s="21">
        <f t="shared" si="24"/>
        <v>1551.12003</v>
      </c>
      <c r="P59" s="20"/>
      <c r="R59" s="23">
        <f t="shared" si="20"/>
        <v>0</v>
      </c>
      <c r="S59" s="23">
        <f t="shared" si="21"/>
        <v>0</v>
      </c>
    </row>
    <row r="60" spans="1:19" x14ac:dyDescent="0.25">
      <c r="A60" s="7" t="s">
        <v>34</v>
      </c>
      <c r="B60" s="19" t="s">
        <v>13</v>
      </c>
      <c r="C60" s="20" t="s">
        <v>35</v>
      </c>
      <c r="D60" s="21">
        <f>SUM('[1]Paste Special WA 5yr'!D18)/12</f>
        <v>25420.995500000001</v>
      </c>
      <c r="E60" s="20"/>
      <c r="F60" s="21">
        <f>SUM('[1]Paste Special WA 5yr'!F18)/12</f>
        <v>18246.845166666666</v>
      </c>
      <c r="G60" s="21"/>
      <c r="H60" s="21">
        <f>SUM('[1]Paste Special WA 5yr'!H18)/12</f>
        <v>7174.1503333333339</v>
      </c>
      <c r="I60" s="20"/>
      <c r="J60" s="8"/>
      <c r="K60" s="21">
        <v>3508.43</v>
      </c>
      <c r="L60" s="20"/>
      <c r="M60" s="21">
        <f t="shared" si="22"/>
        <v>2627.4632269999997</v>
      </c>
      <c r="N60" s="58">
        <f t="shared" si="23"/>
        <v>-15619.381939666666</v>
      </c>
      <c r="O60" s="21">
        <f t="shared" si="24"/>
        <v>880.96677299999988</v>
      </c>
      <c r="P60" s="20"/>
      <c r="R60" s="23">
        <f t="shared" si="20"/>
        <v>0</v>
      </c>
      <c r="S60" s="23">
        <f t="shared" si="21"/>
        <v>0</v>
      </c>
    </row>
    <row r="61" spans="1:19" x14ac:dyDescent="0.25">
      <c r="A61" s="7" t="s">
        <v>36</v>
      </c>
      <c r="B61" s="19" t="s">
        <v>13</v>
      </c>
      <c r="C61" s="20" t="s">
        <v>37</v>
      </c>
      <c r="D61" s="21">
        <f>SUM('[1]Paste Special WA 5yr'!D19)/12</f>
        <v>335.31433333333331</v>
      </c>
      <c r="E61" s="20"/>
      <c r="F61" s="21">
        <f>SUM('[1]Paste Special WA 5yr'!F19)/12</f>
        <v>255.99350000000001</v>
      </c>
      <c r="G61" s="21"/>
      <c r="H61" s="21">
        <f>SUM('[1]Paste Special WA 5yr'!H19)/12</f>
        <v>79.32083333333334</v>
      </c>
      <c r="I61" s="24">
        <f>SUM(H56:H61)</f>
        <v>19324.238666666672</v>
      </c>
      <c r="J61" s="8"/>
      <c r="K61" s="21">
        <v>0</v>
      </c>
      <c r="L61" s="24">
        <f>SUM(K56:K61)</f>
        <v>9904.82</v>
      </c>
      <c r="M61" s="21">
        <f t="shared" si="22"/>
        <v>0</v>
      </c>
      <c r="N61" s="58">
        <f t="shared" si="23"/>
        <v>-255.99350000000001</v>
      </c>
      <c r="O61" s="21">
        <f t="shared" si="24"/>
        <v>0</v>
      </c>
      <c r="P61" s="24">
        <f>SUM(O56:O61)</f>
        <v>2487.1003019999998</v>
      </c>
      <c r="R61" s="23">
        <f t="shared" si="20"/>
        <v>0</v>
      </c>
      <c r="S61" s="23">
        <f t="shared" si="21"/>
        <v>0</v>
      </c>
    </row>
    <row r="62" spans="1:19" x14ac:dyDescent="0.25">
      <c r="A62" s="7"/>
      <c r="B62" s="7"/>
      <c r="D62" s="2"/>
      <c r="F62" s="2"/>
      <c r="G62" s="25"/>
      <c r="H62" s="2"/>
      <c r="J62" s="8"/>
      <c r="K62" s="2"/>
      <c r="L62" s="26">
        <f>L61-E61</f>
        <v>9904.82</v>
      </c>
      <c r="M62" s="2"/>
      <c r="N62" s="59">
        <f>SUM(N56:N61)</f>
        <v>-42233.868968666662</v>
      </c>
      <c r="O62" s="2"/>
      <c r="P62" s="26">
        <f>P61-I61</f>
        <v>-16837.138364666673</v>
      </c>
      <c r="R62" s="23"/>
      <c r="S62" s="23"/>
    </row>
    <row r="63" spans="1:19" x14ac:dyDescent="0.25">
      <c r="A63" s="7"/>
      <c r="B63" s="7"/>
      <c r="D63" s="2"/>
      <c r="F63" s="2"/>
      <c r="G63" s="25"/>
      <c r="H63" s="2"/>
      <c r="J63" s="8"/>
      <c r="K63" s="2"/>
      <c r="L63" s="28"/>
      <c r="M63" s="25"/>
      <c r="N63" s="59"/>
      <c r="O63" s="2"/>
      <c r="P63" s="2"/>
      <c r="R63" s="23"/>
      <c r="S63" s="23"/>
    </row>
    <row r="64" spans="1:19" x14ac:dyDescent="0.25">
      <c r="A64" s="7" t="s">
        <v>38</v>
      </c>
      <c r="B64" s="29" t="s">
        <v>13</v>
      </c>
      <c r="C64" s="30" t="s">
        <v>39</v>
      </c>
      <c r="D64" s="31">
        <f>SUM('[1]Paste Special WA 5yr'!D22)/12</f>
        <v>235.60100000000003</v>
      </c>
      <c r="E64" s="30"/>
      <c r="F64" s="31">
        <f>SUM('[1]Paste Special WA 5yr'!F22)/12</f>
        <v>178.32866666666669</v>
      </c>
      <c r="G64" s="30"/>
      <c r="H64" s="31">
        <f>SUM('[1]Paste Special WA 5yr'!H22)/12</f>
        <v>57.272333333333329</v>
      </c>
      <c r="I64" s="30"/>
      <c r="J64" s="8"/>
      <c r="K64" s="31">
        <v>0</v>
      </c>
      <c r="L64" s="30"/>
      <c r="M64" s="31">
        <f>SUM(K64*$M$54)</f>
        <v>0</v>
      </c>
      <c r="N64" s="58">
        <f>M64-F64</f>
        <v>-178.32866666666669</v>
      </c>
      <c r="O64" s="31">
        <f>SUM(K64*$O$54)</f>
        <v>0</v>
      </c>
      <c r="P64" s="30"/>
      <c r="R64" s="23">
        <f t="shared" ref="R64:R69" si="25">D64-F64-H64</f>
        <v>0</v>
      </c>
      <c r="S64" s="23">
        <f t="shared" ref="S64:S69" si="26">K64-M64-O64</f>
        <v>0</v>
      </c>
    </row>
    <row r="65" spans="1:26" x14ac:dyDescent="0.25">
      <c r="A65" s="7" t="s">
        <v>40</v>
      </c>
      <c r="B65" s="29" t="s">
        <v>13</v>
      </c>
      <c r="C65" s="30" t="s">
        <v>41</v>
      </c>
      <c r="D65" s="31">
        <f>SUM('[1]Paste Special WA 5yr'!D23)/12</f>
        <v>98.616666666666674</v>
      </c>
      <c r="E65" s="30"/>
      <c r="F65" s="31">
        <f>SUM('[1]Paste Special WA 5yr'!F23)/12</f>
        <v>97.95</v>
      </c>
      <c r="G65" s="30"/>
      <c r="H65" s="31">
        <f>SUM('[1]Paste Special WA 5yr'!H23)/12</f>
        <v>0.66666666666666663</v>
      </c>
      <c r="I65" s="30"/>
      <c r="J65" s="8"/>
      <c r="K65" s="31">
        <v>0</v>
      </c>
      <c r="L65" s="30"/>
      <c r="M65" s="31">
        <f t="shared" ref="M65:M69" si="27">SUM(K65*$M$54)</f>
        <v>0</v>
      </c>
      <c r="N65" s="58">
        <f t="shared" ref="N65:N69" si="28">M65-F65</f>
        <v>-97.95</v>
      </c>
      <c r="O65" s="31">
        <f t="shared" ref="O65:O69" si="29">SUM(K65*$O$54)</f>
        <v>0</v>
      </c>
      <c r="P65" s="30"/>
      <c r="R65" s="23">
        <f t="shared" si="25"/>
        <v>4.7739590058881731E-15</v>
      </c>
      <c r="S65" s="23">
        <f t="shared" si="26"/>
        <v>0</v>
      </c>
    </row>
    <row r="66" spans="1:26" x14ac:dyDescent="0.25">
      <c r="A66" s="7" t="s">
        <v>42</v>
      </c>
      <c r="B66" s="29" t="s">
        <v>13</v>
      </c>
      <c r="C66" s="30" t="s">
        <v>43</v>
      </c>
      <c r="D66" s="31">
        <f>SUM('[1]Paste Special WA 5yr'!D24)/12</f>
        <v>9038.3494999999984</v>
      </c>
      <c r="E66" s="30"/>
      <c r="F66" s="31">
        <f>SUM('[1]Paste Special WA 5yr'!F24)/12</f>
        <v>6827.0563333333339</v>
      </c>
      <c r="G66" s="30"/>
      <c r="H66" s="31">
        <f>SUM('[1]Paste Special WA 5yr'!H24)/12</f>
        <v>2211.2931666666668</v>
      </c>
      <c r="I66" s="30"/>
      <c r="J66" s="8"/>
      <c r="K66" s="31">
        <v>7952.46</v>
      </c>
      <c r="L66" s="30"/>
      <c r="M66" s="31">
        <f t="shared" si="27"/>
        <v>5955.5972940000001</v>
      </c>
      <c r="N66" s="58">
        <f t="shared" si="28"/>
        <v>-871.45903933333375</v>
      </c>
      <c r="O66" s="31">
        <f t="shared" si="29"/>
        <v>1996.8627059999999</v>
      </c>
      <c r="P66" s="30"/>
      <c r="R66" s="23">
        <f t="shared" si="25"/>
        <v>0</v>
      </c>
      <c r="S66" s="23">
        <f t="shared" si="26"/>
        <v>0</v>
      </c>
    </row>
    <row r="67" spans="1:26" x14ac:dyDescent="0.25">
      <c r="A67" s="7" t="s">
        <v>44</v>
      </c>
      <c r="B67" s="29" t="s">
        <v>13</v>
      </c>
      <c r="C67" s="30" t="s">
        <v>45</v>
      </c>
      <c r="D67" s="31">
        <f>SUM('[1]Paste Special WA 5yr'!D25)/12</f>
        <v>479.02249999999998</v>
      </c>
      <c r="E67" s="30"/>
      <c r="F67" s="31">
        <f>SUM('[1]Paste Special WA 5yr'!F25)/12</f>
        <v>362.63016666666664</v>
      </c>
      <c r="G67" s="30"/>
      <c r="H67" s="31">
        <f>SUM('[1]Paste Special WA 5yr'!H25)/12</f>
        <v>116.39233333333334</v>
      </c>
      <c r="I67" s="30"/>
      <c r="J67" s="8"/>
      <c r="K67" s="31">
        <v>0</v>
      </c>
      <c r="L67" s="30"/>
      <c r="M67" s="31">
        <f t="shared" si="27"/>
        <v>0</v>
      </c>
      <c r="N67" s="58">
        <f t="shared" si="28"/>
        <v>-362.63016666666664</v>
      </c>
      <c r="O67" s="31">
        <f t="shared" si="29"/>
        <v>0</v>
      </c>
      <c r="P67" s="30"/>
      <c r="R67" s="23">
        <f t="shared" si="25"/>
        <v>0</v>
      </c>
      <c r="S67" s="23">
        <f t="shared" si="26"/>
        <v>0</v>
      </c>
    </row>
    <row r="68" spans="1:26" x14ac:dyDescent="0.25">
      <c r="A68" s="7" t="s">
        <v>46</v>
      </c>
      <c r="B68" s="29" t="s">
        <v>13</v>
      </c>
      <c r="C68" s="30" t="s">
        <v>47</v>
      </c>
      <c r="D68" s="31">
        <f>SUM('[1]Paste Special WA 5yr'!D26)/12</f>
        <v>12340.912666666665</v>
      </c>
      <c r="E68" s="30"/>
      <c r="F68" s="31">
        <f>SUM('[1]Paste Special WA 5yr'!F26)/12</f>
        <v>8779.150333333333</v>
      </c>
      <c r="G68" s="30"/>
      <c r="H68" s="31">
        <f>SUM('[1]Paste Special WA 5yr'!H26)/12</f>
        <v>3561.7623333333336</v>
      </c>
      <c r="I68" s="30"/>
      <c r="J68" s="8"/>
      <c r="K68" s="31">
        <v>12283.56</v>
      </c>
      <c r="L68" s="30"/>
      <c r="M68" s="31">
        <f t="shared" si="27"/>
        <v>9199.1580840000006</v>
      </c>
      <c r="N68" s="58">
        <f t="shared" si="28"/>
        <v>420.00775066666756</v>
      </c>
      <c r="O68" s="31">
        <f t="shared" si="29"/>
        <v>3084.4019159999998</v>
      </c>
      <c r="P68" s="30"/>
      <c r="R68" s="23">
        <f t="shared" si="25"/>
        <v>0</v>
      </c>
      <c r="S68" s="23">
        <f t="shared" si="26"/>
        <v>0</v>
      </c>
    </row>
    <row r="69" spans="1:26" x14ac:dyDescent="0.25">
      <c r="A69" s="7" t="s">
        <v>48</v>
      </c>
      <c r="B69" s="29" t="s">
        <v>13</v>
      </c>
      <c r="C69" s="30" t="s">
        <v>49</v>
      </c>
      <c r="D69" s="31">
        <f>SUM('[1]Paste Special WA 5yr'!D27)/12</f>
        <v>1336.7904999999998</v>
      </c>
      <c r="E69" s="30"/>
      <c r="F69" s="31">
        <f>SUM('[1]Paste Special WA 5yr'!F27)/12</f>
        <v>1078.6363333333334</v>
      </c>
      <c r="G69" s="30"/>
      <c r="H69" s="31">
        <f>SUM('[1]Paste Special WA 5yr'!H27)/12</f>
        <v>258.15416666666664</v>
      </c>
      <c r="I69" s="32">
        <f>SUM(H64:H69)</f>
        <v>6205.5410000000002</v>
      </c>
      <c r="J69" s="8"/>
      <c r="K69" s="31">
        <v>0</v>
      </c>
      <c r="L69" s="32">
        <f>SUM(K64:K69)</f>
        <v>20236.02</v>
      </c>
      <c r="M69" s="31">
        <f t="shared" si="27"/>
        <v>0</v>
      </c>
      <c r="N69" s="58">
        <f t="shared" si="28"/>
        <v>-1078.6363333333334</v>
      </c>
      <c r="O69" s="31">
        <f t="shared" si="29"/>
        <v>0</v>
      </c>
      <c r="P69" s="32">
        <f>SUM(O64:O69)</f>
        <v>5081.2646219999997</v>
      </c>
      <c r="R69" s="23">
        <f t="shared" si="25"/>
        <v>0</v>
      </c>
      <c r="S69" s="23">
        <f t="shared" si="26"/>
        <v>0</v>
      </c>
    </row>
    <row r="70" spans="1:26" x14ac:dyDescent="0.25">
      <c r="A70" s="7"/>
      <c r="B70" s="7"/>
      <c r="D70" s="25"/>
      <c r="E70" s="23"/>
      <c r="F70" s="25"/>
      <c r="G70" s="25"/>
      <c r="H70" s="25"/>
      <c r="J70" s="8"/>
      <c r="K70" s="25"/>
      <c r="L70" s="33">
        <f>L69-E69</f>
        <v>20236.02</v>
      </c>
      <c r="M70" s="25"/>
      <c r="N70" s="59">
        <f>SUM(N64:N69)</f>
        <v>-2168.996455333333</v>
      </c>
      <c r="O70" s="25"/>
      <c r="P70" s="33">
        <f>P69-I69</f>
        <v>-1124.2763780000005</v>
      </c>
      <c r="R70" s="23"/>
      <c r="S70" s="23"/>
    </row>
    <row r="71" spans="1:26" x14ac:dyDescent="0.25">
      <c r="A71" s="7"/>
      <c r="B71" s="7"/>
      <c r="D71" s="25"/>
      <c r="E71" s="23"/>
      <c r="F71" s="25"/>
      <c r="G71" s="25"/>
      <c r="H71" s="25"/>
      <c r="J71" s="8"/>
      <c r="K71" s="25"/>
      <c r="L71" s="28"/>
      <c r="M71" s="25"/>
      <c r="N71" s="58"/>
      <c r="O71" s="25"/>
      <c r="P71" s="25"/>
      <c r="R71" s="23"/>
      <c r="S71" s="23"/>
    </row>
    <row r="72" spans="1:26" x14ac:dyDescent="0.25">
      <c r="A72" s="7" t="s">
        <v>50</v>
      </c>
      <c r="B72" s="35" t="s">
        <v>13</v>
      </c>
      <c r="C72" s="36" t="s">
        <v>51</v>
      </c>
      <c r="D72" s="37">
        <f>SUM('[1]Paste Special WA 5yr'!D30)/12</f>
        <v>30235.661500000002</v>
      </c>
      <c r="E72" s="36"/>
      <c r="F72" s="37">
        <f>SUM('[1]Paste Special WA 5yr'!F30)/12</f>
        <v>22754.826499999999</v>
      </c>
      <c r="G72" s="36"/>
      <c r="H72" s="37">
        <f>SUM('[1]Paste Special WA 5yr'!H30)/12</f>
        <v>7480.835</v>
      </c>
      <c r="I72" s="36"/>
      <c r="J72" s="8"/>
      <c r="K72" s="37">
        <v>35751.360000000001</v>
      </c>
      <c r="L72" s="36"/>
      <c r="M72" s="37">
        <f t="shared" ref="M72" si="30">SUM(K72*$M$54)</f>
        <v>26774.193504000003</v>
      </c>
      <c r="N72" s="58">
        <f t="shared" ref="N72" si="31">M72-F72</f>
        <v>4019.3670040000034</v>
      </c>
      <c r="O72" s="37">
        <f t="shared" ref="O72" si="32">SUM(K72*$O$54)</f>
        <v>8977.1664959999998</v>
      </c>
      <c r="P72" s="36"/>
      <c r="R72" s="23">
        <f>D72-F72-H72</f>
        <v>0</v>
      </c>
      <c r="S72" s="23">
        <f>K72-M72-O72</f>
        <v>0</v>
      </c>
    </row>
    <row r="73" spans="1:26" x14ac:dyDescent="0.25">
      <c r="A73" s="7"/>
      <c r="B73" s="7"/>
      <c r="D73" s="25"/>
      <c r="F73" s="25"/>
      <c r="G73" s="25"/>
      <c r="H73" s="25"/>
      <c r="J73" s="8"/>
      <c r="K73" s="25"/>
      <c r="L73" s="38">
        <f>K72-D72</f>
        <v>5515.6984999999986</v>
      </c>
      <c r="M73" s="25"/>
      <c r="N73" s="59">
        <f>SUM(N72)</f>
        <v>4019.3670040000034</v>
      </c>
      <c r="O73" s="25"/>
      <c r="P73" s="38">
        <f>O72-H72</f>
        <v>1496.3314959999998</v>
      </c>
      <c r="Q73" s="28"/>
      <c r="R73" s="23"/>
      <c r="S73" s="23"/>
    </row>
    <row r="74" spans="1:26" x14ac:dyDescent="0.25">
      <c r="A74" s="7"/>
      <c r="B74" s="7"/>
      <c r="D74" s="25"/>
      <c r="F74" s="25"/>
      <c r="G74" s="25"/>
      <c r="H74" s="25"/>
      <c r="J74" s="8"/>
      <c r="K74" s="25"/>
      <c r="L74" s="28"/>
      <c r="M74" s="25"/>
      <c r="N74" s="59"/>
      <c r="O74" s="25"/>
      <c r="P74" s="2"/>
      <c r="Q74" s="28"/>
      <c r="R74" s="23"/>
      <c r="S74" s="23"/>
    </row>
    <row r="75" spans="1:26" x14ac:dyDescent="0.25">
      <c r="A75" s="7" t="s">
        <v>52</v>
      </c>
      <c r="B75" s="39" t="s">
        <v>13</v>
      </c>
      <c r="C75" s="40" t="s">
        <v>53</v>
      </c>
      <c r="D75" s="41">
        <f>SUM('[1]Paste Special WA 5yr'!D33)/12</f>
        <v>158545.38866666667</v>
      </c>
      <c r="E75" s="40"/>
      <c r="F75" s="41">
        <f>SUM('[1]Paste Special WA 5yr'!F33)/12</f>
        <v>117254.6565</v>
      </c>
      <c r="G75" s="40"/>
      <c r="H75" s="41">
        <f>SUM('[1]Paste Special WA 5yr'!H33)/12</f>
        <v>41290.732166666668</v>
      </c>
      <c r="I75" s="40"/>
      <c r="J75" s="8"/>
      <c r="K75" s="41">
        <v>185122.35</v>
      </c>
      <c r="L75" s="40"/>
      <c r="M75" s="41">
        <f t="shared" ref="M75" si="33">SUM(K75*$M$54)</f>
        <v>138638.12791500002</v>
      </c>
      <c r="N75" s="60">
        <v>-6092.3722222222223</v>
      </c>
      <c r="O75" s="41">
        <f t="shared" ref="O75" si="34">SUM(K75*$O$54)</f>
        <v>46484.222085000001</v>
      </c>
      <c r="P75" s="40"/>
      <c r="R75" s="23">
        <f>D75-F75-H75</f>
        <v>0</v>
      </c>
      <c r="S75" s="23">
        <f>K75-M75-O75</f>
        <v>0</v>
      </c>
      <c r="T75" s="43" t="s">
        <v>54</v>
      </c>
      <c r="U75" s="43"/>
      <c r="V75" s="44"/>
      <c r="W75" s="44"/>
      <c r="X75" s="44"/>
      <c r="Y75" s="44"/>
      <c r="Z75" s="44"/>
    </row>
    <row r="76" spans="1:26" x14ac:dyDescent="0.25">
      <c r="A76" s="7"/>
      <c r="B76" s="7"/>
      <c r="D76" s="25"/>
      <c r="E76" s="23"/>
      <c r="F76" s="25"/>
      <c r="G76" s="25"/>
      <c r="H76" s="25"/>
      <c r="J76" s="8"/>
      <c r="K76" s="25"/>
      <c r="L76" s="45">
        <f>K75-D75</f>
        <v>26576.96133333334</v>
      </c>
      <c r="M76" s="25"/>
      <c r="N76" s="59">
        <f>SUM(N75)</f>
        <v>-6092.3722222222223</v>
      </c>
      <c r="O76" s="25"/>
      <c r="P76" s="45">
        <f>O75-H75</f>
        <v>5193.4899183333328</v>
      </c>
      <c r="Q76" s="28"/>
      <c r="R76" s="23"/>
      <c r="S76" s="23"/>
      <c r="T76" s="44" t="s">
        <v>55</v>
      </c>
      <c r="U76" s="44"/>
      <c r="V76" s="44"/>
    </row>
    <row r="77" spans="1:26" x14ac:dyDescent="0.25">
      <c r="A77" s="7"/>
      <c r="B77" s="7"/>
      <c r="D77" s="25"/>
      <c r="E77" s="23"/>
      <c r="F77" s="25"/>
      <c r="G77" s="25"/>
      <c r="H77" s="25"/>
      <c r="J77" s="8"/>
      <c r="K77" s="25"/>
      <c r="L77" s="28"/>
      <c r="M77" s="25"/>
      <c r="N77" s="59"/>
      <c r="O77" s="25"/>
      <c r="P77" s="2"/>
      <c r="Q77" s="28"/>
      <c r="R77" s="23"/>
      <c r="S77" s="23"/>
    </row>
    <row r="78" spans="1:26" x14ac:dyDescent="0.25">
      <c r="A78" s="7" t="s">
        <v>56</v>
      </c>
      <c r="B78" s="46" t="s">
        <v>13</v>
      </c>
      <c r="C78" s="47" t="s">
        <v>57</v>
      </c>
      <c r="D78" s="48">
        <f>SUM('[1]Paste Special WA 5yr'!D36)/12</f>
        <v>21244.650333333335</v>
      </c>
      <c r="E78" s="48"/>
      <c r="F78" s="48">
        <f>SUM('[1]Paste Special WA 5yr'!F36)/12</f>
        <v>16000.9475</v>
      </c>
      <c r="G78" s="48"/>
      <c r="H78" s="48">
        <f>SUM('[1]Paste Special WA 5yr'!H36)/12</f>
        <v>5243.7028333333328</v>
      </c>
      <c r="I78" s="47"/>
      <c r="J78" s="8"/>
      <c r="K78" s="48">
        <v>12859.96</v>
      </c>
      <c r="L78" s="47"/>
      <c r="M78" s="48">
        <f t="shared" ref="M78" si="35">SUM(K78*$M$54)</f>
        <v>9630.824043999999</v>
      </c>
      <c r="N78" s="58">
        <f t="shared" ref="N78" si="36">M78-F78</f>
        <v>-6370.1234560000012</v>
      </c>
      <c r="O78" s="48">
        <f t="shared" ref="O78" si="37">SUM(K78*$O$54)</f>
        <v>3229.1359559999996</v>
      </c>
      <c r="P78" s="47"/>
      <c r="R78" s="23">
        <f>D78-F78-H78</f>
        <v>0</v>
      </c>
      <c r="S78" s="23">
        <f t="shared" ref="S78" si="38">K78-M78-O78</f>
        <v>0</v>
      </c>
    </row>
    <row r="79" spans="1:26" x14ac:dyDescent="0.25">
      <c r="A79" s="7"/>
      <c r="B79" s="7"/>
      <c r="D79" s="2"/>
      <c r="F79" s="2"/>
      <c r="G79" s="25"/>
      <c r="H79" s="2"/>
      <c r="J79" s="8"/>
      <c r="K79" s="2"/>
      <c r="L79" s="49">
        <f>K78-D78</f>
        <v>-8384.6903333333357</v>
      </c>
      <c r="M79" s="2"/>
      <c r="N79" s="59">
        <f>SUM(N78)</f>
        <v>-6370.1234560000012</v>
      </c>
      <c r="O79" s="2"/>
      <c r="P79" s="49">
        <f>O78-H78</f>
        <v>-2014.5668773333332</v>
      </c>
      <c r="Q79" s="28"/>
      <c r="R79" s="23"/>
      <c r="S79" s="23"/>
    </row>
    <row r="80" spans="1:26" x14ac:dyDescent="0.25">
      <c r="H80" s="23" t="s">
        <v>58</v>
      </c>
      <c r="K80" s="50">
        <v>80959.37</v>
      </c>
      <c r="M80" s="2"/>
      <c r="N80" s="59">
        <f>-K80*M54</f>
        <v>-60630.472192999994</v>
      </c>
      <c r="O80" s="2"/>
      <c r="R80" s="23"/>
      <c r="S80" s="23" t="s">
        <v>58</v>
      </c>
    </row>
    <row r="81" spans="11:14" x14ac:dyDescent="0.25">
      <c r="K81" s="16"/>
      <c r="N81" s="51">
        <f>N62+N70+N73+N76+N79+N80</f>
        <v>-113476.4662912222</v>
      </c>
    </row>
  </sheetData>
  <mergeCells count="4">
    <mergeCell ref="D11:F11"/>
    <mergeCell ref="K11:O11"/>
    <mergeCell ref="D53:F54"/>
    <mergeCell ref="K53:O53"/>
  </mergeCells>
  <pageMargins left="0.7" right="0.7" top="0.75" bottom="0.75" header="0.3" footer="0.3"/>
  <pageSetup scale="37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97A3B8E360FE040B2ACCDE0622B3ACE" ma:contentTypeVersion="52" ma:contentTypeDescription="" ma:contentTypeScope="" ma:versionID="aa484fb9eece5401a41ebf3df9ac1f3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150</IndustryCode>
    <CaseStatus xmlns="dc463f71-b30c-4ab2-9473-d307f9d35888">Closed</CaseStatus>
    <OpenedDate xmlns="dc463f71-b30c-4ab2-9473-d307f9d35888">2020-05-27T07:00:00+00:00</OpenedDate>
    <SignificantOrder xmlns="dc463f71-b30c-4ab2-9473-d307f9d35888">false</SignificantOrder>
    <Date1 xmlns="dc463f71-b30c-4ab2-9473-d307f9d35888">2023-07-25T07:00:00+00:00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200479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0F7E7ED-A7AB-4AE8-AF0C-55BADB5C56DB}"/>
</file>

<file path=customXml/itemProps2.xml><?xml version="1.0" encoding="utf-8"?>
<ds:datastoreItem xmlns:ds="http://schemas.openxmlformats.org/officeDocument/2006/customXml" ds:itemID="{F14BA617-487E-4685-B1BE-1D71FDE47BCD}"/>
</file>

<file path=customXml/itemProps3.xml><?xml version="1.0" encoding="utf-8"?>
<ds:datastoreItem xmlns:ds="http://schemas.openxmlformats.org/officeDocument/2006/customXml" ds:itemID="{818425A6-F6D3-4654-A91A-774B437736DF}"/>
</file>

<file path=customXml/itemProps4.xml><?xml version="1.0" encoding="utf-8"?>
<ds:datastoreItem xmlns:ds="http://schemas.openxmlformats.org/officeDocument/2006/customXml" ds:itemID="{AAD815A7-5A3F-4907-BB97-11176D6FBE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COVID-19</vt:lpstr>
      <vt:lpstr>JDE Export OR</vt:lpstr>
      <vt:lpstr>Savings Mar Accrual</vt:lpstr>
      <vt:lpstr>'COVID-19'!Print_Area</vt:lpstr>
      <vt:lpstr>'JDE Export OR'!Print_Area</vt:lpstr>
      <vt:lpstr>'Savings Mar Accrual'!Print_Area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Hoyle, Brian</dc:creator>
  <cp:lastModifiedBy>Gresham, Maryalice</cp:lastModifiedBy>
  <cp:lastPrinted>2023-01-25T23:36:58Z</cp:lastPrinted>
  <dcterms:created xsi:type="dcterms:W3CDTF">2021-04-28T21:51:49Z</dcterms:created>
  <dcterms:modified xsi:type="dcterms:W3CDTF">2023-07-19T21:03:04Z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14.8</vt:lpwstr>
  </property>
  <property fmtid="{D5CDD505-2E9C-101B-9397-08002B2CF9AE}" pid="3" name="ContentTypeId">
    <vt:lpwstr>0x0101006E56B4D1795A2E4DB2F0B01679ED314A00997A3B8E360FE040B2ACCDE0622B3ACE</vt:lpwstr>
  </property>
  <property fmtid="{D5CDD505-2E9C-101B-9397-08002B2CF9AE}" pid="4" name="_docset_NoMedatataSyncRequired">
    <vt:lpwstr>False</vt:lpwstr>
  </property>
</Properties>
</file>