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4.xml" ContentType="application/vnd.openxmlformats-officedocument.drawing+xml"/>
  <Override PartName="/xl/drawings/drawing3.xml" ContentType="application/vnd.openxmlformats-officedocument.drawing+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6.xml" ContentType="application/vnd.openxmlformats-officedocument.spreadsheetml.worksheet+xml"/>
  <Override PartName="/xl/styles.xml" ContentType="application/vnd.openxmlformats-officedocument.spreadsheetml.styles+xml"/>
  <Override PartName="/xl/worksheets/sheet5.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docProps/custom.xml" ContentType="application/vnd.openxmlformats-officedocument.custom-properties+xml"/>
  <Override PartName="/xl/externalLinks/externalLink1.xml" ContentType="application/vnd.openxmlformats-officedocument.spreadsheetml.externalLink+xml"/>
  <Override PartName="/docProps/app.xml" ContentType="application/vnd.openxmlformats-officedocument.extended-properties+xml"/>
  <Override PartName="/customXml/itemProps3.xml" ContentType="application/vnd.openxmlformats-officedocument.customXmlProperties+xml"/>
  <Override PartName="/xl/comments1.xml" ContentType="application/vnd.openxmlformats-officedocument.spreadsheetml.comments+xml"/>
  <Override PartName="/xl/ctrlProps/ctrlProp3.xml" ContentType="application/vnd.ms-excel.controlproperties+xml"/>
  <Override PartName="/xl/ctrlProps/ctrlProp2.xml" ContentType="application/vnd.ms-excel.controlproperties+xml"/>
  <Override PartName="/xl/ctrlProps/ctrlProp1.xml" ContentType="application/vnd.ms-excel.control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docProps/core.xml" ContentType="application/vnd.openxmlformats-package.core-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his Week\2. Tuesday\UE-132045 Avista\"/>
    </mc:Choice>
  </mc:AlternateContent>
  <bookViews>
    <workbookView xWindow="0" yWindow="0" windowWidth="16455" windowHeight="5730" tabRatio="719" activeTab="2"/>
  </bookViews>
  <sheets>
    <sheet name="Background" sheetId="21" r:id="rId1"/>
    <sheet name="Instructions - Revise 2014" sheetId="20" r:id="rId2"/>
    <sheet name="Conservation Report" sheetId="18" r:id="rId3"/>
    <sheet name="Renewables Report" sheetId="16" r:id="rId4"/>
    <sheet name="Renewable Cost Report" sheetId="23" r:id="rId5"/>
    <sheet name="Data" sheetId="19" state="hidden" r:id="rId6"/>
  </sheets>
  <externalReferences>
    <externalReference r:id="rId7"/>
  </externalReferences>
  <definedNames>
    <definedName name="CON_2014_Agriculture_Expend">'Conservation Report'!$D$22</definedName>
    <definedName name="CON_2014_Agriculture_MWH">'Conservation Report'!$C$22</definedName>
    <definedName name="CON_2014_Commercial_Expend">'Conservation Report'!$D$20</definedName>
    <definedName name="CON_2014_Commercial_MWH">'Conservation Report'!$C$20</definedName>
    <definedName name="CON_2014_Distribution_Expend">'Conservation Report'!$D$23</definedName>
    <definedName name="CON_2014_Distribution_MWH">'Conservation Report'!$C$23</definedName>
    <definedName name="CON_2014_Expenditures">'Conservation Report'!$D$31</definedName>
    <definedName name="CON_2014_Industrial_Expend">'Conservation Report'!$D$21</definedName>
    <definedName name="CON_2014_Industrial_MWH">'Conservation Report'!$C$21</definedName>
    <definedName name="CON_2014_MWH">'Conservation Report'!$C$31</definedName>
    <definedName name="CON_2014_NEEA_Expend">'Conservation Report'!$D$25</definedName>
    <definedName name="CON_2014_NEEA_MWH">'Conservation Report'!$C$25</definedName>
    <definedName name="CON_2014_OtherSector1_Expend">'Conservation Report'!$D$26</definedName>
    <definedName name="CON_2014_OtherSector1_MWH">'Conservation Report'!$C$26</definedName>
    <definedName name="CON_2014_OtherSector2_Expend">'Conservation Report'!$D$27</definedName>
    <definedName name="CON_2014_OtherSector2_MWH">'Conservation Report'!$C$27</definedName>
    <definedName name="CON_2014_Production_Expend">'Conservation Report'!$D$24</definedName>
    <definedName name="CON_2014_Production_MWH">'Conservation Report'!$C$24</definedName>
    <definedName name="CON_2014_Program1_Expend">'Conservation Report'!$D$29</definedName>
    <definedName name="CON_2014_Program2_Expend">'Conservation Report'!$D$30</definedName>
    <definedName name="CON_2014_Residential_Expend">'Conservation Report'!$D$19</definedName>
    <definedName name="CON_2014_Residential_MWH">'Conservation Report'!$C$19</definedName>
    <definedName name="CON_2015_Agriculture_Expend">'Conservation Report'!$G$22</definedName>
    <definedName name="CON_2015_Agriculture_MWH">'Conservation Report'!$F$22</definedName>
    <definedName name="CON_2015_Commercial_Expend">'Conservation Report'!$G$20</definedName>
    <definedName name="CON_2015_Commercial_MWH">'Conservation Report'!$F$20</definedName>
    <definedName name="CON_2015_Distribution_Expend">'Conservation Report'!$G$23</definedName>
    <definedName name="CON_2015_Distribution_MWH">'Conservation Report'!$F$23</definedName>
    <definedName name="CON_2015_Expenditures">'Conservation Report'!$G$31</definedName>
    <definedName name="CON_2015_Industrial_Expend">'Conservation Report'!$G$21</definedName>
    <definedName name="CON_2015_Industrial_MWH">'Conservation Report'!$F$21</definedName>
    <definedName name="CON_2015_MWH">'Conservation Report'!$F$31</definedName>
    <definedName name="CON_2015_NEEA_Expend">'Conservation Report'!$G$25</definedName>
    <definedName name="CON_2015_NEEA_MWH">'Conservation Report'!$F$25</definedName>
    <definedName name="CON_2015_OtherSector1_Expend">'Conservation Report'!$G$26</definedName>
    <definedName name="CON_2015_OtherSector1_MWH">'Conservation Report'!$F$26</definedName>
    <definedName name="CON_2015_OtherSector2_Expend">'Conservation Report'!$G$27</definedName>
    <definedName name="CON_2015_OtherSector2_MWH">'Conservation Report'!$F$27</definedName>
    <definedName name="CON_2015_Production_Expend">'Conservation Report'!$G$24</definedName>
    <definedName name="CON_2015_Production_MWH">'Conservation Report'!$F$24</definedName>
    <definedName name="CON_2015_Program1_Expend">'Conservation Report'!$G$29</definedName>
    <definedName name="CON_2015_Program2_Expend">'Conservation Report'!$G$30</definedName>
    <definedName name="CON_2015_Residential_Expend">'Conservation Report'!$G$19</definedName>
    <definedName name="CON_2015_Residential_MWH">'Conservation Report'!$F$19</definedName>
    <definedName name="CON_Contact_Name">'Conservation Report'!$B$7</definedName>
    <definedName name="CON_Email">'Conservation Report'!$B$9</definedName>
    <definedName name="CON_Phone">'Conservation Report'!$B$8</definedName>
    <definedName name="CON_Potential_2015_2023">'Conservation Report'!$A$14</definedName>
    <definedName name="CON_Potential_2016_2025">'Conservation Report'!$C$14</definedName>
    <definedName name="CON_Report_Date">'Conservation Report'!$B$6</definedName>
    <definedName name="CON_Target_2014_2015">'Conservation Report'!$B$14</definedName>
    <definedName name="CON_Target_2016_2017">'Conservation Report'!$D$14</definedName>
    <definedName name="CON_Utility_Name" localSheetId="0">'[1]Conservation Report'!$C$3:$E$3</definedName>
    <definedName name="CON_Utility_Name">'Conservation Report'!$B$5</definedName>
    <definedName name="_xlnm.Print_Area" localSheetId="2">'Conservation Report'!$A$3:$I$46</definedName>
    <definedName name="_xlnm.Print_Area" localSheetId="4">'Renewable Cost Report'!$A$3:$K$62</definedName>
    <definedName name="_xlnm.Print_Area" localSheetId="3">'Renewables Report'!$A$3:$N$116</definedName>
    <definedName name="REN_Contact_Name">'Renewables Report'!$B$7</definedName>
    <definedName name="REN_Email">'Renewables Report'!$B$9</definedName>
    <definedName name="REN_ERR_ApprenticeLabor">'Renewables Report'!$M$18</definedName>
    <definedName name="REN_ERR_Biodiesel">'Renewables Report'!$J$18</definedName>
    <definedName name="REN_ERR_Biomass">'Renewables Report'!$K$18</definedName>
    <definedName name="REN_ERR_Geothermal">'Renewables Report'!$F$18</definedName>
    <definedName name="REN_ERR_LandfillGas">'Renewables Report'!$G$18</definedName>
    <definedName name="REN_ERR_QBE">'Renewables Report'!$L$18</definedName>
    <definedName name="REN_ERR_SewageGas">'Renewables Report'!$I$18</definedName>
    <definedName name="REN_ERR_Solar">'Renewables Report'!$E$18</definedName>
    <definedName name="REN_ERR_Water">'Renewables Report'!$C$18</definedName>
    <definedName name="REN_ERR_Wind">'Renewables Report'!$D$18</definedName>
    <definedName name="REN_ERR_WOT">'Renewables Report'!$H$18</definedName>
    <definedName name="REN_Expenditure_Amount_2016">'Renewables Report'!$M$13</definedName>
    <definedName name="REN_Expenditure_Percent_2016">'Renewables Report'!$M$15</definedName>
    <definedName name="REN_Load_2014">'Renewables Report'!$M$5</definedName>
    <definedName name="REN_Load_2015">'Renewables Report'!$M$6</definedName>
    <definedName name="REN_REC_ApprenticeLabor">'Renewables Report'!$M$19</definedName>
    <definedName name="REN_REC_Biodiesel">'Renewables Report'!$J$19</definedName>
    <definedName name="REN_REC_Biomass">'Renewables Report'!$K$19</definedName>
    <definedName name="REN_REC_DistributedGeneration">'Renewables Report'!$N$19</definedName>
    <definedName name="REN_REC_Geothermal">'Renewables Report'!$F$19</definedName>
    <definedName name="REN_REC_LandfillGas">'Renewables Report'!$G$19</definedName>
    <definedName name="REN_REC_QBE">'Renewables Report'!$L$19</definedName>
    <definedName name="REN_REC_SewageGas">'Renewables Report'!$I$19</definedName>
    <definedName name="REN_REC_Solar">'Renewables Report'!$E$19</definedName>
    <definedName name="REN_REC_Wind">'Renewables Report'!$D$19</definedName>
    <definedName name="REN_REC_WOT">'Renewables Report'!$H$19</definedName>
    <definedName name="REN_RetailRevenueRequirement_2016">'Renewables Report'!$M$14</definedName>
    <definedName name="REN_Submittal_Date">'Renewables Report'!$B$6</definedName>
    <definedName name="REN_Total_2016">'Renewables Report'!$M$10</definedName>
    <definedName name="REN_Utility_Name">'Renewables Report'!$B$5</definedName>
    <definedName name="ResourceType">Data!$A$6:$A$15</definedName>
    <definedName name="ResourceType_REC">Data!$A$7:$A$15</definedName>
  </definedNames>
  <calcPr calcId="152511"/>
</workbook>
</file>

<file path=xl/calcChain.xml><?xml version="1.0" encoding="utf-8"?>
<calcChain xmlns="http://schemas.openxmlformats.org/spreadsheetml/2006/main">
  <c r="G29" i="18" l="1"/>
  <c r="G19" i="18" l="1"/>
  <c r="D29" i="18" l="1"/>
  <c r="D19" i="18"/>
  <c r="G8" i="18" l="1"/>
  <c r="I69" i="16"/>
  <c r="I70" i="16"/>
  <c r="I71" i="16"/>
  <c r="I72" i="16"/>
  <c r="I73" i="16"/>
  <c r="I74" i="16"/>
  <c r="I75" i="16"/>
  <c r="I76" i="16"/>
  <c r="I77" i="16"/>
  <c r="I78" i="16"/>
  <c r="I79" i="16"/>
  <c r="I80" i="16"/>
  <c r="I81" i="16"/>
  <c r="I82" i="16"/>
  <c r="I83" i="16"/>
  <c r="I84" i="16"/>
  <c r="I85" i="16"/>
  <c r="I86" i="16"/>
  <c r="I87" i="16"/>
  <c r="I88" i="16"/>
  <c r="I89" i="16"/>
  <c r="I90" i="16"/>
  <c r="I91" i="16"/>
  <c r="I68" i="16"/>
  <c r="I67" i="16"/>
  <c r="C18" i="16"/>
  <c r="C20" i="16" s="1"/>
  <c r="D39" i="23"/>
  <c r="D40" i="23"/>
  <c r="D41" i="23"/>
  <c r="D42" i="23"/>
  <c r="D43" i="23"/>
  <c r="D44" i="23"/>
  <c r="D45" i="23"/>
  <c r="D46" i="23"/>
  <c r="D47" i="23"/>
  <c r="D48" i="23"/>
  <c r="D49" i="23"/>
  <c r="D50" i="23"/>
  <c r="D51" i="23"/>
  <c r="D52" i="23"/>
  <c r="D53" i="23"/>
  <c r="D54" i="23"/>
  <c r="D55" i="23"/>
  <c r="D56" i="23"/>
  <c r="D57" i="23"/>
  <c r="D58" i="23"/>
  <c r="D59" i="23"/>
  <c r="D60" i="23"/>
  <c r="D61" i="23"/>
  <c r="D38" i="23"/>
  <c r="D37" i="23"/>
  <c r="C11" i="23"/>
  <c r="C12" i="23"/>
  <c r="C13" i="23"/>
  <c r="C14" i="23"/>
  <c r="C15" i="23"/>
  <c r="C16" i="23"/>
  <c r="C17" i="23"/>
  <c r="C18" i="23"/>
  <c r="C19" i="23"/>
  <c r="C20" i="23"/>
  <c r="C21" i="23"/>
  <c r="C22" i="23"/>
  <c r="C23" i="23"/>
  <c r="C24" i="23"/>
  <c r="C25" i="23"/>
  <c r="C26" i="23"/>
  <c r="C27" i="23"/>
  <c r="C28" i="23"/>
  <c r="C29" i="23"/>
  <c r="C10" i="23"/>
  <c r="C9" i="23"/>
  <c r="E19" i="16"/>
  <c r="F19" i="16"/>
  <c r="G19" i="16"/>
  <c r="H19" i="16"/>
  <c r="I19" i="16"/>
  <c r="J19" i="16"/>
  <c r="K19" i="16"/>
  <c r="L19" i="16"/>
  <c r="BZ2" i="19" s="1"/>
  <c r="D19" i="16"/>
  <c r="D18" i="16"/>
  <c r="E18" i="16"/>
  <c r="F18" i="16"/>
  <c r="G18" i="16"/>
  <c r="H18" i="16"/>
  <c r="I18" i="16"/>
  <c r="J18" i="16"/>
  <c r="K18" i="16"/>
  <c r="L18" i="16"/>
  <c r="BJ2" i="19" s="1"/>
  <c r="H91" i="16"/>
  <c r="H68" i="16"/>
  <c r="H69" i="16"/>
  <c r="H70" i="16"/>
  <c r="H71" i="16"/>
  <c r="H72" i="16"/>
  <c r="H73" i="16"/>
  <c r="H74" i="16"/>
  <c r="H75" i="16"/>
  <c r="H76" i="16"/>
  <c r="H77" i="16"/>
  <c r="H78" i="16"/>
  <c r="H79" i="16"/>
  <c r="H80" i="16"/>
  <c r="H81" i="16"/>
  <c r="H82" i="16"/>
  <c r="H83" i="16"/>
  <c r="H84" i="16"/>
  <c r="H85" i="16"/>
  <c r="H86" i="16"/>
  <c r="H87" i="16"/>
  <c r="H88" i="16"/>
  <c r="H89" i="16"/>
  <c r="H90" i="16"/>
  <c r="H67" i="16"/>
  <c r="F41" i="16"/>
  <c r="F42" i="16"/>
  <c r="F43" i="16"/>
  <c r="F44" i="16"/>
  <c r="F45" i="16"/>
  <c r="F46" i="16"/>
  <c r="F47" i="16"/>
  <c r="F48" i="16"/>
  <c r="F49" i="16"/>
  <c r="F50" i="16"/>
  <c r="F51" i="16"/>
  <c r="F52" i="16"/>
  <c r="F53" i="16"/>
  <c r="F54" i="16"/>
  <c r="F55" i="16"/>
  <c r="F56" i="16"/>
  <c r="F57" i="16"/>
  <c r="F58" i="16"/>
  <c r="F59" i="16"/>
  <c r="F60" i="16"/>
  <c r="F40" i="16"/>
  <c r="M19" i="16" l="1"/>
  <c r="N19" i="16"/>
  <c r="M18" i="16"/>
  <c r="CH2" i="19"/>
  <c r="CF2" i="19"/>
  <c r="CE2" i="19"/>
  <c r="BS2" i="19"/>
  <c r="BR2" i="19"/>
  <c r="BD2" i="19"/>
  <c r="BC2" i="19"/>
  <c r="BB2" i="19"/>
  <c r="BA2" i="19"/>
  <c r="AZ2" i="19"/>
  <c r="AY2" i="19"/>
  <c r="AX2" i="19"/>
  <c r="AW2" i="19"/>
  <c r="AV2" i="19"/>
  <c r="AU2" i="19"/>
  <c r="AT2" i="19"/>
  <c r="AS2" i="19"/>
  <c r="AR2" i="19"/>
  <c r="AQ2" i="19"/>
  <c r="AP2" i="19"/>
  <c r="AO2" i="19"/>
  <c r="AN2" i="19"/>
  <c r="AM2" i="19"/>
  <c r="AL2" i="19"/>
  <c r="AK2" i="19"/>
  <c r="AJ2" i="19"/>
  <c r="AI2" i="19"/>
  <c r="AH2" i="19"/>
  <c r="AF2" i="19"/>
  <c r="AE2" i="19"/>
  <c r="AC2" i="19"/>
  <c r="AB2" i="19"/>
  <c r="AA2" i="19"/>
  <c r="Z2" i="19"/>
  <c r="Y2" i="19"/>
  <c r="X2" i="19"/>
  <c r="W2" i="19"/>
  <c r="V2" i="19"/>
  <c r="U2" i="19"/>
  <c r="T2" i="19"/>
  <c r="S2" i="19"/>
  <c r="R2" i="19"/>
  <c r="Q2" i="19"/>
  <c r="P2" i="19"/>
  <c r="O2" i="19"/>
  <c r="N2" i="19"/>
  <c r="M2" i="19"/>
  <c r="L2" i="19"/>
  <c r="J2" i="19"/>
  <c r="I2" i="19"/>
  <c r="G2" i="19"/>
  <c r="F2" i="19"/>
  <c r="E2" i="19"/>
  <c r="D2" i="19"/>
  <c r="C2" i="19"/>
  <c r="B2" i="19"/>
  <c r="I8" i="18" l="1"/>
  <c r="G31" i="18"/>
  <c r="AD2" i="19" s="1"/>
  <c r="F31" i="18"/>
  <c r="AG2" i="19" s="1"/>
  <c r="F38" i="23" l="1"/>
  <c r="K9" i="23"/>
  <c r="F39" i="23"/>
  <c r="F40" i="23"/>
  <c r="F41" i="23"/>
  <c r="F42" i="23"/>
  <c r="F43" i="23"/>
  <c r="F44" i="23"/>
  <c r="F45" i="23"/>
  <c r="F46" i="23"/>
  <c r="F47" i="23"/>
  <c r="F48" i="23"/>
  <c r="F49" i="23"/>
  <c r="F50" i="23"/>
  <c r="F51" i="23"/>
  <c r="F52" i="23"/>
  <c r="F53" i="23"/>
  <c r="F54" i="23"/>
  <c r="F55" i="23"/>
  <c r="F56" i="23"/>
  <c r="F57" i="23"/>
  <c r="F58" i="23"/>
  <c r="F59" i="23"/>
  <c r="F60" i="23"/>
  <c r="F61" i="23"/>
  <c r="F37" i="23"/>
  <c r="K29" i="23" l="1"/>
  <c r="K28" i="23"/>
  <c r="K27" i="23"/>
  <c r="K26" i="23"/>
  <c r="K25" i="23"/>
  <c r="K24" i="23"/>
  <c r="K23" i="23"/>
  <c r="K22" i="23"/>
  <c r="K21" i="23"/>
  <c r="K20" i="23"/>
  <c r="K19" i="23"/>
  <c r="K18" i="23"/>
  <c r="K17" i="23"/>
  <c r="K16" i="23"/>
  <c r="K15" i="23"/>
  <c r="K14" i="23"/>
  <c r="K13" i="23"/>
  <c r="K12" i="23"/>
  <c r="K11" i="23"/>
  <c r="K10" i="23"/>
  <c r="E62" i="23" l="1"/>
  <c r="C61" i="23"/>
  <c r="B61" i="23"/>
  <c r="C60" i="23"/>
  <c r="B60" i="23"/>
  <c r="C59" i="23"/>
  <c r="B59" i="23"/>
  <c r="C58" i="23"/>
  <c r="B58" i="23"/>
  <c r="C57" i="23"/>
  <c r="B57" i="23"/>
  <c r="C56" i="23"/>
  <c r="B56" i="23"/>
  <c r="C55" i="23"/>
  <c r="B55" i="23"/>
  <c r="C54" i="23"/>
  <c r="B54" i="23"/>
  <c r="C53" i="23"/>
  <c r="B53" i="23"/>
  <c r="C52" i="23"/>
  <c r="B52" i="23"/>
  <c r="C51" i="23"/>
  <c r="B51" i="23"/>
  <c r="C50" i="23"/>
  <c r="B50" i="23"/>
  <c r="C49" i="23"/>
  <c r="B49" i="23"/>
  <c r="C48" i="23"/>
  <c r="B48" i="23"/>
  <c r="C47" i="23"/>
  <c r="B47" i="23"/>
  <c r="C46" i="23"/>
  <c r="B46" i="23"/>
  <c r="C45" i="23"/>
  <c r="B45" i="23"/>
  <c r="C44" i="23"/>
  <c r="B44" i="23"/>
  <c r="C43" i="23"/>
  <c r="B43" i="23"/>
  <c r="C42" i="23"/>
  <c r="B42" i="23"/>
  <c r="C41" i="23"/>
  <c r="B41" i="23"/>
  <c r="C40" i="23"/>
  <c r="B40" i="23"/>
  <c r="C39" i="23"/>
  <c r="B39" i="23"/>
  <c r="C38" i="23"/>
  <c r="B38" i="23"/>
  <c r="C37" i="23"/>
  <c r="B37" i="23"/>
  <c r="A61" i="23"/>
  <c r="A60" i="23"/>
  <c r="A59" i="23"/>
  <c r="A58" i="23"/>
  <c r="A57" i="23"/>
  <c r="A56" i="23"/>
  <c r="A55" i="23"/>
  <c r="A54" i="23"/>
  <c r="A53" i="23"/>
  <c r="A52" i="23"/>
  <c r="A51" i="23"/>
  <c r="A50" i="23"/>
  <c r="A49" i="23"/>
  <c r="A48" i="23"/>
  <c r="A47" i="23"/>
  <c r="A46" i="23"/>
  <c r="A45" i="23"/>
  <c r="A44" i="23"/>
  <c r="A43" i="23"/>
  <c r="A42" i="23"/>
  <c r="A41" i="23"/>
  <c r="A40" i="23"/>
  <c r="A39" i="23"/>
  <c r="A38" i="23"/>
  <c r="A37" i="23"/>
  <c r="D30" i="23"/>
  <c r="I30" i="23"/>
  <c r="E10" i="23"/>
  <c r="J11" i="23"/>
  <c r="E12" i="23"/>
  <c r="J13" i="23"/>
  <c r="J14" i="23"/>
  <c r="J15" i="23"/>
  <c r="E16" i="23"/>
  <c r="J17" i="23"/>
  <c r="J18" i="23"/>
  <c r="J19" i="23"/>
  <c r="E20" i="23"/>
  <c r="E21" i="23"/>
  <c r="J22" i="23"/>
  <c r="J23" i="23"/>
  <c r="E24" i="23"/>
  <c r="J25" i="23"/>
  <c r="E26" i="23"/>
  <c r="J27" i="23"/>
  <c r="E28" i="23"/>
  <c r="E29" i="23"/>
  <c r="E9" i="23"/>
  <c r="J28" i="23" l="1"/>
  <c r="J12" i="23"/>
  <c r="J20" i="23"/>
  <c r="K30" i="23"/>
  <c r="M13" i="16" s="1"/>
  <c r="BP2" i="19" s="1"/>
  <c r="J10" i="23"/>
  <c r="J26" i="23"/>
  <c r="E22" i="23"/>
  <c r="J9" i="23"/>
  <c r="J16" i="23"/>
  <c r="J24" i="23"/>
  <c r="C30" i="23"/>
  <c r="E14" i="23"/>
  <c r="E25" i="23"/>
  <c r="E17" i="23"/>
  <c r="J21" i="23"/>
  <c r="J29" i="23"/>
  <c r="E27" i="23"/>
  <c r="E23" i="23"/>
  <c r="E15" i="23"/>
  <c r="E11" i="23"/>
  <c r="E13" i="23"/>
  <c r="A9" i="23"/>
  <c r="B9" i="23"/>
  <c r="A10" i="23"/>
  <c r="B10" i="23"/>
  <c r="A11" i="23"/>
  <c r="B11" i="23"/>
  <c r="A12" i="23"/>
  <c r="B12" i="23"/>
  <c r="A13" i="23"/>
  <c r="B13" i="23"/>
  <c r="A14" i="23"/>
  <c r="B14" i="23"/>
  <c r="A15" i="23"/>
  <c r="B15" i="23"/>
  <c r="A16" i="23"/>
  <c r="B16" i="23"/>
  <c r="A17" i="23"/>
  <c r="B17" i="23"/>
  <c r="A18" i="23"/>
  <c r="B18" i="23"/>
  <c r="A19" i="23"/>
  <c r="B19" i="23"/>
  <c r="A20" i="23"/>
  <c r="B20" i="23"/>
  <c r="A21" i="23"/>
  <c r="B21" i="23"/>
  <c r="A22" i="23"/>
  <c r="B22" i="23"/>
  <c r="A23" i="23"/>
  <c r="B23" i="23"/>
  <c r="A24" i="23"/>
  <c r="B24" i="23"/>
  <c r="A25" i="23"/>
  <c r="B25" i="23"/>
  <c r="A26" i="23"/>
  <c r="B26" i="23"/>
  <c r="A27" i="23"/>
  <c r="B27" i="23"/>
  <c r="A28" i="23"/>
  <c r="B28" i="23"/>
  <c r="A29" i="23"/>
  <c r="B29" i="23"/>
  <c r="E5" i="23"/>
  <c r="E32" i="23" s="1"/>
  <c r="N5" i="21" l="1"/>
  <c r="N7" i="20"/>
  <c r="M7" i="16"/>
  <c r="M9" i="16" s="1"/>
  <c r="A2" i="19" l="1"/>
  <c r="M15" i="16" l="1"/>
  <c r="BQ2" i="19" s="1"/>
  <c r="BM2" i="19" l="1"/>
  <c r="BN2" i="19"/>
  <c r="BL2" i="19"/>
  <c r="BH2" i="19"/>
  <c r="BI2" i="19"/>
  <c r="BO2" i="19"/>
  <c r="BK2" i="19"/>
  <c r="BF2" i="19"/>
  <c r="BG2" i="19"/>
  <c r="BE2" i="19"/>
  <c r="B33" i="18" l="1"/>
  <c r="D31" i="18" l="1"/>
  <c r="H2" i="19" s="1"/>
  <c r="C31" i="18"/>
  <c r="K2" i="19" l="1"/>
  <c r="G9" i="18"/>
  <c r="G10" i="18" s="1"/>
  <c r="BW2" i="19"/>
  <c r="N20" i="16" l="1"/>
  <c r="E93" i="16"/>
  <c r="BT2" i="19"/>
  <c r="E62" i="16"/>
  <c r="E36" i="16"/>
  <c r="BV2" i="19"/>
  <c r="BU2" i="19"/>
  <c r="CA2" i="19"/>
  <c r="CD2" i="19"/>
  <c r="BY2" i="19"/>
  <c r="BX2" i="19"/>
  <c r="CB2" i="19"/>
  <c r="CC2" i="19"/>
  <c r="F20" i="16" l="1"/>
  <c r="J20" i="16"/>
  <c r="E20" i="16"/>
  <c r="G20" i="16"/>
  <c r="I20" i="16"/>
  <c r="H20" i="16"/>
  <c r="M20" i="16"/>
  <c r="D20" i="16"/>
  <c r="K20" i="16"/>
  <c r="M10" i="16" l="1"/>
  <c r="CG2" i="19" s="1"/>
</calcChain>
</file>

<file path=xl/comments1.xml><?xml version="1.0" encoding="utf-8"?>
<comments xmlns="http://schemas.openxmlformats.org/spreadsheetml/2006/main">
  <authors>
    <author>Blackmon, Glenn (COM)</author>
  </authors>
  <commentList>
    <comment ref="A11" authorId="0" shapeId="0">
      <text>
        <r>
          <rPr>
            <sz val="9"/>
            <color indexed="81"/>
            <rFont val="Tahoma"/>
            <family val="2"/>
          </rPr>
          <t xml:space="preserve">Utilities selecting the Resource Cost or No Load Growth methods must submit additional information. See details in WAC 194-37-110.
</t>
        </r>
      </text>
    </comment>
    <comment ref="K17" authorId="0" shapeId="0">
      <text>
        <r>
          <rPr>
            <b/>
            <sz val="9"/>
            <color indexed="81"/>
            <rFont val="Tahoma"/>
            <family val="2"/>
          </rPr>
          <t>NOTE:</t>
        </r>
        <r>
          <rPr>
            <sz val="9"/>
            <color indexed="81"/>
            <rFont val="Tahoma"/>
            <family val="2"/>
          </rPr>
          <t xml:space="preserve"> Biomass energy is electricity from a biomass-fueled generating facility that commenced operation after March 31, 1999, and meets other legal requirements. 
</t>
        </r>
      </text>
    </comment>
    <comment ref="L17" authorId="0" shapeId="0">
      <text>
        <r>
          <rPr>
            <b/>
            <sz val="9"/>
            <color indexed="81"/>
            <rFont val="Tahoma"/>
            <family val="2"/>
          </rPr>
          <t xml:space="preserve">NOTE: </t>
        </r>
        <r>
          <rPr>
            <sz val="9"/>
            <color indexed="81"/>
            <rFont val="Tahoma"/>
            <family val="2"/>
          </rPr>
          <t>Qualified biomass energy is defined as electricity generated using biomass at a facility that commenced operation before March 31, 1999.
DO NOT report qualified biomass energy in the "biomass energy" column.</t>
        </r>
      </text>
    </comment>
  </commentList>
</comments>
</file>

<file path=xl/sharedStrings.xml><?xml version="1.0" encoding="utf-8"?>
<sst xmlns="http://schemas.openxmlformats.org/spreadsheetml/2006/main" count="381" uniqueCount="239">
  <si>
    <t>Utility Contact Name/Dept</t>
  </si>
  <si>
    <t>Phone</t>
  </si>
  <si>
    <t>Email</t>
  </si>
  <si>
    <t>Achievement</t>
  </si>
  <si>
    <t>Utility</t>
  </si>
  <si>
    <t xml:space="preserve"> NEEA</t>
  </si>
  <si>
    <t>Total</t>
  </si>
  <si>
    <t>MWh</t>
  </si>
  <si>
    <t>Utility Expenditures ($)</t>
  </si>
  <si>
    <t xml:space="preserve"> Residential </t>
  </si>
  <si>
    <t xml:space="preserve"> Commercial</t>
  </si>
  <si>
    <t xml:space="preserve"> Industrial</t>
  </si>
  <si>
    <t xml:space="preserve"> Agriculture</t>
  </si>
  <si>
    <t>Compliance Year</t>
  </si>
  <si>
    <t>Water</t>
  </si>
  <si>
    <t>Wind</t>
  </si>
  <si>
    <t>Landfill Gas</t>
  </si>
  <si>
    <t>Gas from Sewage Treatment</t>
  </si>
  <si>
    <t>Renewable Energy Credits</t>
  </si>
  <si>
    <t>Facility Name</t>
  </si>
  <si>
    <t xml:space="preserve"> Distribution Efficiency</t>
  </si>
  <si>
    <t xml:space="preserve"> Production Efficiency</t>
  </si>
  <si>
    <t>Renewable Resources</t>
  </si>
  <si>
    <t>Wave, Ocean, Tidal</t>
  </si>
  <si>
    <t>Conservation by Sector</t>
  </si>
  <si>
    <t>Eligible Renewable Resources (MWh)</t>
  </si>
  <si>
    <t>Loads and Resources</t>
  </si>
  <si>
    <t>Select</t>
  </si>
  <si>
    <t xml:space="preserve">19.285.040 (2)(b) Renewables Target </t>
  </si>
  <si>
    <t>19.285.040 (2)(d) No Load Growth</t>
  </si>
  <si>
    <t xml:space="preserve">19.285.050 Incremental Resource Cost  </t>
  </si>
  <si>
    <t>WREGIS ID</t>
  </si>
  <si>
    <t>MWh equiv.</t>
  </si>
  <si>
    <r>
      <t xml:space="preserve"> </t>
    </r>
    <r>
      <rPr>
        <b/>
        <sz val="10"/>
        <color theme="1"/>
        <rFont val="Arial"/>
        <family val="2"/>
      </rPr>
      <t>Planning</t>
    </r>
  </si>
  <si>
    <r>
      <t xml:space="preserve">Conservation expenditures </t>
    </r>
    <r>
      <rPr>
        <i/>
        <sz val="10"/>
        <color theme="1"/>
        <rFont val="Arial"/>
        <family val="2"/>
      </rPr>
      <t xml:space="preserve">NOT </t>
    </r>
    <r>
      <rPr>
        <sz val="10"/>
        <color theme="1"/>
        <rFont val="Arial"/>
        <family val="2"/>
      </rPr>
      <t>included in sector expenditures</t>
    </r>
  </si>
  <si>
    <t>2014 - 2015 Planning</t>
  </si>
  <si>
    <t>2014 - 2015 Target (MWh)</t>
  </si>
  <si>
    <t>2014-2023 Ten Year Potential (MWh)</t>
  </si>
  <si>
    <t>Documentation of the calculation and inputs for percentage of revenue requirement invested in renewables:</t>
  </si>
  <si>
    <t>Other notes and explanations:</t>
  </si>
  <si>
    <t>Contact Name/Dept</t>
  </si>
  <si>
    <t>Report Date</t>
  </si>
  <si>
    <t>CON_Contact_Name</t>
  </si>
  <si>
    <t>CON_Email</t>
  </si>
  <si>
    <t>CON_Phone</t>
  </si>
  <si>
    <t>CON_Report_Date</t>
  </si>
  <si>
    <t>CON_Utility_Name</t>
  </si>
  <si>
    <t>REN_Contact_Name</t>
  </si>
  <si>
    <t>REN_Email</t>
  </si>
  <si>
    <t>REN_Submittal_Date</t>
  </si>
  <si>
    <t>REN_Utility_Name</t>
  </si>
  <si>
    <t>CON_Target_2014_2015</t>
  </si>
  <si>
    <t>REN_ERR_ApprenticeLabor</t>
  </si>
  <si>
    <t>REN_ERR_Biodiesel</t>
  </si>
  <si>
    <t>REN_ERR_Biomass</t>
  </si>
  <si>
    <t>REN_ERR_Geothermal</t>
  </si>
  <si>
    <t>REN_ERR_LandfillGas</t>
  </si>
  <si>
    <t>REN_ERR_SewageGas</t>
  </si>
  <si>
    <t>REN_ERR_Solar</t>
  </si>
  <si>
    <t>REN_ERR_Water</t>
  </si>
  <si>
    <t>REN_ERR_Wind</t>
  </si>
  <si>
    <t>REN_ERR_WOT</t>
  </si>
  <si>
    <t>REN_REC_ApprenticeLabor</t>
  </si>
  <si>
    <t>REN_REC_Biodiesel</t>
  </si>
  <si>
    <t>REN_REC_Biomass</t>
  </si>
  <si>
    <t>REN_REC_DistributedGeneration</t>
  </si>
  <si>
    <t>REN_REC_Geothermal</t>
  </si>
  <si>
    <t>REN_REC_LandfillGas</t>
  </si>
  <si>
    <t>REN_REC_SewageGas</t>
  </si>
  <si>
    <t>REN_REC_Solar</t>
  </si>
  <si>
    <t>REN_REC_Wind</t>
  </si>
  <si>
    <t>REN_REC_WOT</t>
  </si>
  <si>
    <t>Amount invested in incremental cost of eligible renewable resources and the cost of RECs</t>
  </si>
  <si>
    <t>Investment in renewables and RECs as a percent of retail revenue requirement</t>
  </si>
  <si>
    <t>2014 Achievement</t>
  </si>
  <si>
    <t>CON_2014_Agriculture_Expend</t>
  </si>
  <si>
    <t>CON_2014_Agriculture_MWH</t>
  </si>
  <si>
    <t>CON_2014_Commercial_Expend</t>
  </si>
  <si>
    <t>CON_2014_Commercial_MWH</t>
  </si>
  <si>
    <t>CON_2014_Distribution_Expend</t>
  </si>
  <si>
    <t>CON_2014_Distribution_MWH</t>
  </si>
  <si>
    <t>CON_2014_Expenditures</t>
  </si>
  <si>
    <t>CON_2014_Industrial_Expend</t>
  </si>
  <si>
    <t>CON_2014_Industrial_MWH</t>
  </si>
  <si>
    <t>CON_2014_MWH</t>
  </si>
  <si>
    <t>CON_2014_OtherSector1_Expend</t>
  </si>
  <si>
    <t>CON_2014_OtherSector1_MWH</t>
  </si>
  <si>
    <t>CON_2014_OtherSector2_Expend</t>
  </si>
  <si>
    <t>CON_2014_OtherSector2_MWH</t>
  </si>
  <si>
    <t>CON_2014_Production_Expend</t>
  </si>
  <si>
    <t>CON_2014_Production_MWH</t>
  </si>
  <si>
    <t>CON_2014_Program1_Expend</t>
  </si>
  <si>
    <t>CON_2014_Program2_Expend</t>
  </si>
  <si>
    <t>CON_2014_Residential_Expend</t>
  </si>
  <si>
    <t>CON_2014_Residential_MWH</t>
  </si>
  <si>
    <t>Description of Substitute Resource</t>
  </si>
  <si>
    <t>Renewable Resource Cost per MWH</t>
  </si>
  <si>
    <t>Substitute Resource Cost per MWH</t>
  </si>
  <si>
    <t>Totals</t>
  </si>
  <si>
    <t>2014 Annual Load (MWh)</t>
  </si>
  <si>
    <t>Average of 2013 &amp; 2014 Annual Loads (MWh)</t>
  </si>
  <si>
    <t>Incremental Cost of Renewable Resources</t>
  </si>
  <si>
    <t xml:space="preserve">Cost of Renewable Energy Credits </t>
  </si>
  <si>
    <t>CON_2014_NEEA_Expend</t>
  </si>
  <si>
    <t>CON_2014_NEEA_MWH</t>
  </si>
  <si>
    <t>REN_Load_2014</t>
  </si>
  <si>
    <r>
      <t>Submission:</t>
    </r>
    <r>
      <rPr>
        <sz val="11"/>
        <color rgb="FF000000"/>
        <rFont val="Arial"/>
        <family val="2"/>
      </rPr>
      <t xml:space="preserve"> Email this workbook and all supporting documentation to </t>
    </r>
    <r>
      <rPr>
        <b/>
        <sz val="11"/>
        <color rgb="FF993300"/>
        <rFont val="Arial"/>
        <family val="2"/>
      </rPr>
      <t xml:space="preserve">EIA@commerce.wa.gov </t>
    </r>
  </si>
  <si>
    <t>Number of RECs</t>
  </si>
  <si>
    <t>Annual Cost of Renewable Energy Credits</t>
  </si>
  <si>
    <t>Cost per REC</t>
  </si>
  <si>
    <t>Published 3/31/2016</t>
  </si>
  <si>
    <r>
      <t>Deadline:</t>
    </r>
    <r>
      <rPr>
        <sz val="11"/>
        <color rgb="FF000000"/>
        <rFont val="Arial"/>
        <family val="2"/>
      </rPr>
      <t xml:space="preserve"> June 1, 2016</t>
    </r>
  </si>
  <si>
    <t>RENEWABLE ENERGY WORKSHEET – REVISIONS TO 2014 REPORT</t>
  </si>
  <si>
    <r>
      <t xml:space="preserve">In addition to submitting the 2016 report, each qualifying utility should review the renewable energy report it submitted in 2014. In many cases, the specific resources and quantities actually used to comply with the 2014 target differ from what the utility reported in June 2014. </t>
    </r>
    <r>
      <rPr>
        <u/>
        <sz val="11"/>
        <color theme="1"/>
        <rFont val="Arial"/>
        <family val="2"/>
      </rPr>
      <t>Utilities should submit a revised 2014 report if the actual values differ from the values reported in 2014.</t>
    </r>
    <r>
      <rPr>
        <sz val="11"/>
        <color theme="1"/>
        <rFont val="Arial"/>
        <family val="2"/>
      </rPr>
      <t xml:space="preserve"> </t>
    </r>
  </si>
  <si>
    <r>
      <rPr>
        <b/>
        <sz val="11"/>
        <color theme="1"/>
        <rFont val="Arial"/>
        <family val="2"/>
      </rPr>
      <t>WAC 194-37-110(4): Final compliance report.</t>
    </r>
    <r>
      <rPr>
        <sz val="11"/>
        <color theme="1"/>
        <rFont val="Arial"/>
        <family val="2"/>
      </rPr>
      <t xml:space="preserve"> A utility must submit a final renewable compliance report by the later of (a) two years after the filing of the report required in subsections (1) through (3) of this section; or (b) ninety days after the issuance of the auditor's report for the target year. The final renewable compliance report must provide an update of any revisions to the information previously reported pursuant to this section or, if no revisions were made, notify the department that the initial report should be considered the final report. </t>
    </r>
  </si>
  <si>
    <t xml:space="preserve">Please use the 2014 template and mark it as "revised." Contact Commerce to obtain a copy of the 2014 reporting template if necessary. </t>
  </si>
  <si>
    <r>
      <rPr>
        <sz val="12"/>
        <color theme="1"/>
        <rFont val="Arial"/>
        <family val="2"/>
      </rPr>
      <t xml:space="preserve">Energy Independence Act (I-937) </t>
    </r>
    <r>
      <rPr>
        <sz val="12"/>
        <color theme="1"/>
        <rFont val="Arial Black"/>
        <family val="2"/>
      </rPr>
      <t>Conservation Report 2016</t>
    </r>
  </si>
  <si>
    <t>2016 - 2017 Planning</t>
  </si>
  <si>
    <t>2015 Achievement</t>
  </si>
  <si>
    <t>2014-2015</t>
  </si>
  <si>
    <t>Biennial</t>
  </si>
  <si>
    <t>2016-2017</t>
  </si>
  <si>
    <t>2016-2025 Ten Year Potential (MWh)</t>
  </si>
  <si>
    <t>2016 - 2017 Target (MWh)</t>
  </si>
  <si>
    <t>Summary of Achievement and Targets (MWh)</t>
  </si>
  <si>
    <t xml:space="preserve">Target </t>
  </si>
  <si>
    <t>Target</t>
  </si>
  <si>
    <r>
      <rPr>
        <sz val="12"/>
        <color indexed="8"/>
        <rFont val="Arial"/>
        <family val="2"/>
      </rPr>
      <t>Energy Independence Act (EIA)</t>
    </r>
    <r>
      <rPr>
        <b/>
        <sz val="12"/>
        <color indexed="8"/>
        <rFont val="Arial"/>
        <family val="2"/>
      </rPr>
      <t xml:space="preserve"> </t>
    </r>
    <r>
      <rPr>
        <sz val="12"/>
        <color indexed="8"/>
        <rFont val="Arial Black"/>
        <family val="2"/>
      </rPr>
      <t>Renewable Energy Report 2016</t>
    </r>
  </si>
  <si>
    <t>2016 Compliance Method:</t>
  </si>
  <si>
    <r>
      <t xml:space="preserve">REC Vintage </t>
    </r>
    <r>
      <rPr>
        <sz val="10"/>
        <rFont val="Arial"/>
        <family val="2"/>
      </rPr>
      <t>(Year)</t>
    </r>
  </si>
  <si>
    <t>RECs</t>
  </si>
  <si>
    <t>Total Renewables (MWh+RECs)</t>
  </si>
  <si>
    <t>2015 Annual Load (MWh)</t>
  </si>
  <si>
    <t>2016 Renewable Target (% of load)</t>
  </si>
  <si>
    <t>Eligible Renewable Resources and RECs</t>
  </si>
  <si>
    <t>Incremental Cost of Renewable Resource in 2016</t>
  </si>
  <si>
    <t>Substitute Resource Annual Cost in 2016</t>
  </si>
  <si>
    <t>Renewable Resource Annual Cost in 2016</t>
  </si>
  <si>
    <r>
      <rPr>
        <sz val="12"/>
        <color indexed="8"/>
        <rFont val="Arial"/>
        <family val="2"/>
      </rPr>
      <t>Energy Independence Act (EIA)</t>
    </r>
    <r>
      <rPr>
        <b/>
        <sz val="12"/>
        <color indexed="8"/>
        <rFont val="Arial"/>
        <family val="2"/>
      </rPr>
      <t xml:space="preserve"> </t>
    </r>
    <r>
      <rPr>
        <sz val="12"/>
        <color indexed="8"/>
        <rFont val="Arial Black"/>
        <family val="2"/>
      </rPr>
      <t>Incremental Cost and REC Cost Report 2016</t>
    </r>
  </si>
  <si>
    <t>Expenditures on Renewable Resources and RECs - 2016</t>
  </si>
  <si>
    <t>Total annual retail revenue requirement - 2016</t>
  </si>
  <si>
    <t>2016 Eligible Renewable Energy Target (MWh)</t>
  </si>
  <si>
    <t>CON_2015_Commercial_MWH</t>
  </si>
  <si>
    <t>CON_2015_Industrial_MWH</t>
  </si>
  <si>
    <t>CON_2015_Residential_MWH</t>
  </si>
  <si>
    <t>CON_Potential_2015_2023</t>
  </si>
  <si>
    <t>CON_Potential_2016_2025</t>
  </si>
  <si>
    <t>CON_Target_2016_2017</t>
  </si>
  <si>
    <t>REN_Expenditure_Amount_2016</t>
  </si>
  <si>
    <t>REN_Expenditure_Percent_2016</t>
  </si>
  <si>
    <t>REN_Load_2015</t>
  </si>
  <si>
    <t>REN_RetailRevenueRequirement_2016</t>
  </si>
  <si>
    <t>REN_Total_2016</t>
  </si>
  <si>
    <t>CON_2015_Commercial_Expend</t>
  </si>
  <si>
    <t>CON_2015_OtherSector1_Expend</t>
  </si>
  <si>
    <t>CON_2015_OtherSector1_MWH</t>
  </si>
  <si>
    <t>CON_2015_OtherSector2_Expend</t>
  </si>
  <si>
    <t>CON_2015_OtherSector2_MWH</t>
  </si>
  <si>
    <t>CON_2015_Production_Expend</t>
  </si>
  <si>
    <t>CON_2015_Production_MWH</t>
  </si>
  <si>
    <t>CON_2015_Program1_Expend</t>
  </si>
  <si>
    <t>CON_2015_Program2_Expend</t>
  </si>
  <si>
    <t>CON_2015_Agriculture_Expend</t>
  </si>
  <si>
    <t>CON_2015_Agriculture_MWH</t>
  </si>
  <si>
    <t>CON_2015_Distribution_Expend</t>
  </si>
  <si>
    <t>CON_2015_Distribution_MWH</t>
  </si>
  <si>
    <t>CON_2015_Expenditures</t>
  </si>
  <si>
    <t>CON_2015_Industrial_Expend</t>
  </si>
  <si>
    <t>CON_2015_MWH</t>
  </si>
  <si>
    <t>CON_2015_NEEA_Expend</t>
  </si>
  <si>
    <t>CON_2015_NEEA_MWH</t>
  </si>
  <si>
    <t>CON_2015_Residential_Expend</t>
  </si>
  <si>
    <t>Biodiesel</t>
  </si>
  <si>
    <t>Solar</t>
  </si>
  <si>
    <t>Geothermal</t>
  </si>
  <si>
    <t>Resource Type</t>
  </si>
  <si>
    <t>Biomass</t>
  </si>
  <si>
    <t>Qualified Biomass</t>
  </si>
  <si>
    <t>Apprentice Labor Eligibility</t>
  </si>
  <si>
    <t>No</t>
  </si>
  <si>
    <t>Apprentice Labor Amount</t>
  </si>
  <si>
    <t>Distributed Generation Eligibility</t>
  </si>
  <si>
    <t>Distributed Generation Amount</t>
  </si>
  <si>
    <t>Quantity</t>
  </si>
  <si>
    <t>Explanatory Notes (as needed)</t>
  </si>
  <si>
    <t>Apprentice Labor Credit</t>
  </si>
  <si>
    <t>Distributed Generation Credit</t>
  </si>
  <si>
    <t>REC_REC_QBE</t>
  </si>
  <si>
    <t>REN_ERR_QBE</t>
  </si>
  <si>
    <r>
      <t xml:space="preserve">Apprentice Labor Amount </t>
    </r>
    <r>
      <rPr>
        <sz val="9"/>
        <color theme="1"/>
        <rFont val="Arial"/>
        <family val="2"/>
      </rPr>
      <t>(MWh equiv.)</t>
    </r>
  </si>
  <si>
    <r>
      <t xml:space="preserve">Generation Amount </t>
    </r>
    <r>
      <rPr>
        <sz val="9"/>
        <color theme="1"/>
        <rFont val="Arial"/>
        <family val="2"/>
      </rPr>
      <t>(MWh)</t>
    </r>
  </si>
  <si>
    <t>Notes, including a brief description of the methodology used to establish the utility's ten-year potential and biennial target to capture cost-effective conservation:</t>
  </si>
  <si>
    <t>Enter information in green-shaded fields.</t>
  </si>
  <si>
    <t>Do not modify blue-shaded fields.</t>
  </si>
  <si>
    <r>
      <t xml:space="preserve">Energy Independence Act (I-937) </t>
    </r>
    <r>
      <rPr>
        <sz val="11"/>
        <color rgb="FF000000"/>
        <rFont val="Arial Black"/>
        <family val="2"/>
      </rPr>
      <t>Report Workbook</t>
    </r>
  </si>
  <si>
    <t>Surplus (Deficit)</t>
  </si>
  <si>
    <t>Utility Name</t>
  </si>
  <si>
    <r>
      <t>Questions:</t>
    </r>
    <r>
      <rPr>
        <sz val="11"/>
        <color rgb="FF000000"/>
        <rFont val="Arial"/>
        <family val="2"/>
      </rPr>
      <t xml:space="preserve"> Glenn Blackmon, State Energy Office, (360) 725-3115, </t>
    </r>
    <r>
      <rPr>
        <b/>
        <sz val="11"/>
        <color theme="3"/>
        <rFont val="Arial"/>
        <family val="2"/>
      </rPr>
      <t>glenn.blackmon@commerce.wa.gov</t>
    </r>
  </si>
  <si>
    <t>General</t>
  </si>
  <si>
    <t>Avista Corp.</t>
  </si>
  <si>
    <t>Mark Baker, Demand Side Management</t>
  </si>
  <si>
    <t>(509) 495-4864</t>
  </si>
  <si>
    <t>mark.baker@avistacorp.com</t>
  </si>
  <si>
    <t>Avista</t>
  </si>
  <si>
    <t>John Lyons, Energy Resources</t>
  </si>
  <si>
    <t>509-495-8515</t>
  </si>
  <si>
    <t>John.Lyons@avistacorp.com</t>
  </si>
  <si>
    <t>Long Lake #3</t>
  </si>
  <si>
    <t>W2103</t>
  </si>
  <si>
    <t>Little Falls #4</t>
  </si>
  <si>
    <t>W2102</t>
  </si>
  <si>
    <t>Cabinet Gorge #2</t>
  </si>
  <si>
    <t>W1560</t>
  </si>
  <si>
    <t>Cabinet Gorge #3</t>
  </si>
  <si>
    <t>W1561</t>
  </si>
  <si>
    <t>Cabinet Gorge #4</t>
  </si>
  <si>
    <t>W1562</t>
  </si>
  <si>
    <t>Noxon Rapids #1</t>
  </si>
  <si>
    <t>W1530</t>
  </si>
  <si>
    <t>Noxon Rapids #2</t>
  </si>
  <si>
    <t>W1552</t>
  </si>
  <si>
    <t>Noxon Rapids #3</t>
  </si>
  <si>
    <t>W1554</t>
  </si>
  <si>
    <t>Noxon Rapids #4</t>
  </si>
  <si>
    <t>W1555</t>
  </si>
  <si>
    <t>Wanapum Fish Bypass</t>
  </si>
  <si>
    <t>N/A</t>
  </si>
  <si>
    <t>Palouse Wind</t>
  </si>
  <si>
    <t>W2906</t>
  </si>
  <si>
    <t>Nine Mile #1</t>
  </si>
  <si>
    <t>W249</t>
  </si>
  <si>
    <t>Nine Mile #2</t>
  </si>
  <si>
    <t>W216</t>
  </si>
  <si>
    <t>Kettle Falls</t>
  </si>
  <si>
    <t>W130</t>
  </si>
  <si>
    <t>Yes</t>
  </si>
  <si>
    <t>EWEB (Stateline) Wind RECs</t>
  </si>
  <si>
    <t>CCCT - Energy and Capacity</t>
  </si>
  <si>
    <t>CCCT - Energy Only</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</si>
</sst>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_(&quot;$&quot;* \(#,##0.00\);_(&quot;$&quot;* &quot;-&quot;??_);_(@_)"/>
    <numFmt numFmtId="43" formatCode="_(* #,##0.00_);_(* \(#,##0.00\);_(* &quot;-&quot;??_);_(@_)"/>
    <numFmt numFmtId="164" formatCode="_(* #,##0.0_);_(* \(#,##0.0\);_(* &quot;-&quot;??_);_(@_)"/>
    <numFmt numFmtId="165" formatCode="_(* #,##0_);_(* \(#,##0\);_(* &quot;-&quot;??_);_(@_)"/>
    <numFmt numFmtId="166" formatCode="_(&quot;$&quot;* #,##0_);_(&quot;$&quot;* \(#,##0\);_(&quot;$&quot;* &quot;-&quot;??_);_(@_)"/>
    <numFmt numFmtId="167" formatCode="0.0%"/>
    <numFmt numFmtId="168" formatCode="[$-409]mmmm\ d\,\ yyyy;@"/>
    <numFmt numFmtId="169" formatCode="&quot;$&quot;#,##0"/>
  </numFmts>
  <fonts count="30" x14ac:knownFonts="1">
    <font>
      <sz val="11"/>
      <color theme="1"/>
      <name val="Calibri"/>
      <family val="2"/>
      <scheme val="minor"/>
    </font>
    <font>
      <sz val="10"/>
      <name val="Arial"/>
      <family val="2"/>
    </font>
    <font>
      <b/>
      <sz val="10"/>
      <name val="Arial"/>
      <family val="2"/>
    </font>
    <font>
      <sz val="12"/>
      <color indexed="8"/>
      <name val="Arial Black"/>
      <family val="2"/>
    </font>
    <font>
      <sz val="12"/>
      <color indexed="8"/>
      <name val="Arial"/>
      <family val="2"/>
    </font>
    <font>
      <b/>
      <sz val="12"/>
      <color indexed="8"/>
      <name val="Arial"/>
      <family val="2"/>
    </font>
    <font>
      <sz val="11"/>
      <color theme="1"/>
      <name val="Calibri"/>
      <family val="2"/>
      <scheme val="minor"/>
    </font>
    <font>
      <u/>
      <sz val="8.25"/>
      <color theme="10"/>
      <name val="Calibri"/>
      <family val="2"/>
    </font>
    <font>
      <sz val="10"/>
      <color theme="1"/>
      <name val="Arial"/>
      <family val="2"/>
    </font>
    <font>
      <b/>
      <sz val="10"/>
      <color theme="1"/>
      <name val="Arial"/>
      <family val="2"/>
    </font>
    <font>
      <i/>
      <sz val="10"/>
      <color theme="1"/>
      <name val="Arial"/>
      <family val="2"/>
    </font>
    <font>
      <sz val="9"/>
      <color theme="1"/>
      <name val="Arial"/>
      <family val="2"/>
    </font>
    <font>
      <b/>
      <sz val="9"/>
      <color theme="1"/>
      <name val="Arial"/>
      <family val="2"/>
    </font>
    <font>
      <sz val="11"/>
      <color theme="1"/>
      <name val="Arial"/>
      <family val="2"/>
    </font>
    <font>
      <sz val="14"/>
      <color theme="1"/>
      <name val="Arial"/>
      <family val="2"/>
    </font>
    <font>
      <sz val="8"/>
      <color rgb="FF000000"/>
      <name val="Tahoma"/>
      <family val="2"/>
    </font>
    <font>
      <sz val="12"/>
      <color theme="1"/>
      <name val="Arial Black"/>
      <family val="2"/>
    </font>
    <font>
      <sz val="12"/>
      <color theme="1"/>
      <name val="Arial"/>
      <family val="2"/>
    </font>
    <font>
      <sz val="9.75"/>
      <color theme="1"/>
      <name val="Arial"/>
      <family val="2"/>
    </font>
    <font>
      <sz val="11"/>
      <color rgb="FF000000"/>
      <name val="Arial Black"/>
      <family val="2"/>
    </font>
    <font>
      <u/>
      <sz val="11"/>
      <color theme="1"/>
      <name val="Arial"/>
      <family val="2"/>
    </font>
    <font>
      <sz val="11"/>
      <color rgb="FF000000"/>
      <name val="Arial"/>
      <family val="2"/>
    </font>
    <font>
      <b/>
      <sz val="11"/>
      <color rgb="FF000000"/>
      <name val="Arial"/>
      <family val="2"/>
    </font>
    <font>
      <b/>
      <sz val="11"/>
      <color rgb="FF993300"/>
      <name val="Arial"/>
      <family val="2"/>
    </font>
    <font>
      <b/>
      <sz val="11"/>
      <color theme="1"/>
      <name val="Arial"/>
      <family val="2"/>
    </font>
    <font>
      <b/>
      <sz val="12"/>
      <color theme="1"/>
      <name val="Arial"/>
      <family val="2"/>
    </font>
    <font>
      <sz val="9"/>
      <color indexed="81"/>
      <name val="Tahoma"/>
      <family val="2"/>
    </font>
    <font>
      <b/>
      <sz val="9"/>
      <color indexed="81"/>
      <name val="Tahoma"/>
      <family val="2"/>
    </font>
    <font>
      <b/>
      <sz val="14"/>
      <color theme="1"/>
      <name val="Arial"/>
      <family val="2"/>
    </font>
    <font>
      <b/>
      <sz val="11"/>
      <color theme="3"/>
      <name val="Arial"/>
      <family val="2"/>
    </font>
  </fonts>
  <fills count="10">
    <fill>
      <patternFill patternType="none"/>
    </fill>
    <fill>
      <patternFill patternType="gray125"/>
    </fill>
    <fill>
      <patternFill patternType="solid">
        <fgColor theme="0"/>
        <bgColor indexed="64"/>
      </patternFill>
    </fill>
    <fill>
      <patternFill patternType="lightUp">
        <fgColor theme="0" tint="-0.499984740745262"/>
        <bgColor rgb="FFE4E4E4"/>
      </patternFill>
    </fill>
    <fill>
      <patternFill patternType="darkGray">
        <fgColor theme="0" tint="-0.499984740745262"/>
        <bgColor rgb="FFE4E4E4"/>
      </patternFill>
    </fill>
    <fill>
      <patternFill patternType="solid">
        <fgColor rgb="FFFFFFFF"/>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rgb="FFE4E4E4"/>
        <bgColor indexed="64"/>
      </patternFill>
    </fill>
  </fills>
  <borders count="53">
    <border>
      <left/>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style="medium">
        <color indexed="64"/>
      </left>
      <right/>
      <top/>
      <bottom/>
      <diagonal/>
    </border>
    <border>
      <left style="medium">
        <color indexed="64"/>
      </left>
      <right/>
      <top/>
      <bottom style="medium">
        <color indexed="64"/>
      </bottom>
      <diagonal/>
    </border>
    <border>
      <left/>
      <right/>
      <top style="thick">
        <color indexed="64"/>
      </top>
      <bottom/>
      <diagonal/>
    </border>
    <border>
      <left/>
      <right/>
      <top/>
      <bottom style="thin">
        <color indexed="64"/>
      </bottom>
      <diagonal/>
    </border>
    <border>
      <left style="thin">
        <color indexed="64"/>
      </left>
      <right/>
      <top/>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hair">
        <color indexed="64"/>
      </left>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top/>
      <bottom style="thin">
        <color indexed="64"/>
      </bottom>
      <diagonal/>
    </border>
    <border>
      <left/>
      <right/>
      <top/>
      <bottom style="medium">
        <color indexed="64"/>
      </bottom>
      <diagonal/>
    </border>
    <border>
      <left/>
      <right/>
      <top style="medium">
        <color indexed="64"/>
      </top>
      <bottom/>
      <diagonal/>
    </border>
    <border>
      <left/>
      <right/>
      <top style="thin">
        <color indexed="64"/>
      </top>
      <bottom style="medium">
        <color indexed="64"/>
      </bottom>
      <diagonal/>
    </border>
    <border>
      <left/>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s>
  <cellStyleXfs count="5">
    <xf numFmtId="0" fontId="0" fillId="0" borderId="0"/>
    <xf numFmtId="43" fontId="6" fillId="0" borderId="0" applyFont="0" applyFill="0" applyBorder="0" applyAlignment="0" applyProtection="0"/>
    <xf numFmtId="44" fontId="6" fillId="0" borderId="0" applyFont="0" applyFill="0" applyBorder="0" applyAlignment="0" applyProtection="0"/>
    <xf numFmtId="0" fontId="7" fillId="0" borderId="0" applyNumberFormat="0" applyFill="0" applyBorder="0" applyAlignment="0" applyProtection="0">
      <alignment vertical="top"/>
      <protection locked="0"/>
    </xf>
    <xf numFmtId="9" fontId="6" fillId="0" borderId="0" applyFont="0" applyFill="0" applyBorder="0" applyAlignment="0" applyProtection="0"/>
  </cellStyleXfs>
  <cellXfs count="296">
    <xf numFmtId="0" fontId="0" fillId="0" borderId="0" xfId="0"/>
    <xf numFmtId="0" fontId="8" fillId="2" borderId="0" xfId="0" applyFont="1" applyFill="1"/>
    <xf numFmtId="0" fontId="9" fillId="2" borderId="0" xfId="0" applyFont="1" applyFill="1" applyBorder="1" applyAlignment="1"/>
    <xf numFmtId="0" fontId="9" fillId="2" borderId="0" xfId="0" applyFont="1" applyFill="1" applyBorder="1" applyAlignment="1">
      <alignment horizontal="right"/>
    </xf>
    <xf numFmtId="0" fontId="8" fillId="2" borderId="0" xfId="0" applyFont="1" applyFill="1" applyBorder="1" applyAlignment="1">
      <alignment horizontal="right"/>
    </xf>
    <xf numFmtId="0" fontId="8" fillId="2" borderId="0" xfId="0" applyFont="1" applyFill="1" applyAlignment="1">
      <alignment horizontal="right"/>
    </xf>
    <xf numFmtId="0" fontId="9" fillId="2" borderId="0" xfId="0" applyFont="1" applyFill="1" applyBorder="1" applyAlignment="1">
      <alignment horizontal="left"/>
    </xf>
    <xf numFmtId="0" fontId="8" fillId="2" borderId="0" xfId="0" applyFont="1" applyFill="1" applyBorder="1"/>
    <xf numFmtId="0" fontId="8" fillId="2" borderId="0" xfId="0" applyFont="1" applyFill="1" applyBorder="1" applyAlignment="1">
      <alignment horizontal="center"/>
    </xf>
    <xf numFmtId="0" fontId="9" fillId="2" borderId="0" xfId="0" applyFont="1" applyFill="1" applyAlignment="1">
      <alignment horizontal="right"/>
    </xf>
    <xf numFmtId="0" fontId="9" fillId="2" borderId="0" xfId="0" applyFont="1" applyFill="1"/>
    <xf numFmtId="0" fontId="8" fillId="2" borderId="0" xfId="0" applyFont="1" applyFill="1" applyAlignment="1"/>
    <xf numFmtId="0" fontId="11" fillId="2" borderId="0" xfId="0" applyFont="1" applyFill="1" applyAlignment="1">
      <alignment horizontal="center" vertical="center"/>
    </xf>
    <xf numFmtId="0" fontId="8" fillId="2" borderId="7" xfId="0" applyFont="1" applyFill="1" applyBorder="1"/>
    <xf numFmtId="0" fontId="12" fillId="2" borderId="0" xfId="0" applyFont="1" applyFill="1" applyBorder="1" applyAlignment="1">
      <alignment horizontal="center" vertical="center" wrapText="1"/>
    </xf>
    <xf numFmtId="0" fontId="1" fillId="2" borderId="11" xfId="0" applyFont="1" applyFill="1" applyBorder="1" applyAlignment="1" applyProtection="1">
      <alignment horizontal="right"/>
    </xf>
    <xf numFmtId="166" fontId="8" fillId="2" borderId="0" xfId="2" applyNumberFormat="1" applyFont="1" applyFill="1" applyBorder="1" applyAlignment="1">
      <alignment horizontal="right"/>
    </xf>
    <xf numFmtId="166" fontId="8" fillId="2" borderId="0" xfId="0" applyNumberFormat="1" applyFont="1" applyFill="1" applyBorder="1"/>
    <xf numFmtId="0" fontId="8" fillId="2" borderId="0" xfId="0" applyFont="1" applyFill="1" applyBorder="1" applyAlignment="1">
      <alignment horizontal="left"/>
    </xf>
    <xf numFmtId="0" fontId="13" fillId="2" borderId="26" xfId="0" applyFont="1" applyFill="1" applyBorder="1" applyAlignment="1">
      <alignment horizontal="right"/>
    </xf>
    <xf numFmtId="0" fontId="13" fillId="2" borderId="27" xfId="0" applyFont="1" applyFill="1" applyBorder="1" applyAlignment="1">
      <alignment horizontal="right"/>
    </xf>
    <xf numFmtId="0" fontId="13" fillId="2" borderId="0" xfId="0" applyFont="1" applyFill="1" applyAlignment="1">
      <alignment horizontal="right"/>
    </xf>
    <xf numFmtId="0" fontId="14" fillId="2" borderId="0" xfId="0" applyFont="1" applyFill="1"/>
    <xf numFmtId="0" fontId="14" fillId="2" borderId="0" xfId="0" applyFont="1" applyFill="1" applyBorder="1" applyAlignment="1"/>
    <xf numFmtId="0" fontId="13" fillId="2" borderId="0" xfId="0" applyFont="1" applyFill="1" applyBorder="1"/>
    <xf numFmtId="0" fontId="13" fillId="2" borderId="0" xfId="0" applyFont="1" applyFill="1"/>
    <xf numFmtId="0" fontId="5" fillId="2" borderId="0" xfId="0" applyNumberFormat="1" applyFont="1" applyFill="1" applyBorder="1" applyAlignment="1"/>
    <xf numFmtId="0" fontId="2" fillId="2" borderId="0" xfId="0" applyFont="1" applyFill="1" applyAlignment="1">
      <alignment horizontal="center"/>
    </xf>
    <xf numFmtId="0" fontId="1" fillId="2" borderId="0" xfId="0" applyFont="1" applyFill="1" applyBorder="1" applyAlignment="1">
      <alignment horizontal="right"/>
    </xf>
    <xf numFmtId="0" fontId="8" fillId="2" borderId="30" xfId="0" applyFont="1" applyFill="1" applyBorder="1"/>
    <xf numFmtId="0" fontId="8" fillId="2" borderId="35" xfId="0" applyFont="1" applyFill="1" applyBorder="1"/>
    <xf numFmtId="0" fontId="8" fillId="2" borderId="29" xfId="0" applyFont="1" applyFill="1" applyBorder="1"/>
    <xf numFmtId="0" fontId="1" fillId="2" borderId="29" xfId="0" applyFont="1" applyFill="1" applyBorder="1" applyAlignment="1">
      <alignment horizontal="right"/>
    </xf>
    <xf numFmtId="0" fontId="8" fillId="2" borderId="30" xfId="0" applyFont="1" applyFill="1" applyBorder="1" applyAlignment="1"/>
    <xf numFmtId="0" fontId="18" fillId="2" borderId="0" xfId="0" applyFont="1" applyFill="1" applyBorder="1" applyAlignment="1">
      <alignment vertical="top" wrapText="1"/>
    </xf>
    <xf numFmtId="0" fontId="18" fillId="2" borderId="29" xfId="0" applyFont="1" applyFill="1" applyBorder="1" applyAlignment="1">
      <alignment vertical="top" wrapText="1"/>
    </xf>
    <xf numFmtId="0" fontId="14" fillId="2" borderId="0" xfId="0" applyFont="1" applyFill="1" applyBorder="1"/>
    <xf numFmtId="0" fontId="18" fillId="2" borderId="35" xfId="0" applyFont="1" applyFill="1" applyBorder="1" applyAlignment="1">
      <alignment vertical="top"/>
    </xf>
    <xf numFmtId="0" fontId="19" fillId="0" borderId="37" xfId="0" applyFont="1" applyBorder="1" applyAlignment="1">
      <alignment vertical="center" wrapText="1"/>
    </xf>
    <xf numFmtId="0" fontId="19" fillId="0" borderId="38" xfId="0" applyFont="1" applyBorder="1" applyAlignment="1">
      <alignment vertical="center" wrapText="1"/>
    </xf>
    <xf numFmtId="0" fontId="13" fillId="0" borderId="38" xfId="0" applyFont="1" applyBorder="1" applyAlignment="1">
      <alignment vertical="center" wrapText="1"/>
    </xf>
    <xf numFmtId="0" fontId="13" fillId="0" borderId="39" xfId="0" applyFont="1" applyBorder="1" applyAlignment="1">
      <alignment vertical="center" wrapText="1"/>
    </xf>
    <xf numFmtId="0" fontId="9" fillId="2" borderId="0" xfId="0" applyFont="1" applyFill="1" applyBorder="1" applyAlignment="1">
      <alignment horizontal="center"/>
    </xf>
    <xf numFmtId="0" fontId="0" fillId="0" borderId="0" xfId="0" applyNumberFormat="1"/>
    <xf numFmtId="169" fontId="8" fillId="6" borderId="11" xfId="0" applyNumberFormat="1" applyFont="1" applyFill="1" applyBorder="1" applyAlignment="1"/>
    <xf numFmtId="167" fontId="8" fillId="6" borderId="12" xfId="4" applyNumberFormat="1" applyFont="1" applyFill="1" applyBorder="1" applyAlignment="1">
      <alignment horizontal="center"/>
    </xf>
    <xf numFmtId="0" fontId="8" fillId="2" borderId="0" xfId="0" applyFont="1" applyFill="1" applyBorder="1" applyAlignment="1"/>
    <xf numFmtId="0" fontId="12" fillId="2" borderId="7" xfId="0" applyFont="1" applyFill="1" applyBorder="1" applyAlignment="1">
      <alignment horizontal="center" wrapText="1"/>
    </xf>
    <xf numFmtId="0" fontId="11" fillId="2" borderId="29" xfId="0" applyFont="1" applyFill="1" applyBorder="1" applyAlignment="1">
      <alignment horizontal="center" vertical="center"/>
    </xf>
    <xf numFmtId="165" fontId="8" fillId="6" borderId="1" xfId="1" applyNumberFormat="1" applyFont="1" applyFill="1" applyBorder="1"/>
    <xf numFmtId="165" fontId="8" fillId="6" borderId="2" xfId="1" applyNumberFormat="1" applyFont="1" applyFill="1" applyBorder="1"/>
    <xf numFmtId="165" fontId="8" fillId="6" borderId="3" xfId="1" applyNumberFormat="1" applyFont="1" applyFill="1" applyBorder="1"/>
    <xf numFmtId="0" fontId="12" fillId="2" borderId="50"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51" xfId="0" applyFont="1" applyFill="1" applyBorder="1" applyAlignment="1">
      <alignment horizontal="center" vertical="center" wrapText="1"/>
    </xf>
    <xf numFmtId="165" fontId="8" fillId="6" borderId="20" xfId="1" applyNumberFormat="1" applyFont="1" applyFill="1" applyBorder="1"/>
    <xf numFmtId="164" fontId="8" fillId="3" borderId="33" xfId="0" applyNumberFormat="1" applyFont="1" applyFill="1" applyBorder="1" applyAlignment="1">
      <alignment horizontal="center"/>
    </xf>
    <xf numFmtId="164" fontId="8" fillId="3" borderId="52" xfId="0" applyNumberFormat="1" applyFont="1" applyFill="1" applyBorder="1" applyAlignment="1">
      <alignment horizontal="center"/>
    </xf>
    <xf numFmtId="165" fontId="8" fillId="6" borderId="46" xfId="1" applyNumberFormat="1" applyFont="1" applyFill="1" applyBorder="1"/>
    <xf numFmtId="165" fontId="8" fillId="6" borderId="50" xfId="1" applyNumberFormat="1" applyFont="1" applyFill="1" applyBorder="1"/>
    <xf numFmtId="0" fontId="12" fillId="2" borderId="8" xfId="0" applyFont="1" applyFill="1" applyBorder="1" applyAlignment="1">
      <alignment horizontal="center" vertical="center" wrapText="1"/>
    </xf>
    <xf numFmtId="165" fontId="8" fillId="6" borderId="16" xfId="1" applyNumberFormat="1" applyFont="1" applyFill="1" applyBorder="1"/>
    <xf numFmtId="165" fontId="8" fillId="6" borderId="17" xfId="1" applyNumberFormat="1" applyFont="1" applyFill="1" applyBorder="1"/>
    <xf numFmtId="165" fontId="8" fillId="6" borderId="8" xfId="1" applyNumberFormat="1" applyFont="1" applyFill="1" applyBorder="1"/>
    <xf numFmtId="165" fontId="8" fillId="6" borderId="23" xfId="1" applyNumberFormat="1" applyFont="1" applyFill="1" applyBorder="1"/>
    <xf numFmtId="0" fontId="2" fillId="2" borderId="29" xfId="0" applyFont="1" applyFill="1" applyBorder="1" applyAlignment="1"/>
    <xf numFmtId="0" fontId="12" fillId="2" borderId="7" xfId="0" applyFont="1" applyFill="1" applyBorder="1" applyAlignment="1">
      <alignment wrapText="1"/>
    </xf>
    <xf numFmtId="165" fontId="8" fillId="6" borderId="21" xfId="1" applyNumberFormat="1" applyFont="1" applyFill="1" applyBorder="1" applyAlignment="1">
      <alignment horizontal="right"/>
    </xf>
    <xf numFmtId="165" fontId="8" fillId="6" borderId="2" xfId="1" applyNumberFormat="1" applyFont="1" applyFill="1" applyBorder="1" applyAlignment="1">
      <alignment horizontal="right"/>
    </xf>
    <xf numFmtId="0" fontId="22" fillId="5" borderId="0" xfId="0" applyFont="1" applyFill="1" applyBorder="1" applyAlignment="1">
      <alignment vertical="center" wrapText="1"/>
    </xf>
    <xf numFmtId="0" fontId="21" fillId="5" borderId="0" xfId="0" applyFont="1" applyFill="1" applyBorder="1" applyAlignment="1">
      <alignment vertical="center"/>
    </xf>
    <xf numFmtId="168" fontId="21" fillId="5" borderId="0" xfId="0" applyNumberFormat="1" applyFont="1" applyFill="1" applyBorder="1" applyAlignment="1">
      <alignment horizontal="left" vertical="center"/>
    </xf>
    <xf numFmtId="0" fontId="22" fillId="7" borderId="0" xfId="0" applyFont="1" applyFill="1" applyBorder="1" applyAlignment="1">
      <alignment horizontal="center" vertical="center" wrapText="1"/>
    </xf>
    <xf numFmtId="0" fontId="22" fillId="8" borderId="0" xfId="0" applyFont="1" applyFill="1" applyBorder="1" applyAlignment="1">
      <alignment horizontal="center" vertical="center" wrapText="1"/>
    </xf>
    <xf numFmtId="0" fontId="12" fillId="2" borderId="0" xfId="0" applyFont="1" applyFill="1" applyBorder="1" applyAlignment="1">
      <alignment horizontal="center" wrapText="1"/>
    </xf>
    <xf numFmtId="0" fontId="1" fillId="2" borderId="0" xfId="0" applyFont="1" applyFill="1" applyBorder="1" applyAlignment="1">
      <alignment horizontal="right" wrapText="1"/>
    </xf>
    <xf numFmtId="0" fontId="8" fillId="2" borderId="0" xfId="0" applyFont="1" applyFill="1" applyProtection="1">
      <protection locked="0"/>
    </xf>
    <xf numFmtId="0" fontId="8" fillId="2" borderId="0" xfId="0" applyFont="1" applyFill="1" applyBorder="1" applyProtection="1">
      <protection locked="0"/>
    </xf>
    <xf numFmtId="165" fontId="8" fillId="7" borderId="2" xfId="1" applyNumberFormat="1" applyFont="1" applyFill="1" applyBorder="1" applyAlignment="1" applyProtection="1">
      <alignment horizontal="right"/>
      <protection locked="0"/>
    </xf>
    <xf numFmtId="165" fontId="8" fillId="7" borderId="17" xfId="1" applyNumberFormat="1" applyFont="1" applyFill="1" applyBorder="1" applyAlignment="1" applyProtection="1">
      <alignment horizontal="right"/>
      <protection locked="0"/>
    </xf>
    <xf numFmtId="165" fontId="8" fillId="7" borderId="6" xfId="1" applyNumberFormat="1" applyFont="1" applyFill="1" applyBorder="1" applyAlignment="1" applyProtection="1">
      <alignment horizontal="center"/>
      <protection locked="0"/>
    </xf>
    <xf numFmtId="169" fontId="8" fillId="7" borderId="21" xfId="1" applyNumberFormat="1" applyFont="1" applyFill="1" applyBorder="1" applyAlignment="1" applyProtection="1">
      <alignment horizontal="right"/>
      <protection locked="0"/>
    </xf>
    <xf numFmtId="165" fontId="8" fillId="7" borderId="6" xfId="0" applyNumberFormat="1" applyFont="1" applyFill="1" applyBorder="1" applyAlignment="1" applyProtection="1">
      <alignment horizontal="center"/>
      <protection locked="0"/>
    </xf>
    <xf numFmtId="0" fontId="9" fillId="7" borderId="11" xfId="0" applyFont="1" applyFill="1" applyBorder="1" applyProtection="1">
      <protection locked="0"/>
    </xf>
    <xf numFmtId="0" fontId="9" fillId="7" borderId="11" xfId="0" applyFont="1" applyFill="1" applyBorder="1" applyAlignment="1" applyProtection="1">
      <alignment vertical="center" wrapText="1"/>
      <protection locked="0"/>
    </xf>
    <xf numFmtId="0" fontId="9" fillId="2" borderId="0" xfId="0" applyFont="1" applyFill="1" applyAlignment="1" applyProtection="1">
      <alignment horizontal="right"/>
      <protection locked="0"/>
    </xf>
    <xf numFmtId="0" fontId="9" fillId="2" borderId="0" xfId="0" applyFont="1" applyFill="1" applyBorder="1" applyAlignment="1" applyProtection="1">
      <alignment horizontal="center"/>
      <protection locked="0"/>
    </xf>
    <xf numFmtId="0" fontId="8" fillId="2" borderId="0" xfId="0" applyFont="1" applyFill="1" applyProtection="1"/>
    <xf numFmtId="0" fontId="16" fillId="2" borderId="0" xfId="0" applyFont="1" applyFill="1" applyBorder="1" applyAlignment="1" applyProtection="1"/>
    <xf numFmtId="0" fontId="8" fillId="2" borderId="0" xfId="0" applyFont="1" applyFill="1" applyBorder="1" applyProtection="1"/>
    <xf numFmtId="0" fontId="9" fillId="2" borderId="0" xfId="0" applyFont="1" applyFill="1" applyBorder="1" applyAlignment="1" applyProtection="1"/>
    <xf numFmtId="0" fontId="9" fillId="2" borderId="0" xfId="0" applyFont="1" applyFill="1" applyBorder="1" applyAlignment="1" applyProtection="1">
      <alignment horizontal="right"/>
    </xf>
    <xf numFmtId="0" fontId="8" fillId="2" borderId="0" xfId="0" applyNumberFormat="1" applyFont="1" applyFill="1" applyProtection="1"/>
    <xf numFmtId="0" fontId="8" fillId="2" borderId="0" xfId="0" applyFont="1" applyFill="1" applyBorder="1" applyAlignment="1" applyProtection="1">
      <alignment horizontal="right"/>
    </xf>
    <xf numFmtId="0" fontId="10" fillId="2" borderId="0" xfId="0" applyFont="1" applyFill="1" applyBorder="1" applyProtection="1"/>
    <xf numFmtId="0" fontId="2" fillId="2" borderId="42" xfId="0" applyFont="1" applyFill="1" applyBorder="1" applyAlignment="1" applyProtection="1">
      <alignment horizontal="center"/>
    </xf>
    <xf numFmtId="0" fontId="8" fillId="0" borderId="42" xfId="0" applyFont="1" applyBorder="1" applyAlignment="1" applyProtection="1"/>
    <xf numFmtId="0" fontId="8" fillId="2" borderId="0" xfId="0" applyFont="1" applyFill="1" applyAlignment="1" applyProtection="1">
      <alignment horizontal="right"/>
    </xf>
    <xf numFmtId="0" fontId="9" fillId="2" borderId="0" xfId="0" applyFont="1" applyFill="1" applyAlignment="1" applyProtection="1">
      <alignment horizontal="center"/>
    </xf>
    <xf numFmtId="0" fontId="1" fillId="2" borderId="0" xfId="0" applyFont="1" applyFill="1" applyAlignment="1" applyProtection="1">
      <alignment horizontal="right"/>
    </xf>
    <xf numFmtId="165" fontId="8" fillId="6" borderId="19" xfId="1" applyNumberFormat="1" applyFont="1" applyFill="1" applyBorder="1" applyProtection="1"/>
    <xf numFmtId="165" fontId="8" fillId="6" borderId="43" xfId="0" applyNumberFormat="1" applyFont="1" applyFill="1" applyBorder="1" applyProtection="1"/>
    <xf numFmtId="165" fontId="8" fillId="6" borderId="13" xfId="1" applyNumberFormat="1" applyFont="1" applyFill="1" applyBorder="1" applyProtection="1"/>
    <xf numFmtId="0" fontId="8" fillId="2" borderId="0" xfId="0" applyFont="1" applyFill="1" applyAlignment="1" applyProtection="1">
      <alignment horizontal="left"/>
    </xf>
    <xf numFmtId="165" fontId="8" fillId="6" borderId="44" xfId="1" applyNumberFormat="1" applyFont="1" applyFill="1" applyBorder="1" applyProtection="1"/>
    <xf numFmtId="0" fontId="8" fillId="2" borderId="0" xfId="0" applyFont="1" applyFill="1" applyBorder="1" applyAlignment="1" applyProtection="1"/>
    <xf numFmtId="0" fontId="9" fillId="2" borderId="25" xfId="0" applyFont="1" applyFill="1" applyBorder="1" applyAlignment="1" applyProtection="1">
      <alignment horizontal="center" wrapText="1"/>
    </xf>
    <xf numFmtId="0" fontId="9" fillId="2" borderId="36" xfId="0" applyFont="1" applyFill="1" applyBorder="1" applyAlignment="1" applyProtection="1">
      <alignment horizontal="center" wrapText="1"/>
    </xf>
    <xf numFmtId="0" fontId="8" fillId="2" borderId="5" xfId="0" applyFont="1" applyFill="1" applyBorder="1" applyProtection="1"/>
    <xf numFmtId="0" fontId="9" fillId="2" borderId="6" xfId="0" applyFont="1" applyFill="1" applyBorder="1" applyAlignment="1" applyProtection="1">
      <alignment horizontal="right"/>
    </xf>
    <xf numFmtId="0" fontId="9" fillId="2" borderId="4" xfId="0" applyFont="1" applyFill="1" applyBorder="1" applyAlignment="1" applyProtection="1">
      <alignment horizontal="center" wrapText="1"/>
    </xf>
    <xf numFmtId="0" fontId="8" fillId="2" borderId="11" xfId="0" applyFont="1" applyFill="1" applyBorder="1" applyAlignment="1" applyProtection="1">
      <alignment horizontal="right"/>
    </xf>
    <xf numFmtId="169" fontId="8" fillId="2" borderId="0" xfId="0" applyNumberFormat="1" applyFont="1" applyFill="1" applyAlignment="1" applyProtection="1">
      <alignment horizontal="right"/>
    </xf>
    <xf numFmtId="164" fontId="8" fillId="4" borderId="24" xfId="0" applyNumberFormat="1" applyFont="1" applyFill="1" applyBorder="1" applyAlignment="1" applyProtection="1">
      <alignment horizontal="center"/>
    </xf>
    <xf numFmtId="164" fontId="8" fillId="4" borderId="25" xfId="0" applyNumberFormat="1" applyFont="1" applyFill="1" applyBorder="1" applyAlignment="1" applyProtection="1">
      <alignment horizontal="center"/>
    </xf>
    <xf numFmtId="0" fontId="9" fillId="2" borderId="12" xfId="0" applyFont="1" applyFill="1" applyBorder="1" applyProtection="1"/>
    <xf numFmtId="165" fontId="9" fillId="6" borderId="10" xfId="0" applyNumberFormat="1" applyFont="1" applyFill="1" applyBorder="1" applyAlignment="1" applyProtection="1">
      <alignment horizontal="center"/>
    </xf>
    <xf numFmtId="169" fontId="9" fillId="6" borderId="2" xfId="1" applyNumberFormat="1" applyFont="1" applyFill="1" applyBorder="1" applyAlignment="1" applyProtection="1">
      <alignment horizontal="right"/>
    </xf>
    <xf numFmtId="0" fontId="9" fillId="2" borderId="0" xfId="0" applyFont="1" applyFill="1" applyBorder="1" applyProtection="1"/>
    <xf numFmtId="165" fontId="9" fillId="2" borderId="0" xfId="0" applyNumberFormat="1" applyFont="1" applyFill="1" applyBorder="1" applyAlignment="1" applyProtection="1">
      <alignment horizontal="center"/>
    </xf>
    <xf numFmtId="165" fontId="9" fillId="2" borderId="0" xfId="1" applyNumberFormat="1" applyFont="1" applyFill="1" applyBorder="1" applyAlignment="1" applyProtection="1">
      <alignment horizontal="center"/>
    </xf>
    <xf numFmtId="0" fontId="9" fillId="2" borderId="0" xfId="0" applyFont="1" applyFill="1" applyAlignment="1" applyProtection="1">
      <alignment horizontal="right"/>
    </xf>
    <xf numFmtId="0" fontId="9" fillId="2" borderId="0" xfId="0" applyFont="1" applyFill="1" applyBorder="1" applyAlignment="1" applyProtection="1">
      <alignment horizontal="center"/>
    </xf>
    <xf numFmtId="0" fontId="1" fillId="7" borderId="48" xfId="0" applyFont="1" applyFill="1" applyBorder="1" applyAlignment="1" applyProtection="1">
      <alignment horizontal="right"/>
      <protection locked="0"/>
    </xf>
    <xf numFmtId="165" fontId="8" fillId="7" borderId="21" xfId="1" applyNumberFormat="1" applyFont="1" applyFill="1" applyBorder="1" applyAlignment="1" applyProtection="1">
      <alignment horizontal="right"/>
      <protection locked="0"/>
    </xf>
    <xf numFmtId="0" fontId="1" fillId="7" borderId="48" xfId="0" applyFont="1" applyFill="1" applyBorder="1" applyAlignment="1" applyProtection="1">
      <alignment horizontal="right" wrapText="1"/>
      <protection locked="0"/>
    </xf>
    <xf numFmtId="0" fontId="2" fillId="7" borderId="48" xfId="0" applyFont="1" applyFill="1" applyBorder="1" applyAlignment="1" applyProtection="1">
      <alignment horizontal="right"/>
      <protection locked="0"/>
    </xf>
    <xf numFmtId="0" fontId="9" fillId="7" borderId="11" xfId="0" applyFont="1" applyFill="1" applyBorder="1" applyAlignment="1" applyProtection="1">
      <alignment horizontal="left"/>
      <protection locked="0"/>
    </xf>
    <xf numFmtId="0" fontId="9" fillId="7" borderId="48" xfId="0" applyFont="1" applyFill="1" applyBorder="1" applyProtection="1">
      <protection locked="0"/>
    </xf>
    <xf numFmtId="0" fontId="9" fillId="7" borderId="15" xfId="0" applyFont="1" applyFill="1" applyBorder="1" applyAlignment="1" applyProtection="1">
      <alignment horizontal="left"/>
      <protection locked="0"/>
    </xf>
    <xf numFmtId="0" fontId="9" fillId="7" borderId="49" xfId="0" applyFont="1" applyFill="1" applyBorder="1" applyProtection="1">
      <protection locked="0"/>
    </xf>
    <xf numFmtId="165" fontId="8" fillId="7" borderId="10" xfId="1" applyNumberFormat="1" applyFont="1" applyFill="1" applyBorder="1" applyAlignment="1" applyProtection="1">
      <alignment horizontal="center"/>
      <protection locked="0"/>
    </xf>
    <xf numFmtId="165" fontId="8" fillId="7" borderId="22" xfId="1" applyNumberFormat="1" applyFont="1" applyFill="1" applyBorder="1" applyAlignment="1" applyProtection="1">
      <protection locked="0"/>
    </xf>
    <xf numFmtId="165" fontId="8" fillId="7" borderId="13" xfId="1" applyNumberFormat="1" applyFont="1" applyFill="1" applyBorder="1" applyAlignment="1" applyProtection="1">
      <protection locked="0"/>
    </xf>
    <xf numFmtId="165" fontId="8" fillId="7" borderId="6" xfId="1" applyNumberFormat="1" applyFont="1" applyFill="1" applyBorder="1" applyAlignment="1" applyProtection="1">
      <protection locked="0"/>
    </xf>
    <xf numFmtId="165" fontId="8" fillId="7" borderId="45" xfId="1" applyNumberFormat="1" applyFont="1" applyFill="1" applyBorder="1" applyProtection="1">
      <protection locked="0"/>
    </xf>
    <xf numFmtId="165" fontId="8" fillId="7" borderId="11" xfId="1" applyNumberFormat="1" applyFont="1" applyFill="1" applyBorder="1" applyProtection="1">
      <protection locked="0"/>
    </xf>
    <xf numFmtId="165" fontId="8" fillId="7" borderId="48" xfId="1" applyNumberFormat="1" applyFont="1" applyFill="1" applyBorder="1" applyProtection="1">
      <protection locked="0"/>
    </xf>
    <xf numFmtId="165" fontId="8" fillId="7" borderId="21" xfId="1" applyNumberFormat="1" applyFont="1" applyFill="1" applyBorder="1" applyProtection="1">
      <protection locked="0"/>
    </xf>
    <xf numFmtId="165" fontId="8" fillId="7" borderId="46" xfId="1" applyNumberFormat="1" applyFont="1" applyFill="1" applyBorder="1" applyProtection="1">
      <protection locked="0"/>
    </xf>
    <xf numFmtId="165" fontId="8" fillId="7" borderId="15" xfId="1" applyNumberFormat="1" applyFont="1" applyFill="1" applyBorder="1" applyProtection="1">
      <protection locked="0"/>
    </xf>
    <xf numFmtId="165" fontId="8" fillId="7" borderId="49" xfId="1" applyNumberFormat="1" applyFont="1" applyFill="1" applyBorder="1" applyProtection="1">
      <protection locked="0"/>
    </xf>
    <xf numFmtId="165" fontId="8" fillId="7" borderId="2" xfId="1" applyNumberFormat="1" applyFont="1" applyFill="1" applyBorder="1" applyProtection="1">
      <protection locked="0"/>
    </xf>
    <xf numFmtId="165" fontId="8" fillId="6" borderId="21" xfId="1" applyNumberFormat="1" applyFont="1" applyFill="1" applyBorder="1"/>
    <xf numFmtId="0" fontId="8" fillId="2" borderId="0" xfId="0" applyFont="1" applyFill="1" applyAlignment="1" applyProtection="1">
      <alignment horizontal="center"/>
      <protection locked="0"/>
    </xf>
    <xf numFmtId="0" fontId="5" fillId="2" borderId="0" xfId="0" applyNumberFormat="1" applyFont="1" applyFill="1" applyBorder="1" applyAlignment="1" applyProtection="1">
      <protection locked="0"/>
    </xf>
    <xf numFmtId="0" fontId="25" fillId="2" borderId="0" xfId="0" applyFont="1" applyFill="1" applyBorder="1" applyAlignment="1" applyProtection="1">
      <alignment horizontal="left"/>
      <protection locked="0"/>
    </xf>
    <xf numFmtId="0" fontId="9" fillId="2" borderId="0" xfId="0" applyFont="1" applyFill="1" applyBorder="1" applyAlignment="1" applyProtection="1">
      <alignment horizontal="left"/>
      <protection locked="0"/>
    </xf>
    <xf numFmtId="0" fontId="8" fillId="2" borderId="0" xfId="0" applyFont="1" applyFill="1" applyBorder="1" applyAlignment="1" applyProtection="1">
      <alignment horizontal="center"/>
      <protection locked="0"/>
    </xf>
    <xf numFmtId="0" fontId="2" fillId="2" borderId="0" xfId="0" applyFont="1" applyFill="1" applyAlignment="1" applyProtection="1">
      <alignment horizontal="center"/>
      <protection locked="0"/>
    </xf>
    <xf numFmtId="0" fontId="2" fillId="2" borderId="0" xfId="0" applyFont="1" applyFill="1" applyBorder="1" applyAlignment="1" applyProtection="1">
      <protection locked="0"/>
    </xf>
    <xf numFmtId="0" fontId="12" fillId="2" borderId="0" xfId="0" applyFont="1" applyFill="1" applyAlignment="1" applyProtection="1">
      <alignment horizontal="center"/>
      <protection locked="0"/>
    </xf>
    <xf numFmtId="0" fontId="12" fillId="2" borderId="0" xfId="0" applyFont="1" applyFill="1" applyAlignment="1" applyProtection="1">
      <alignment horizontal="center" wrapText="1"/>
      <protection locked="0"/>
    </xf>
    <xf numFmtId="169" fontId="8" fillId="7" borderId="21" xfId="1" applyNumberFormat="1" applyFont="1" applyFill="1" applyBorder="1" applyProtection="1">
      <protection locked="0"/>
    </xf>
    <xf numFmtId="169" fontId="8" fillId="7" borderId="2" xfId="1" applyNumberFormat="1" applyFont="1" applyFill="1" applyBorder="1" applyProtection="1">
      <protection locked="0"/>
    </xf>
    <xf numFmtId="0" fontId="9" fillId="2" borderId="0" xfId="0" applyFont="1" applyFill="1" applyBorder="1" applyAlignment="1" applyProtection="1">
      <alignment horizontal="left" wrapText="1"/>
      <protection locked="0"/>
    </xf>
    <xf numFmtId="0" fontId="8" fillId="2" borderId="7" xfId="0" applyFont="1" applyFill="1" applyBorder="1" applyProtection="1">
      <protection locked="0"/>
    </xf>
    <xf numFmtId="0" fontId="12" fillId="2" borderId="0" xfId="0" applyFont="1" applyFill="1" applyBorder="1" applyAlignment="1" applyProtection="1">
      <alignment horizontal="center" vertical="center" wrapText="1"/>
      <protection locked="0"/>
    </xf>
    <xf numFmtId="0" fontId="9" fillId="2" borderId="0" xfId="0" applyFont="1" applyFill="1" applyProtection="1">
      <protection locked="0"/>
    </xf>
    <xf numFmtId="0" fontId="2" fillId="2" borderId="0" xfId="0" applyFont="1" applyFill="1" applyAlignment="1" applyProtection="1">
      <alignment horizontal="right" wrapText="1"/>
      <protection locked="0"/>
    </xf>
    <xf numFmtId="0" fontId="2" fillId="2" borderId="0" xfId="0" applyFont="1" applyFill="1" applyAlignment="1" applyProtection="1">
      <alignment horizontal="center" wrapText="1"/>
      <protection locked="0"/>
    </xf>
    <xf numFmtId="0" fontId="8" fillId="2" borderId="30" xfId="0" applyFont="1" applyFill="1" applyBorder="1" applyProtection="1">
      <protection locked="0"/>
    </xf>
    <xf numFmtId="0" fontId="8" fillId="2" borderId="34" xfId="0" applyFont="1" applyFill="1" applyBorder="1" applyProtection="1">
      <protection locked="0"/>
    </xf>
    <xf numFmtId="0" fontId="8" fillId="2" borderId="35" xfId="0" applyFont="1" applyFill="1" applyBorder="1" applyProtection="1">
      <protection locked="0"/>
    </xf>
    <xf numFmtId="0" fontId="8" fillId="2" borderId="29" xfId="0" applyFont="1" applyFill="1" applyBorder="1" applyProtection="1">
      <protection locked="0"/>
    </xf>
    <xf numFmtId="0" fontId="8" fillId="2" borderId="12" xfId="0" applyFont="1" applyFill="1" applyBorder="1" applyProtection="1">
      <protection locked="0"/>
    </xf>
    <xf numFmtId="169" fontId="8" fillId="7" borderId="21" xfId="1" applyNumberFormat="1" applyFont="1" applyFill="1" applyBorder="1" applyProtection="1"/>
    <xf numFmtId="169" fontId="8" fillId="7" borderId="10" xfId="1" applyNumberFormat="1" applyFont="1" applyFill="1" applyBorder="1" applyProtection="1"/>
    <xf numFmtId="9" fontId="2" fillId="6" borderId="34" xfId="0" applyNumberFormat="1" applyFont="1" applyFill="1" applyBorder="1" applyAlignment="1">
      <alignment horizontal="center"/>
    </xf>
    <xf numFmtId="0" fontId="1" fillId="6" borderId="9" xfId="0" applyNumberFormat="1" applyFont="1" applyFill="1" applyBorder="1" applyAlignment="1" applyProtection="1">
      <alignment horizontal="center"/>
    </xf>
    <xf numFmtId="0" fontId="1" fillId="6" borderId="1" xfId="0" applyNumberFormat="1" applyFont="1" applyFill="1" applyBorder="1" applyAlignment="1" applyProtection="1">
      <alignment horizontal="center"/>
    </xf>
    <xf numFmtId="165" fontId="1" fillId="6" borderId="1" xfId="1" applyNumberFormat="1" applyFont="1" applyFill="1" applyBorder="1" applyAlignment="1" applyProtection="1">
      <alignment horizontal="right"/>
    </xf>
    <xf numFmtId="0" fontId="1" fillId="6" borderId="6" xfId="0" applyNumberFormat="1" applyFont="1" applyFill="1" applyBorder="1" applyAlignment="1" applyProtection="1">
      <alignment horizontal="center"/>
    </xf>
    <xf numFmtId="0" fontId="1" fillId="6" borderId="21" xfId="0" applyNumberFormat="1" applyFont="1" applyFill="1" applyBorder="1" applyAlignment="1" applyProtection="1">
      <alignment horizontal="center"/>
    </xf>
    <xf numFmtId="165" fontId="1" fillId="6" borderId="21" xfId="1" applyNumberFormat="1" applyFont="1" applyFill="1" applyBorder="1" applyAlignment="1" applyProtection="1">
      <alignment horizontal="right"/>
    </xf>
    <xf numFmtId="0" fontId="1" fillId="6" borderId="10" xfId="0" applyNumberFormat="1" applyFont="1" applyFill="1" applyBorder="1" applyAlignment="1" applyProtection="1">
      <alignment horizontal="center"/>
    </xf>
    <xf numFmtId="0" fontId="1" fillId="6" borderId="2" xfId="0" applyNumberFormat="1" applyFont="1" applyFill="1" applyBorder="1" applyAlignment="1" applyProtection="1">
      <alignment horizontal="center"/>
    </xf>
    <xf numFmtId="165" fontId="1" fillId="6" borderId="2" xfId="1" applyNumberFormat="1" applyFont="1" applyFill="1" applyBorder="1" applyAlignment="1" applyProtection="1">
      <alignment horizontal="center"/>
    </xf>
    <xf numFmtId="0" fontId="2" fillId="6" borderId="0" xfId="0" applyFont="1" applyFill="1" applyBorder="1" applyAlignment="1" applyProtection="1">
      <alignment horizontal="center"/>
    </xf>
    <xf numFmtId="165" fontId="2" fillId="6" borderId="0" xfId="1" applyNumberFormat="1" applyFont="1" applyFill="1" applyBorder="1" applyAlignment="1" applyProtection="1">
      <alignment horizontal="right"/>
    </xf>
    <xf numFmtId="165" fontId="8" fillId="6" borderId="1" xfId="1" applyNumberFormat="1" applyFont="1" applyFill="1" applyBorder="1" applyAlignment="1" applyProtection="1"/>
    <xf numFmtId="165" fontId="8" fillId="6" borderId="21" xfId="1" applyNumberFormat="1" applyFont="1" applyFill="1" applyBorder="1" applyAlignment="1" applyProtection="1"/>
    <xf numFmtId="165" fontId="8" fillId="6" borderId="2" xfId="1" applyNumberFormat="1" applyFont="1" applyFill="1" applyBorder="1" applyAlignment="1" applyProtection="1"/>
    <xf numFmtId="169" fontId="2" fillId="6" borderId="0" xfId="0" applyNumberFormat="1" applyFont="1" applyFill="1" applyBorder="1" applyAlignment="1" applyProtection="1">
      <alignment horizontal="right"/>
    </xf>
    <xf numFmtId="0" fontId="2" fillId="6" borderId="0" xfId="0" applyFont="1" applyFill="1" applyBorder="1" applyAlignment="1" applyProtection="1">
      <alignment horizontal="right"/>
    </xf>
    <xf numFmtId="0" fontId="1" fillId="6" borderId="9" xfId="0" applyFont="1" applyFill="1" applyBorder="1" applyAlignment="1" applyProtection="1">
      <alignment horizontal="center"/>
    </xf>
    <xf numFmtId="0" fontId="1" fillId="6" borderId="1" xfId="0" applyFont="1" applyFill="1" applyBorder="1" applyAlignment="1" applyProtection="1">
      <alignment horizontal="center"/>
    </xf>
    <xf numFmtId="0" fontId="1" fillId="6" borderId="1" xfId="0" applyFont="1" applyFill="1" applyBorder="1" applyAlignment="1" applyProtection="1">
      <alignment horizontal="right"/>
    </xf>
    <xf numFmtId="0" fontId="1" fillId="6" borderId="6" xfId="0" applyFont="1" applyFill="1" applyBorder="1" applyAlignment="1" applyProtection="1">
      <alignment horizontal="center"/>
    </xf>
    <xf numFmtId="0" fontId="1" fillId="6" borderId="21" xfId="0" applyFont="1" applyFill="1" applyBorder="1" applyAlignment="1" applyProtection="1">
      <alignment horizontal="center"/>
    </xf>
    <xf numFmtId="0" fontId="1" fillId="6" borderId="21" xfId="0" applyFont="1" applyFill="1" applyBorder="1" applyAlignment="1" applyProtection="1">
      <alignment horizontal="right"/>
    </xf>
    <xf numFmtId="0" fontId="1" fillId="6" borderId="10" xfId="0" applyFont="1" applyFill="1" applyBorder="1" applyAlignment="1" applyProtection="1">
      <alignment horizontal="center"/>
    </xf>
    <xf numFmtId="0" fontId="1" fillId="6" borderId="2" xfId="0" applyFont="1" applyFill="1" applyBorder="1" applyAlignment="1" applyProtection="1">
      <alignment horizontal="center"/>
    </xf>
    <xf numFmtId="0" fontId="1" fillId="6" borderId="2" xfId="0" applyFont="1" applyFill="1" applyBorder="1" applyAlignment="1" applyProtection="1">
      <alignment horizontal="right"/>
    </xf>
    <xf numFmtId="165" fontId="1" fillId="6" borderId="2" xfId="1" applyNumberFormat="1" applyFont="1" applyFill="1" applyBorder="1" applyAlignment="1" applyProtection="1">
      <alignment horizontal="right"/>
    </xf>
    <xf numFmtId="0" fontId="8" fillId="6" borderId="0" xfId="0" applyFont="1" applyFill="1" applyProtection="1"/>
    <xf numFmtId="0" fontId="8" fillId="6" borderId="0" xfId="0" applyFont="1" applyFill="1" applyAlignment="1" applyProtection="1">
      <alignment horizontal="center"/>
    </xf>
    <xf numFmtId="1" fontId="1" fillId="6" borderId="16" xfId="0" applyNumberFormat="1" applyFont="1" applyFill="1" applyBorder="1" applyAlignment="1" applyProtection="1">
      <alignment horizontal="right"/>
    </xf>
    <xf numFmtId="1" fontId="1" fillId="6" borderId="22" xfId="0" applyNumberFormat="1" applyFont="1" applyFill="1" applyBorder="1" applyAlignment="1" applyProtection="1">
      <alignment horizontal="right"/>
    </xf>
    <xf numFmtId="1" fontId="1" fillId="6" borderId="17" xfId="0" applyNumberFormat="1" applyFont="1" applyFill="1" applyBorder="1" applyAlignment="1" applyProtection="1">
      <alignment horizontal="right"/>
    </xf>
    <xf numFmtId="165" fontId="9" fillId="9" borderId="2" xfId="1" applyNumberFormat="1" applyFont="1" applyFill="1" applyBorder="1" applyAlignment="1" applyProtection="1">
      <alignment horizontal="right"/>
      <protection locked="0"/>
    </xf>
    <xf numFmtId="165" fontId="9" fillId="9" borderId="17" xfId="1" applyNumberFormat="1" applyFont="1" applyFill="1" applyBorder="1" applyAlignment="1" applyProtection="1">
      <alignment horizontal="right"/>
      <protection locked="0"/>
    </xf>
    <xf numFmtId="165" fontId="8" fillId="7" borderId="11" xfId="1" applyNumberFormat="1" applyFont="1" applyFill="1" applyBorder="1" applyAlignment="1" applyProtection="1">
      <alignment horizontal="center"/>
      <protection locked="0"/>
    </xf>
    <xf numFmtId="169" fontId="8" fillId="7" borderId="11" xfId="0" applyNumberFormat="1" applyFont="1" applyFill="1" applyBorder="1" applyAlignment="1" applyProtection="1">
      <protection locked="0"/>
    </xf>
    <xf numFmtId="0" fontId="2" fillId="7" borderId="11" xfId="0" applyFont="1" applyFill="1" applyBorder="1" applyAlignment="1" applyProtection="1">
      <alignment horizontal="left"/>
      <protection locked="0"/>
    </xf>
    <xf numFmtId="0" fontId="9" fillId="7" borderId="11" xfId="0" applyFont="1" applyFill="1" applyBorder="1" applyAlignment="1" applyProtection="1">
      <alignment horizontal="left"/>
      <protection locked="0"/>
    </xf>
    <xf numFmtId="0" fontId="2" fillId="7" borderId="48" xfId="0" applyFont="1" applyFill="1" applyBorder="1" applyAlignment="1" applyProtection="1">
      <alignment horizontal="left"/>
      <protection locked="0"/>
    </xf>
    <xf numFmtId="0" fontId="9" fillId="7" borderId="48" xfId="0" applyFont="1" applyFill="1" applyBorder="1" applyAlignment="1" applyProtection="1">
      <alignment horizontal="left"/>
      <protection locked="0"/>
    </xf>
    <xf numFmtId="0" fontId="2" fillId="7" borderId="31" xfId="0" applyFont="1" applyFill="1" applyBorder="1" applyAlignment="1" applyProtection="1">
      <alignment horizontal="left"/>
      <protection locked="0"/>
    </xf>
    <xf numFmtId="0" fontId="1" fillId="7" borderId="47" xfId="0" applyFont="1" applyFill="1" applyBorder="1" applyAlignment="1" applyProtection="1">
      <alignment horizontal="center"/>
      <protection locked="0"/>
    </xf>
    <xf numFmtId="0" fontId="1" fillId="7" borderId="48" xfId="0" applyFont="1" applyFill="1" applyBorder="1" applyAlignment="1" applyProtection="1">
      <alignment horizontal="center"/>
      <protection locked="0"/>
    </xf>
    <xf numFmtId="0" fontId="1" fillId="7" borderId="48" xfId="0" applyFont="1" applyFill="1" applyBorder="1" applyAlignment="1" applyProtection="1">
      <alignment horizontal="center" wrapText="1"/>
      <protection locked="0"/>
    </xf>
    <xf numFmtId="0" fontId="8" fillId="7" borderId="48" xfId="0" applyFont="1" applyFill="1" applyBorder="1" applyAlignment="1" applyProtection="1">
      <alignment horizontal="center"/>
      <protection locked="0"/>
    </xf>
    <xf numFmtId="0" fontId="2" fillId="7" borderId="47" xfId="0" applyFont="1" applyFill="1" applyBorder="1" applyAlignment="1" applyProtection="1">
      <alignment horizontal="left"/>
      <protection locked="0"/>
    </xf>
    <xf numFmtId="0" fontId="2" fillId="7" borderId="48" xfId="0" applyFont="1" applyFill="1" applyBorder="1" applyAlignment="1" applyProtection="1">
      <alignment horizontal="left" wrapText="1"/>
      <protection locked="0"/>
    </xf>
    <xf numFmtId="165" fontId="8" fillId="7" borderId="1" xfId="1" applyNumberFormat="1" applyFont="1" applyFill="1" applyBorder="1" applyProtection="1">
      <protection locked="0"/>
    </xf>
    <xf numFmtId="165" fontId="8" fillId="7" borderId="21" xfId="1" applyNumberFormat="1" applyFont="1" applyFill="1" applyBorder="1" applyAlignment="1" applyProtection="1">
      <alignment horizontal="right"/>
      <protection locked="0"/>
    </xf>
    <xf numFmtId="0" fontId="9" fillId="7" borderId="11" xfId="0" applyFont="1" applyFill="1" applyBorder="1" applyAlignment="1" applyProtection="1">
      <alignment horizontal="left"/>
      <protection locked="0"/>
    </xf>
    <xf numFmtId="0" fontId="1" fillId="7" borderId="47" xfId="0" applyFont="1" applyFill="1" applyBorder="1" applyAlignment="1" applyProtection="1">
      <alignment horizontal="left"/>
      <protection locked="0"/>
    </xf>
    <xf numFmtId="0" fontId="8" fillId="7" borderId="48" xfId="0" applyFont="1" applyFill="1" applyBorder="1" applyAlignment="1" applyProtection="1">
      <alignment horizontal="center"/>
      <protection locked="0"/>
    </xf>
    <xf numFmtId="0" fontId="8" fillId="7" borderId="47" xfId="1" applyNumberFormat="1" applyFont="1" applyFill="1" applyBorder="1" applyProtection="1">
      <protection locked="0"/>
    </xf>
    <xf numFmtId="165" fontId="8" fillId="7" borderId="1" xfId="1" applyNumberFormat="1" applyFont="1" applyFill="1" applyBorder="1" applyProtection="1">
      <protection locked="0"/>
    </xf>
    <xf numFmtId="169" fontId="8" fillId="7" borderId="1" xfId="1" applyNumberFormat="1" applyFont="1" applyFill="1" applyBorder="1" applyProtection="1">
      <protection locked="0"/>
    </xf>
    <xf numFmtId="169" fontId="8" fillId="7" borderId="21" xfId="1" applyNumberFormat="1" applyFont="1" applyFill="1" applyBorder="1" applyProtection="1">
      <protection locked="0"/>
    </xf>
    <xf numFmtId="169" fontId="8" fillId="7" borderId="1" xfId="1" applyNumberFormat="1" applyFont="1" applyFill="1" applyBorder="1" applyProtection="1">
      <protection locked="0"/>
    </xf>
    <xf numFmtId="169" fontId="8" fillId="7" borderId="21" xfId="1" applyNumberFormat="1" applyFont="1" applyFill="1" applyBorder="1" applyProtection="1">
      <protection locked="0"/>
    </xf>
    <xf numFmtId="169" fontId="8" fillId="7" borderId="1" xfId="1" applyNumberFormat="1" applyFont="1" applyFill="1" applyBorder="1" applyProtection="1"/>
    <xf numFmtId="165" fontId="8" fillId="6" borderId="34" xfId="1" applyNumberFormat="1" applyFont="1" applyFill="1" applyBorder="1" applyAlignment="1">
      <alignment horizontal="center"/>
    </xf>
    <xf numFmtId="165" fontId="8" fillId="6" borderId="12" xfId="1" applyNumberFormat="1" applyFont="1" applyFill="1" applyBorder="1" applyAlignment="1">
      <alignment horizontal="center"/>
    </xf>
    <xf numFmtId="0" fontId="9" fillId="2" borderId="0" xfId="0" applyFont="1" applyFill="1" applyAlignment="1" applyProtection="1">
      <alignment horizontal="left" vertical="top" wrapText="1"/>
    </xf>
    <xf numFmtId="0" fontId="9" fillId="2" borderId="7" xfId="0" applyFont="1" applyFill="1" applyBorder="1" applyAlignment="1" applyProtection="1">
      <alignment horizontal="center"/>
    </xf>
    <xf numFmtId="0" fontId="8" fillId="2" borderId="0" xfId="0" applyFont="1" applyFill="1" applyAlignment="1" applyProtection="1">
      <alignment horizontal="left" vertical="top" wrapText="1"/>
      <protection locked="0"/>
    </xf>
    <xf numFmtId="0" fontId="22" fillId="7" borderId="0" xfId="0" applyFont="1" applyFill="1" applyBorder="1" applyAlignment="1" applyProtection="1">
      <alignment horizontal="center" vertical="center" wrapText="1"/>
    </xf>
    <xf numFmtId="0" fontId="22" fillId="8" borderId="0" xfId="0" applyFont="1" applyFill="1" applyBorder="1" applyAlignment="1" applyProtection="1">
      <alignment horizontal="center" vertical="center" wrapText="1"/>
    </xf>
    <xf numFmtId="0" fontId="9" fillId="6" borderId="18" xfId="0" applyFont="1" applyFill="1" applyBorder="1" applyAlignment="1" applyProtection="1">
      <alignment horizontal="center"/>
    </xf>
    <xf numFmtId="0" fontId="9" fillId="2" borderId="29" xfId="0" applyFont="1" applyFill="1" applyBorder="1" applyAlignment="1" applyProtection="1">
      <alignment horizontal="center"/>
    </xf>
    <xf numFmtId="0" fontId="9" fillId="2" borderId="28" xfId="0" applyFont="1" applyFill="1" applyBorder="1" applyAlignment="1" applyProtection="1"/>
    <xf numFmtId="0" fontId="8" fillId="2" borderId="0" xfId="0" applyFont="1" applyFill="1" applyBorder="1" applyAlignment="1" applyProtection="1">
      <alignment horizontal="right" wrapText="1"/>
    </xf>
    <xf numFmtId="0" fontId="8" fillId="2" borderId="34" xfId="0" applyFont="1" applyFill="1" applyBorder="1" applyAlignment="1" applyProtection="1">
      <alignment horizontal="right" wrapText="1"/>
    </xf>
    <xf numFmtId="0" fontId="9" fillId="2" borderId="40" xfId="0" applyFont="1" applyFill="1" applyBorder="1" applyAlignment="1" applyProtection="1">
      <alignment horizontal="center"/>
    </xf>
    <xf numFmtId="0" fontId="9" fillId="2" borderId="41" xfId="0" applyFont="1" applyFill="1" applyBorder="1" applyAlignment="1" applyProtection="1">
      <alignment horizontal="center"/>
    </xf>
    <xf numFmtId="0" fontId="8" fillId="2" borderId="43" xfId="0" applyFont="1" applyFill="1" applyBorder="1" applyAlignment="1" applyProtection="1">
      <alignment horizontal="center"/>
    </xf>
    <xf numFmtId="0" fontId="9" fillId="7" borderId="19" xfId="0" applyFont="1" applyFill="1" applyBorder="1" applyAlignment="1" applyProtection="1">
      <alignment horizontal="center"/>
      <protection locked="0"/>
    </xf>
    <xf numFmtId="168" fontId="10" fillId="7" borderId="13" xfId="0" applyNumberFormat="1" applyFont="1" applyFill="1" applyBorder="1" applyAlignment="1" applyProtection="1">
      <alignment horizontal="left"/>
      <protection locked="0"/>
    </xf>
    <xf numFmtId="168" fontId="8" fillId="7" borderId="13" xfId="0" applyNumberFormat="1" applyFont="1" applyFill="1" applyBorder="1" applyAlignment="1" applyProtection="1">
      <alignment horizontal="left"/>
      <protection locked="0"/>
    </xf>
    <xf numFmtId="0" fontId="9" fillId="7" borderId="13" xfId="0" applyFont="1" applyFill="1" applyBorder="1" applyAlignment="1" applyProtection="1">
      <alignment horizontal="left"/>
      <protection locked="0"/>
    </xf>
    <xf numFmtId="0" fontId="8" fillId="7" borderId="13" xfId="0" applyFont="1" applyFill="1" applyBorder="1" applyAlignment="1" applyProtection="1">
      <alignment horizontal="left"/>
      <protection locked="0"/>
    </xf>
    <xf numFmtId="0" fontId="7" fillId="7" borderId="14" xfId="3" applyFill="1" applyBorder="1" applyAlignment="1" applyProtection="1">
      <alignment horizontal="left"/>
      <protection locked="0"/>
    </xf>
    <xf numFmtId="0" fontId="8" fillId="7" borderId="14" xfId="0" applyFont="1" applyFill="1" applyBorder="1" applyAlignment="1" applyProtection="1">
      <alignment horizontal="left"/>
      <protection locked="0"/>
    </xf>
    <xf numFmtId="0" fontId="22" fillId="7" borderId="0" xfId="0" applyFont="1" applyFill="1" applyBorder="1" applyAlignment="1">
      <alignment horizontal="center" vertical="center" wrapText="1"/>
    </xf>
    <xf numFmtId="0" fontId="22" fillId="8" borderId="0" xfId="0" applyFont="1" applyFill="1" applyBorder="1" applyAlignment="1">
      <alignment horizontal="center" vertical="center" wrapText="1"/>
    </xf>
    <xf numFmtId="165" fontId="8" fillId="7" borderId="22" xfId="1" applyNumberFormat="1" applyFont="1" applyFill="1" applyBorder="1" applyAlignment="1" applyProtection="1">
      <alignment horizontal="center"/>
      <protection locked="0"/>
    </xf>
    <xf numFmtId="165" fontId="8" fillId="7" borderId="13" xfId="1" applyNumberFormat="1" applyFont="1" applyFill="1" applyBorder="1" applyAlignment="1" applyProtection="1">
      <alignment horizontal="center"/>
      <protection locked="0"/>
    </xf>
    <xf numFmtId="165" fontId="8" fillId="7" borderId="6" xfId="1" applyNumberFormat="1" applyFont="1" applyFill="1" applyBorder="1" applyAlignment="1" applyProtection="1">
      <alignment horizontal="center"/>
      <protection locked="0"/>
    </xf>
    <xf numFmtId="165" fontId="8" fillId="7" borderId="16" xfId="1" applyNumberFormat="1" applyFont="1" applyFill="1" applyBorder="1" applyAlignment="1" applyProtection="1">
      <alignment horizontal="center"/>
      <protection locked="0"/>
    </xf>
    <xf numFmtId="165" fontId="8" fillId="7" borderId="19" xfId="1" applyNumberFormat="1" applyFont="1" applyFill="1" applyBorder="1" applyAlignment="1" applyProtection="1">
      <alignment horizontal="center"/>
      <protection locked="0"/>
    </xf>
    <xf numFmtId="165" fontId="8" fillId="7" borderId="9" xfId="1" applyNumberFormat="1" applyFont="1" applyFill="1" applyBorder="1" applyAlignment="1" applyProtection="1">
      <alignment horizontal="center"/>
      <protection locked="0"/>
    </xf>
    <xf numFmtId="0" fontId="9" fillId="0" borderId="32" xfId="0" applyFont="1" applyBorder="1" applyAlignment="1">
      <alignment horizontal="center" wrapText="1"/>
    </xf>
    <xf numFmtId="0" fontId="9" fillId="0" borderId="7" xfId="0" applyFont="1" applyBorder="1" applyAlignment="1">
      <alignment horizontal="center" wrapText="1"/>
    </xf>
    <xf numFmtId="0" fontId="9" fillId="0" borderId="33" xfId="0" applyFont="1" applyBorder="1" applyAlignment="1">
      <alignment horizontal="center" wrapText="1"/>
    </xf>
    <xf numFmtId="0" fontId="9" fillId="2" borderId="32" xfId="0" applyFont="1" applyFill="1" applyBorder="1" applyAlignment="1">
      <alignment horizontal="center"/>
    </xf>
    <xf numFmtId="0" fontId="9" fillId="2" borderId="7" xfId="0" applyFont="1" applyFill="1" applyBorder="1" applyAlignment="1">
      <alignment horizontal="center"/>
    </xf>
    <xf numFmtId="0" fontId="9" fillId="2" borderId="33" xfId="0" applyFont="1" applyFill="1" applyBorder="1" applyAlignment="1">
      <alignment horizontal="center"/>
    </xf>
    <xf numFmtId="165" fontId="8" fillId="7" borderId="17" xfId="1" applyNumberFormat="1" applyFont="1" applyFill="1" applyBorder="1" applyAlignment="1" applyProtection="1">
      <alignment horizontal="center"/>
      <protection locked="0"/>
    </xf>
    <xf numFmtId="165" fontId="8" fillId="7" borderId="14" xfId="1" applyNumberFormat="1" applyFont="1" applyFill="1" applyBorder="1" applyAlignment="1" applyProtection="1">
      <alignment horizontal="center"/>
      <protection locked="0"/>
    </xf>
    <xf numFmtId="165" fontId="8" fillId="7" borderId="10" xfId="1" applyNumberFormat="1" applyFont="1" applyFill="1" applyBorder="1" applyAlignment="1" applyProtection="1">
      <alignment horizontal="center"/>
      <protection locked="0"/>
    </xf>
    <xf numFmtId="0" fontId="12" fillId="2" borderId="0" xfId="0" applyFont="1" applyFill="1" applyBorder="1" applyAlignment="1">
      <alignment horizontal="center" wrapText="1"/>
    </xf>
    <xf numFmtId="0" fontId="12" fillId="2" borderId="29" xfId="0" applyFont="1" applyFill="1" applyBorder="1" applyAlignment="1">
      <alignment horizontal="center" wrapText="1"/>
    </xf>
    <xf numFmtId="0" fontId="12" fillId="2" borderId="0" xfId="0" applyFont="1" applyFill="1" applyBorder="1" applyAlignment="1">
      <alignment horizontal="center"/>
    </xf>
    <xf numFmtId="0" fontId="1" fillId="2" borderId="0" xfId="0" applyFont="1" applyFill="1" applyBorder="1" applyAlignment="1">
      <alignment horizontal="right" wrapText="1"/>
    </xf>
    <xf numFmtId="0" fontId="9" fillId="6" borderId="9" xfId="0" applyFont="1" applyFill="1" applyBorder="1" applyAlignment="1">
      <alignment horizontal="center"/>
    </xf>
    <xf numFmtId="0" fontId="8" fillId="6" borderId="1" xfId="0" applyFont="1" applyFill="1" applyBorder="1" applyAlignment="1"/>
    <xf numFmtId="0" fontId="8" fillId="6" borderId="16" xfId="0" applyFont="1" applyFill="1" applyBorder="1" applyAlignment="1"/>
    <xf numFmtId="168" fontId="8" fillId="7" borderId="13" xfId="0" applyNumberFormat="1" applyFont="1" applyFill="1" applyBorder="1" applyAlignment="1" applyProtection="1">
      <alignment horizontal="center"/>
      <protection locked="0"/>
    </xf>
    <xf numFmtId="0" fontId="8" fillId="7" borderId="13" xfId="0" applyFont="1" applyFill="1" applyBorder="1" applyAlignment="1" applyProtection="1">
      <alignment horizontal="center"/>
      <protection locked="0"/>
    </xf>
    <xf numFmtId="0" fontId="7" fillId="7" borderId="14" xfId="3" applyFill="1" applyBorder="1" applyAlignment="1" applyProtection="1">
      <alignment horizontal="center"/>
      <protection locked="0"/>
    </xf>
    <xf numFmtId="0" fontId="8" fillId="7" borderId="14" xfId="0" applyFont="1" applyFill="1" applyBorder="1" applyAlignment="1" applyProtection="1">
      <alignment horizontal="center"/>
      <protection locked="0"/>
    </xf>
    <xf numFmtId="0" fontId="9" fillId="2" borderId="10" xfId="0" applyFont="1" applyFill="1" applyBorder="1" applyAlignment="1">
      <alignment horizontal="center"/>
    </xf>
    <xf numFmtId="0" fontId="8" fillId="2" borderId="2" xfId="0" applyFont="1" applyFill="1" applyBorder="1" applyAlignment="1">
      <alignment horizontal="center"/>
    </xf>
    <xf numFmtId="0" fontId="8" fillId="2" borderId="17" xfId="0" applyFont="1" applyFill="1" applyBorder="1" applyAlignment="1">
      <alignment horizontal="center"/>
    </xf>
    <xf numFmtId="0" fontId="28" fillId="2" borderId="0" xfId="0" applyFont="1" applyFill="1" applyBorder="1" applyAlignment="1">
      <alignment horizontal="left"/>
    </xf>
    <xf numFmtId="0" fontId="2" fillId="2" borderId="0" xfId="0" applyFont="1" applyFill="1" applyAlignment="1">
      <alignment horizontal="center" wrapText="1"/>
    </xf>
    <xf numFmtId="0" fontId="2" fillId="2" borderId="29" xfId="0" applyFont="1" applyFill="1" applyBorder="1" applyAlignment="1">
      <alignment horizontal="center" wrapText="1"/>
    </xf>
    <xf numFmtId="0" fontId="12" fillId="2" borderId="18" xfId="0" applyFont="1" applyFill="1" applyBorder="1" applyAlignment="1">
      <alignment horizontal="center"/>
    </xf>
    <xf numFmtId="0" fontId="9" fillId="2" borderId="32" xfId="0" applyFont="1" applyFill="1" applyBorder="1" applyAlignment="1" applyProtection="1">
      <alignment horizontal="center" wrapText="1"/>
      <protection locked="0"/>
    </xf>
    <xf numFmtId="0" fontId="9" fillId="2" borderId="7" xfId="0" applyFont="1" applyFill="1" applyBorder="1" applyAlignment="1" applyProtection="1">
      <alignment horizontal="center" wrapText="1"/>
      <protection locked="0"/>
    </xf>
    <xf numFmtId="0" fontId="9" fillId="2" borderId="33" xfId="0" applyFont="1" applyFill="1" applyBorder="1" applyAlignment="1" applyProtection="1">
      <alignment horizontal="center" wrapText="1"/>
      <protection locked="0"/>
    </xf>
    <xf numFmtId="0" fontId="22" fillId="7" borderId="0" xfId="0" applyFont="1" applyFill="1" applyBorder="1" applyAlignment="1" applyProtection="1">
      <alignment horizontal="center" vertical="center" wrapText="1"/>
      <protection locked="0"/>
    </xf>
    <xf numFmtId="0" fontId="22" fillId="8" borderId="0" xfId="0" applyFont="1" applyFill="1" applyBorder="1" applyAlignment="1" applyProtection="1">
      <alignment horizontal="center" vertical="center" wrapText="1"/>
      <protection locked="0"/>
    </xf>
    <xf numFmtId="0" fontId="9" fillId="6" borderId="9" xfId="0" applyFont="1" applyFill="1" applyBorder="1" applyAlignment="1" applyProtection="1">
      <alignment horizontal="center"/>
    </xf>
    <xf numFmtId="0" fontId="8" fillId="6" borderId="1" xfId="0" applyFont="1" applyFill="1" applyBorder="1" applyAlignment="1" applyProtection="1"/>
    <xf numFmtId="0" fontId="8" fillId="6" borderId="16" xfId="0" applyFont="1" applyFill="1" applyBorder="1" applyAlignment="1" applyProtection="1"/>
    <xf numFmtId="0" fontId="9" fillId="6" borderId="10" xfId="0" applyFont="1" applyFill="1" applyBorder="1" applyAlignment="1" applyProtection="1">
      <alignment horizontal="center"/>
    </xf>
    <xf numFmtId="0" fontId="8" fillId="6" borderId="2" xfId="0" applyFont="1" applyFill="1" applyBorder="1" applyAlignment="1" applyProtection="1">
      <alignment horizontal="center"/>
    </xf>
    <xf numFmtId="0" fontId="8" fillId="6" borderId="17" xfId="0" applyFont="1" applyFill="1" applyBorder="1" applyAlignment="1" applyProtection="1">
      <alignment horizontal="center"/>
    </xf>
    <xf numFmtId="0" fontId="12" fillId="2" borderId="29" xfId="0" applyFont="1" applyFill="1" applyBorder="1" applyAlignment="1" applyProtection="1">
      <alignment horizontal="center"/>
      <protection locked="0"/>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19050</xdr:colOff>
      <xdr:row>11</xdr:row>
      <xdr:rowOff>19050</xdr:rowOff>
    </xdr:from>
    <xdr:to>
      <xdr:col>4</xdr:col>
      <xdr:colOff>571500</xdr:colOff>
      <xdr:row>69</xdr:row>
      <xdr:rowOff>95250</xdr:rowOff>
    </xdr:to>
    <xdr:sp macro="" textlink="">
      <xdr:nvSpPr>
        <xdr:cNvPr id="2" name="TextBox 1"/>
        <xdr:cNvSpPr txBox="1"/>
      </xdr:nvSpPr>
      <xdr:spPr>
        <a:xfrm>
          <a:off x="19050" y="2162175"/>
          <a:ext cx="11391900" cy="11125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b="1">
              <a:effectLst/>
            </a:rPr>
            <a:t>RCW 19.285.070</a:t>
          </a:r>
        </a:p>
        <a:p>
          <a:r>
            <a:rPr lang="en-US" b="1">
              <a:effectLst/>
            </a:rPr>
            <a:t>Reporting and public disclosure.</a:t>
          </a:r>
        </a:p>
        <a:p>
          <a:r>
            <a:rPr lang="en-US" baseline="0">
              <a:effectLst/>
            </a:rPr>
            <a:t>     </a:t>
          </a:r>
          <a:r>
            <a:rPr lang="en-US">
              <a:effectLst/>
            </a:rPr>
            <a:t>(1) On or before June 1, 2012, and annually thereafter, each qualifying utility shall report to the department on its progress in the preceding year in meeting the targets established in RCW </a:t>
          </a:r>
          <a:r>
            <a:rPr lang="en-US">
              <a:effectLst/>
              <a:hlinkClick xmlns:r="http://schemas.openxmlformats.org/officeDocument/2006/relationships" r:id=""/>
            </a:rPr>
            <a:t>19.285.040</a:t>
          </a:r>
          <a:r>
            <a:rPr lang="en-US">
              <a:effectLst/>
            </a:rPr>
            <a:t>, including expected electricity savings from the biennial conservation target, expenditures on conservation, actual electricity savings results, the utility's annual load for the prior two years, the amount of megawatt-hours needed to meet the annual renewable energy target, the amount of megawatt-hours of each type of eligible renewable resource acquired, the type and amount of renewable energy credits acquired, and the percent of its total annual retail revenue requirement invested in the incremental cost of eligible renewable resources and the cost of renewable energy credits. For each year that a qualifying utility elects to demonstrate alternative compliance under RCW </a:t>
          </a:r>
          <a:r>
            <a:rPr lang="en-US">
              <a:effectLst/>
              <a:hlinkClick xmlns:r="http://schemas.openxmlformats.org/officeDocument/2006/relationships" r:id=""/>
            </a:rPr>
            <a:t>19.285.040</a:t>
          </a:r>
          <a:r>
            <a:rPr lang="en-US">
              <a:effectLst/>
            </a:rPr>
            <a:t>(2) (d) or (i) or </a:t>
          </a:r>
          <a:r>
            <a:rPr lang="en-US">
              <a:effectLst/>
              <a:hlinkClick xmlns:r="http://schemas.openxmlformats.org/officeDocument/2006/relationships" r:id=""/>
            </a:rPr>
            <a:t>19.285.050</a:t>
          </a:r>
          <a:r>
            <a:rPr lang="en-US">
              <a:effectLst/>
            </a:rPr>
            <a:t>(1), it must include in its annual report relevant data to demonstrate that it met the criteria in that section. A qualifying utility may submit its report to the department in conjunction with its annual obligations in chapter </a:t>
          </a:r>
          <a:r>
            <a:rPr lang="en-US">
              <a:effectLst/>
              <a:hlinkClick xmlns:r="http://schemas.openxmlformats.org/officeDocument/2006/relationships" r:id=""/>
            </a:rPr>
            <a:t>19.29A</a:t>
          </a:r>
          <a:r>
            <a:rPr lang="en-US">
              <a:effectLst/>
            </a:rPr>
            <a:t> RCW.</a:t>
          </a:r>
        </a:p>
        <a:p>
          <a:r>
            <a:rPr lang="en-US">
              <a:effectLst/>
            </a:rPr>
            <a:t>     (2) A qualifying utility that is an investor-owned utility shall also report all information required in subsection (1) of this section to the commission, and all other qualifying utilities shall also make all information required in subsection (1) of this section available to the auditor.</a:t>
          </a:r>
        </a:p>
        <a:p>
          <a:r>
            <a:rPr lang="en-US">
              <a:effectLst/>
            </a:rPr>
            <a:t>     (3) A qualifying utility shall also make reports required in this section available to its customers.</a:t>
          </a:r>
        </a:p>
        <a:p>
          <a:endParaRPr lang="en-US" b="1">
            <a:effectLst/>
          </a:endParaRPr>
        </a:p>
        <a:p>
          <a:r>
            <a:rPr lang="en-US" b="1">
              <a:effectLst/>
            </a:rPr>
            <a:t>WAC 194-37-060</a:t>
          </a:r>
        </a:p>
        <a:p>
          <a:r>
            <a:rPr lang="en-US" b="1">
              <a:effectLst/>
            </a:rPr>
            <a:t>Conservation reporting requirements.</a:t>
          </a:r>
        </a:p>
        <a:p>
          <a:r>
            <a:rPr lang="en-US">
              <a:effectLst/>
            </a:rPr>
            <a:t>     Each utility shall submit an annual conservation report to the department by June 1st using a form provided by the department. The conservation report must show the utility's progress in the preceding year in meeting the conservation targets established in RCW </a:t>
          </a:r>
          <a:r>
            <a:rPr lang="en-US">
              <a:effectLst/>
              <a:hlinkClick xmlns:r="http://schemas.openxmlformats.org/officeDocument/2006/relationships" r:id=""/>
            </a:rPr>
            <a:t>19.285.040</a:t>
          </a:r>
          <a:r>
            <a:rPr lang="en-US">
              <a:effectLst/>
            </a:rPr>
            <a:t> and must include the following:</a:t>
          </a:r>
        </a:p>
        <a:p>
          <a:r>
            <a:rPr lang="en-US">
              <a:effectLst/>
            </a:rPr>
            <a:t>     (1) The total electricity savings and expenditures for conservation by the following sectors: Residential, commercial, industrial, agricultural, distribution system, and production system. A utility may report results achieved through nonutility programs, as identified in WAC </a:t>
          </a:r>
          <a:r>
            <a:rPr lang="en-US">
              <a:effectLst/>
              <a:hlinkClick xmlns:r="http://schemas.openxmlformats.org/officeDocument/2006/relationships" r:id=""/>
            </a:rPr>
            <a:t>194-37-080</a:t>
          </a:r>
          <a:r>
            <a:rPr lang="en-US">
              <a:effectLst/>
            </a:rPr>
            <a:t>(5), by program, if the results are not included in the reported results by customer sector. Reports submitted in odd-numbered years must include an estimate of savings and expenditures in the prior year. Reports submitted in even-numbered years must include the amount of savings and expenditures in the prior two years. All savings must be documented pursuant to WAC </a:t>
          </a:r>
          <a:r>
            <a:rPr lang="en-US">
              <a:effectLst/>
              <a:hlinkClick xmlns:r="http://schemas.openxmlformats.org/officeDocument/2006/relationships" r:id=""/>
            </a:rPr>
            <a:t>194-37-080</a:t>
          </a:r>
          <a:r>
            <a:rPr lang="en-US">
              <a:effectLst/>
            </a:rPr>
            <a:t>.</a:t>
          </a:r>
        </a:p>
        <a:p>
          <a:r>
            <a:rPr lang="en-US">
              <a:effectLst/>
            </a:rPr>
            <a:t>     (2) A brief description of the methodology used to establish the utility's ten-year potential and biennial target to capture cost-effective conservation.</a:t>
          </a:r>
        </a:p>
        <a:p>
          <a:r>
            <a:rPr lang="en-US">
              <a:effectLst/>
            </a:rPr>
            <a:t>     (3) In even-numbered years the report must include the utility's ten-year conservation potential and biennial targets established pursuant to WAC </a:t>
          </a:r>
          <a:r>
            <a:rPr lang="en-US">
              <a:effectLst/>
              <a:hlinkClick xmlns:r="http://schemas.openxmlformats.org/officeDocument/2006/relationships" r:id=""/>
            </a:rPr>
            <a:t>194-37-070</a:t>
          </a:r>
          <a:r>
            <a:rPr lang="en-US">
              <a:effectLst/>
            </a:rPr>
            <a:t>.</a:t>
          </a:r>
        </a:p>
        <a:p>
          <a:endParaRPr lang="en-US" sz="1100"/>
        </a:p>
        <a:p>
          <a:r>
            <a:rPr lang="en-US" b="1">
              <a:effectLst/>
            </a:rPr>
            <a:t>WAC 194-37-110</a:t>
          </a:r>
        </a:p>
        <a:p>
          <a:r>
            <a:rPr lang="en-US" b="1">
              <a:effectLst/>
            </a:rPr>
            <a:t>Renewable resource energy reporting.</a:t>
          </a:r>
        </a:p>
        <a:p>
          <a:r>
            <a:rPr lang="en-US">
              <a:effectLst/>
            </a:rPr>
            <a:t>     Each utility must submit a renewable resource energy report to the department by June 1st of each year using a form provided by the department. The report must reflect the actions that the utility took by the previous January 1st to meet the renewable requirements of chapter </a:t>
          </a:r>
          <a:r>
            <a:rPr lang="en-US">
              <a:effectLst/>
              <a:hlinkClick xmlns:r="http://schemas.openxmlformats.org/officeDocument/2006/relationships" r:id=""/>
            </a:rPr>
            <a:t>19.285</a:t>
          </a:r>
          <a:r>
            <a:rPr lang="en-US">
              <a:effectLst/>
            </a:rPr>
            <a:t> RCW for that year. For example, a utility must report by June 1, 2015, the actions it took by January 1, 2015, to meet requirements applicable to the 2015 target year.</a:t>
          </a:r>
        </a:p>
        <a:p>
          <a:r>
            <a:rPr lang="en-US" baseline="0">
              <a:effectLst/>
            </a:rPr>
            <a:t>     </a:t>
          </a:r>
          <a:r>
            <a:rPr lang="en-US">
              <a:effectLst/>
            </a:rPr>
            <a:t>(1) </a:t>
          </a:r>
          <a:r>
            <a:rPr lang="en-US" b="1">
              <a:effectLst/>
            </a:rPr>
            <a:t>Reporting requirements applicable to all utilities.</a:t>
          </a:r>
          <a:r>
            <a:rPr lang="en-US">
              <a:effectLst/>
            </a:rPr>
            <a:t> Each utility must report the following information:</a:t>
          </a:r>
        </a:p>
        <a:p>
          <a:r>
            <a:rPr lang="en-US">
              <a:effectLst/>
            </a:rPr>
            <a:t>     (a) The compliance method:</a:t>
          </a:r>
        </a:p>
        <a:p>
          <a:r>
            <a:rPr lang="en-US">
              <a:effectLst/>
            </a:rPr>
            <a:t>          (i) Renewable energy target using renewable resources and RECs – RCW </a:t>
          </a:r>
          <a:r>
            <a:rPr lang="en-US">
              <a:effectLst/>
              <a:hlinkClick xmlns:r="http://schemas.openxmlformats.org/officeDocument/2006/relationships" r:id=""/>
            </a:rPr>
            <a:t>19.285.040</a:t>
          </a:r>
          <a:r>
            <a:rPr lang="en-US">
              <a:effectLst/>
            </a:rPr>
            <a:t> (2)(a);</a:t>
          </a:r>
        </a:p>
        <a:p>
          <a:r>
            <a:rPr lang="en-US">
              <a:effectLst/>
            </a:rPr>
            <a:t>          (ii) Incremental cost – RCW </a:t>
          </a:r>
          <a:r>
            <a:rPr lang="en-US">
              <a:effectLst/>
              <a:hlinkClick xmlns:r="http://schemas.openxmlformats.org/officeDocument/2006/relationships" r:id=""/>
            </a:rPr>
            <a:t>19.285.050</a:t>
          </a:r>
          <a:r>
            <a:rPr lang="en-US">
              <a:effectLst/>
            </a:rPr>
            <a:t>; or</a:t>
          </a:r>
        </a:p>
        <a:p>
          <a:r>
            <a:rPr lang="en-US">
              <a:effectLst/>
            </a:rPr>
            <a:t>          (iii) No-growth cost – RCW </a:t>
          </a:r>
          <a:r>
            <a:rPr lang="en-US">
              <a:effectLst/>
              <a:hlinkClick xmlns:r="http://schemas.openxmlformats.org/officeDocument/2006/relationships" r:id=""/>
            </a:rPr>
            <a:t>19.285.040</a:t>
          </a:r>
          <a:r>
            <a:rPr lang="en-US">
              <a:effectLst/>
            </a:rPr>
            <a:t> (2)(d).</a:t>
          </a:r>
        </a:p>
        <a:p>
          <a:r>
            <a:rPr lang="en-US">
              <a:effectLst/>
            </a:rPr>
            <a:t>     (b) The utility's load for the two years preceding the target year and the average load for those two years.</a:t>
          </a:r>
        </a:p>
        <a:p>
          <a:r>
            <a:rPr lang="en-US">
              <a:effectLst/>
            </a:rPr>
            <a:t>     (c) The utility's renewable energy target for the target year.</a:t>
          </a:r>
        </a:p>
        <a:p>
          <a:r>
            <a:rPr lang="en-US">
              <a:effectLst/>
            </a:rPr>
            <a:t>     (d) The amount of eligible renewable resources, RECs, and multiplier credits to be applied toward the utility's renewable energy target for the target year. The report must identify, by generating facility or hydroelectric project, including the WREGIS generating unit identification where applicable, and, in the case of RECs, by vintage year:</a:t>
          </a:r>
        </a:p>
        <a:p>
          <a:r>
            <a:rPr lang="en-US">
              <a:effectLst/>
            </a:rPr>
            <a:t>          (i) The eligible renewable resources in megawatt-hours to be applied toward the renewable energy target for the target year;</a:t>
          </a:r>
        </a:p>
        <a:p>
          <a:r>
            <a:rPr lang="en-US">
              <a:effectLst/>
            </a:rPr>
            <a:t>         (ii) The RECs to be applied toward the renewable energy target for the target year;</a:t>
          </a:r>
        </a:p>
        <a:p>
          <a:r>
            <a:rPr lang="en-US">
              <a:effectLst/>
            </a:rPr>
            <a:t>         (iii) Any additional credit for eligible renewable resources or RECs from generating facilities eligible for the apprentice labor provision in RCW </a:t>
          </a:r>
          <a:r>
            <a:rPr lang="en-US">
              <a:effectLst/>
              <a:hlinkClick xmlns:r="http://schemas.openxmlformats.org/officeDocument/2006/relationships" r:id=""/>
            </a:rPr>
            <a:t>19.285.040</a:t>
          </a:r>
          <a:r>
            <a:rPr lang="en-US">
              <a:effectLst/>
            </a:rPr>
            <a:t> (2)(h), applied toward the renewable energy target for the target year;</a:t>
          </a:r>
        </a:p>
        <a:p>
          <a:r>
            <a:rPr lang="en-US">
              <a:effectLst/>
            </a:rPr>
            <a:t>          (iv) Any additional credit for RECs from generating facilities eligible for the distributed generation in RCW </a:t>
          </a:r>
          <a:r>
            <a:rPr lang="en-US">
              <a:effectLst/>
              <a:hlinkClick xmlns:r="http://schemas.openxmlformats.org/officeDocument/2006/relationships" r:id=""/>
            </a:rPr>
            <a:t>19.285.040</a:t>
          </a:r>
          <a:r>
            <a:rPr lang="en-US">
              <a:effectLst/>
            </a:rPr>
            <a:t> (2)(b), applied toward the renewable energy target for the target year.</a:t>
          </a:r>
        </a:p>
        <a:p>
          <a:r>
            <a:rPr lang="en-US">
              <a:effectLst/>
            </a:rPr>
            <a:t>     (e) The percent of its total annual retail revenue requirement invested in the incremental cost of eligible renewable resources and the cost of renewable energy credits. Each utility must include in its report documentation of the calculations and inputs to this amount.</a:t>
          </a:r>
        </a:p>
        <a:p>
          <a:r>
            <a:rPr lang="en-US">
              <a:effectLst/>
            </a:rPr>
            <a:t>     (2) </a:t>
          </a:r>
          <a:r>
            <a:rPr lang="en-US" b="1">
              <a:effectLst/>
            </a:rPr>
            <a:t>Incremental cost compliance method report.</a:t>
          </a:r>
          <a:r>
            <a:rPr lang="en-US">
              <a:effectLst/>
            </a:rPr>
            <a:t> Each utility reporting pursuant to subsection (1)(a) of this section its use of the incremental cost compliance method for the target year must include the following information in its report:</a:t>
          </a:r>
        </a:p>
        <a:p>
          <a:r>
            <a:rPr lang="en-US">
              <a:effectLst/>
            </a:rPr>
            <a:t>     (a) Annual revenue requirement for the target year;</a:t>
          </a:r>
        </a:p>
        <a:p>
          <a:r>
            <a:rPr lang="en-US">
              <a:effectLst/>
            </a:rPr>
            <a:t>     (b) The annual levelized delivered cost of its eligible renewable resource(s) reported separately for each resource;</a:t>
          </a:r>
        </a:p>
        <a:p>
          <a:r>
            <a:rPr lang="en-US">
              <a:effectLst/>
            </a:rPr>
            <a:t>     (c) The annual levelized delivered cost of its substitute resources and the eligible renewable resource with which it is being compared;</a:t>
          </a:r>
        </a:p>
        <a:p>
          <a:r>
            <a:rPr lang="en-US">
              <a:effectLst/>
            </a:rPr>
            <a:t>     (d) The total cost of renewable energy credits to be applied in the reporting year;</a:t>
          </a:r>
        </a:p>
        <a:p>
          <a:r>
            <a:rPr lang="en-US">
              <a:effectLst/>
            </a:rPr>
            <a:t>     (e) The percentage of its annual revenue requirement invested in the incremental cost of eligible renewable resources and the cost of RECs; and</a:t>
          </a:r>
        </a:p>
        <a:p>
          <a:r>
            <a:rPr lang="en-US">
              <a:effectLst/>
            </a:rPr>
            <a:t>     (f) The most current information required by WAC </a:t>
          </a:r>
          <a:r>
            <a:rPr lang="en-US">
              <a:effectLst/>
              <a:hlinkClick xmlns:r="http://schemas.openxmlformats.org/officeDocument/2006/relationships" r:id=""/>
            </a:rPr>
            <a:t>194-37-160</a:t>
          </a:r>
          <a:r>
            <a:rPr lang="en-US">
              <a:effectLst/>
            </a:rPr>
            <a:t> used for this financial demonstration.</a:t>
          </a:r>
        </a:p>
        <a:p>
          <a:r>
            <a:rPr lang="en-US">
              <a:effectLst/>
            </a:rPr>
            <a:t>     (3) </a:t>
          </a:r>
          <a:r>
            <a:rPr lang="en-US" b="1">
              <a:effectLst/>
            </a:rPr>
            <a:t>No-growth cost compliance method report.</a:t>
          </a:r>
          <a:r>
            <a:rPr lang="en-US">
              <a:effectLst/>
            </a:rPr>
            <a:t> Each utility reporting pursuant to subsection (1)(a) of this section its use of the no-growth cost compliance method for the target year must include the following information in its report:</a:t>
          </a:r>
        </a:p>
        <a:p>
          <a:r>
            <a:rPr lang="en-US">
              <a:effectLst/>
            </a:rPr>
            <a:t>     (a) Annual revenue requirement for the target year;</a:t>
          </a:r>
        </a:p>
        <a:p>
          <a:r>
            <a:rPr lang="en-US">
              <a:effectLst/>
            </a:rPr>
            <a:t>     (b) Actual and weather-adjusted load for each year used in determining that the utility's load did not increase;</a:t>
          </a:r>
        </a:p>
        <a:p>
          <a:r>
            <a:rPr lang="en-US">
              <a:effectLst/>
            </a:rPr>
            <a:t>     (c) Delivered cost of its eligible renewable resource(s), RECs or a combination of both for the target year to be applied to the one percent of annual revenue requirement, reported separately for each resource;</a:t>
          </a:r>
        </a:p>
        <a:p>
          <a:r>
            <a:rPr lang="en-US">
              <a:effectLst/>
            </a:rPr>
            <a:t>     (d) Generating facility identification, vintage, quantity and cost of any RECs to be retired as an offset for nonrenewable resource purchases pursuant to RCW </a:t>
          </a:r>
          <a:r>
            <a:rPr lang="en-US">
              <a:effectLst/>
              <a:hlinkClick xmlns:r="http://schemas.openxmlformats.org/officeDocument/2006/relationships" r:id=""/>
            </a:rPr>
            <a:t>19.285.040</a:t>
          </a:r>
          <a:r>
            <a:rPr lang="en-US">
              <a:effectLst/>
            </a:rPr>
            <a:t> (2)(d).</a:t>
          </a:r>
        </a:p>
        <a:p>
          <a:r>
            <a:rPr lang="en-US">
              <a:effectLst/>
            </a:rPr>
            <a:t>     (4) </a:t>
          </a:r>
          <a:r>
            <a:rPr lang="en-US" b="1">
              <a:effectLst/>
            </a:rPr>
            <a:t>Final compliance report.</a:t>
          </a:r>
          <a:r>
            <a:rPr lang="en-US">
              <a:effectLst/>
            </a:rPr>
            <a:t> A utility must submit a final renewable compliance report by the later of (a) two years after the filing of the report required in subsections (1) through (3) of this section; or (b) ninety days after the issuance of the auditor's report for the target year. The final renewable compliance report must provide an update of any revisions to the information previously reported pursuant to this section or, if no revisions were made, notify the department that the initial report should be considered the final report. For any target year that a utility demonstrates to the auditor that it did not meet the annual renewable resource requirements in chapter </a:t>
          </a:r>
          <a:r>
            <a:rPr lang="en-US">
              <a:effectLst/>
              <a:hlinkClick xmlns:r="http://schemas.openxmlformats.org/officeDocument/2006/relationships" r:id=""/>
            </a:rPr>
            <a:t>19.285</a:t>
          </a:r>
          <a:r>
            <a:rPr lang="en-US">
              <a:effectLst/>
            </a:rPr>
            <a:t> RCW due to events beyond the reasonable control of the utility per RCW </a:t>
          </a:r>
          <a:r>
            <a:rPr lang="en-US">
              <a:effectLst/>
              <a:hlinkClick xmlns:r="http://schemas.openxmlformats.org/officeDocument/2006/relationships" r:id=""/>
            </a:rPr>
            <a:t>19.285.040</a:t>
          </a:r>
          <a:r>
            <a:rPr lang="en-US">
              <a:effectLst/>
            </a:rPr>
            <a:t> (2)(i), the utility must summarize these events in the final compliance report.</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247650</xdr:colOff>
      <xdr:row>17</xdr:row>
      <xdr:rowOff>361950</xdr:rowOff>
    </xdr:from>
    <xdr:to>
      <xdr:col>8</xdr:col>
      <xdr:colOff>552450</xdr:colOff>
      <xdr:row>24</xdr:row>
      <xdr:rowOff>133350</xdr:rowOff>
    </xdr:to>
    <xdr:sp macro="" textlink="">
      <xdr:nvSpPr>
        <xdr:cNvPr id="4" name="TextBox 3"/>
        <xdr:cNvSpPr txBox="1"/>
      </xdr:nvSpPr>
      <xdr:spPr>
        <a:xfrm>
          <a:off x="7172325" y="3676650"/>
          <a:ext cx="1123950" cy="1304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t>Note: Expenditure</a:t>
          </a:r>
          <a:r>
            <a:rPr lang="en-US" sz="1100" i="1" baseline="0"/>
            <a:t> amounts do not include any customer or other non-utility costs.</a:t>
          </a:r>
          <a:endParaRPr lang="en-US" sz="1100" i="1"/>
        </a:p>
      </xdr:txBody>
    </xdr:sp>
    <xdr:clientData/>
  </xdr:twoCellAnchor>
  <xdr:twoCellAnchor>
    <xdr:from>
      <xdr:col>0</xdr:col>
      <xdr:colOff>38100</xdr:colOff>
      <xdr:row>35</xdr:row>
      <xdr:rowOff>352425</xdr:rowOff>
    </xdr:from>
    <xdr:to>
      <xdr:col>8</xdr:col>
      <xdr:colOff>695325</xdr:colOff>
      <xdr:row>80</xdr:row>
      <xdr:rowOff>108858</xdr:rowOff>
    </xdr:to>
    <xdr:sp macro="" textlink="">
      <xdr:nvSpPr>
        <xdr:cNvPr id="2" name="TextBox 1"/>
        <xdr:cNvSpPr txBox="1"/>
      </xdr:nvSpPr>
      <xdr:spPr>
        <a:xfrm>
          <a:off x="38100" y="7659461"/>
          <a:ext cx="8195582" cy="10587718"/>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100">
              <a:solidFill>
                <a:schemeClr val="dk1"/>
              </a:solidFill>
              <a:effectLst/>
              <a:latin typeface="+mn-lt"/>
              <a:ea typeface="+mn-ea"/>
              <a:cs typeface="+mn-cs"/>
            </a:rPr>
            <a:t>The Company’s energy efficiency acquisition targets for the 2014-2015 Biennium were based upon a Conservation Potential Assessment (CPA) completed as part of Avista’s 2013 Electric Integrated Resource Plan (IRP) by a third-party consultant applying methodologies consistent with the Northwest Power and Conservation Council’s (NWPCC) Sixth Power Plan. </a:t>
          </a:r>
          <a:endParaRPr lang="en-US">
            <a:effectLst/>
          </a:endParaRPr>
        </a:p>
        <a:p>
          <a:pPr eaLnBrk="1" fontAlgn="auto" latinLnBrk="0" hangingPunct="1"/>
          <a:r>
            <a:rPr lang="en-US" sz="1100">
              <a:solidFill>
                <a:schemeClr val="dk1"/>
              </a:solidFill>
              <a:effectLst/>
              <a:latin typeface="+mn-lt"/>
              <a:ea typeface="+mn-ea"/>
              <a:cs typeface="+mn-cs"/>
            </a:rPr>
            <a:t> Avista's 2014-2015 targets were approved in Order No. 01, Docket No. UE-132045, by the Washington Utilities and Transportation Commission (UTC) on December 19, 2013.  </a:t>
          </a:r>
          <a:r>
            <a:rPr lang="en-US" sz="1100" u="sng">
              <a:solidFill>
                <a:schemeClr val="dk1"/>
              </a:solidFill>
              <a:effectLst/>
              <a:latin typeface="+mn-lt"/>
              <a:ea typeface="+mn-ea"/>
              <a:cs typeface="+mn-cs"/>
            </a:rPr>
            <a:t>http://www.utc.wa.gov/docs/Pages/DocketLookup.aspx?FilingID=132045</a:t>
          </a:r>
          <a:endParaRPr lang="en-US">
            <a:effectLst/>
          </a:endParaRPr>
        </a:p>
        <a:p>
          <a:pPr eaLnBrk="1" fontAlgn="auto" latinLnBrk="0" hangingPunct="1"/>
          <a:r>
            <a:rPr lang="en-US" sz="1100">
              <a:solidFill>
                <a:schemeClr val="dk1"/>
              </a:solidFill>
              <a:effectLst/>
              <a:latin typeface="+mn-lt"/>
              <a:ea typeface="+mn-ea"/>
              <a:cs typeface="+mn-cs"/>
            </a:rPr>
            <a:t>General rate case settlement in</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2014 included a 5% increase in the 2014-15 Biennial Target</a:t>
          </a:r>
          <a:r>
            <a:rPr lang="en-US" sz="1100" baseline="0">
              <a:solidFill>
                <a:schemeClr val="dk1"/>
              </a:solidFill>
              <a:effectLst/>
              <a:latin typeface="+mn-lt"/>
              <a:ea typeface="+mn-ea"/>
              <a:cs typeface="+mn-cs"/>
            </a:rPr>
            <a:t> for local energy savings.</a:t>
          </a:r>
          <a:endParaRPr lang="en-US">
            <a:effectLst/>
          </a:endParaRPr>
        </a:p>
        <a:p>
          <a:pPr eaLnBrk="1" fontAlgn="auto" latinLnBrk="0" hangingPunct="1"/>
          <a:r>
            <a:rPr lang="en-US" sz="1100" baseline="0">
              <a:solidFill>
                <a:schemeClr val="dk1"/>
              </a:solidFill>
              <a:effectLst/>
              <a:latin typeface="+mn-lt"/>
              <a:ea typeface="+mn-ea"/>
              <a:cs typeface="+mn-cs"/>
            </a:rPr>
            <a:t>64,956 MWh original target + 3,248 MWh (5% increase) = 68,204 MWh (local)</a:t>
          </a:r>
          <a:endParaRPr lang="en-US">
            <a:effectLst/>
          </a:endParaRPr>
        </a:p>
        <a:p>
          <a:pPr eaLnBrk="1" fontAlgn="auto" latinLnBrk="0" hangingPunct="1"/>
          <a:r>
            <a:rPr lang="en-US" sz="1100" baseline="0">
              <a:solidFill>
                <a:schemeClr val="dk1"/>
              </a:solidFill>
              <a:effectLst/>
              <a:latin typeface="+mn-lt"/>
              <a:ea typeface="+mn-ea"/>
              <a:cs typeface="+mn-cs"/>
            </a:rPr>
            <a:t>68,204 MWh (local) + 11,130 (NEEA) = 79,334 new 2014-15 Biennial Target</a:t>
          </a:r>
          <a:endParaRPr lang="en-US">
            <a:effectLst/>
          </a:endParaRPr>
        </a:p>
        <a:p>
          <a:endParaRPr lang="en-US" sz="1100"/>
        </a:p>
        <a:p>
          <a:pPr eaLnBrk="1" fontAlgn="auto" latinLnBrk="0" hangingPunct="1"/>
          <a:r>
            <a:rPr lang="en-US" sz="1100">
              <a:solidFill>
                <a:schemeClr val="dk1"/>
              </a:solidFill>
              <a:effectLst/>
              <a:latin typeface="+mn-lt"/>
              <a:ea typeface="+mn-ea"/>
              <a:cs typeface="+mn-cs"/>
            </a:rPr>
            <a:t>The Company’s energy efficiency acquisition targets for the 2016-2017 Biennium were based upon a Conservation Potential Assessment (CPA) completed as part of Avista’s 2015 Electric Integrated Resource Plan (IRP) by a third-party consultant applying methodologies consistent with the Northwest Power and Conservation Council’s (NWPCC) Sixth Power Plan. </a:t>
          </a:r>
          <a:endParaRPr lang="en-US">
            <a:effectLst/>
          </a:endParaRPr>
        </a:p>
        <a:p>
          <a:pPr eaLnBrk="1" fontAlgn="auto" latinLnBrk="0" hangingPunct="1"/>
          <a:r>
            <a:rPr lang="en-US" sz="1100">
              <a:solidFill>
                <a:schemeClr val="dk1"/>
              </a:solidFill>
              <a:effectLst/>
              <a:latin typeface="+mn-lt"/>
              <a:ea typeface="+mn-ea"/>
              <a:cs typeface="+mn-cs"/>
            </a:rPr>
            <a:t> Avista's 2016-2017 targets were approved in Order No. 01, Docket No. UE-152076, by the Washington Utilities and Transportation Commission (UTC) on January 28, 2016.  </a:t>
          </a:r>
          <a:r>
            <a:rPr lang="en-US" sz="1100" u="sng">
              <a:solidFill>
                <a:schemeClr val="dk1"/>
              </a:solidFill>
              <a:effectLst/>
              <a:latin typeface="+mn-lt"/>
              <a:ea typeface="+mn-ea"/>
              <a:cs typeface="+mn-cs"/>
            </a:rPr>
            <a:t>http://www.utc.wa.gov/docs/Pages/DocketLookup.aspx?FilingID=152076</a:t>
          </a:r>
          <a:endParaRPr lang="en-US">
            <a:effectLst/>
          </a:endParaRPr>
        </a:p>
        <a:p>
          <a:endParaRPr lang="en-US" sz="1100"/>
        </a:p>
        <a:p>
          <a:r>
            <a:rPr lang="en-US" sz="1100" b="0" i="0">
              <a:solidFill>
                <a:schemeClr val="dk1"/>
              </a:solidFill>
              <a:effectLst/>
              <a:latin typeface="+mn-lt"/>
              <a:ea typeface="+mn-ea"/>
              <a:cs typeface="+mn-cs"/>
            </a:rPr>
            <a:t>Savings numbers are for I-937 and NEEA but do not include fuel switching of 9,445</a:t>
          </a:r>
          <a:r>
            <a:rPr lang="en-US" sz="1100" b="0" i="0" baseline="0">
              <a:solidFill>
                <a:schemeClr val="dk1"/>
              </a:solidFill>
              <a:effectLst/>
              <a:latin typeface="+mn-lt"/>
              <a:ea typeface="+mn-ea"/>
              <a:cs typeface="+mn-cs"/>
            </a:rPr>
            <a:t> MWh.</a:t>
          </a:r>
          <a:endParaRPr lang="en-US" sz="1100" b="0" i="0">
            <a:solidFill>
              <a:schemeClr val="dk1"/>
            </a:solidFill>
            <a:effectLst/>
            <a:latin typeface="+mn-lt"/>
            <a:ea typeface="+mn-ea"/>
            <a:cs typeface="+mn-cs"/>
          </a:endParaRPr>
        </a:p>
        <a:p>
          <a:endParaRPr lang="en-US" sz="1100" b="0" i="0">
            <a:solidFill>
              <a:schemeClr val="dk1"/>
            </a:solidFill>
            <a:effectLst/>
            <a:latin typeface="+mn-lt"/>
            <a:ea typeface="+mn-ea"/>
            <a:cs typeface="+mn-cs"/>
          </a:endParaRPr>
        </a:p>
        <a:p>
          <a:r>
            <a:rPr lang="en-US" sz="1100" b="0" i="0">
              <a:solidFill>
                <a:schemeClr val="dk1"/>
              </a:solidFill>
              <a:effectLst/>
              <a:latin typeface="+mn-lt"/>
              <a:ea typeface="+mn-ea"/>
              <a:cs typeface="+mn-cs"/>
            </a:rPr>
            <a:t>Commercial and Industrial customers are not tracked separately and are therefore listed under "Commercial."</a:t>
          </a:r>
        </a:p>
        <a:p>
          <a:endParaRPr lang="en-US">
            <a:effectLst/>
          </a:endParaRPr>
        </a:p>
        <a:p>
          <a:r>
            <a:rPr lang="en-US" sz="1100" b="0" i="0">
              <a:solidFill>
                <a:schemeClr val="dk1"/>
              </a:solidFill>
              <a:effectLst/>
              <a:latin typeface="+mn-lt"/>
              <a:ea typeface="+mn-ea"/>
              <a:cs typeface="+mn-cs"/>
            </a:rPr>
            <a:t>Expenditures for distribution and production savings are</a:t>
          </a:r>
          <a:r>
            <a:rPr lang="en-US" sz="1100" b="0" i="0" baseline="0">
              <a:solidFill>
                <a:schemeClr val="dk1"/>
              </a:solidFill>
              <a:effectLst/>
              <a:latin typeface="+mn-lt"/>
              <a:ea typeface="+mn-ea"/>
              <a:cs typeface="+mn-cs"/>
            </a:rPr>
            <a:t> part of the capital budget and not known specifically.</a:t>
          </a:r>
        </a:p>
        <a:p>
          <a:endParaRPr lang="en-US">
            <a:effectLst/>
          </a:endParaRPr>
        </a:p>
        <a:p>
          <a:r>
            <a:rPr lang="en-US" sz="1100" b="0" i="0">
              <a:solidFill>
                <a:schemeClr val="dk1"/>
              </a:solidFill>
              <a:effectLst/>
              <a:latin typeface="+mn-lt"/>
              <a:ea typeface="+mn-ea"/>
              <a:cs typeface="+mn-cs"/>
            </a:rPr>
            <a:t>General expenditures are not applied to a specific sector. </a:t>
          </a:r>
        </a:p>
        <a:p>
          <a:endParaRPr lang="en-US" sz="1100" b="0" i="0">
            <a:solidFill>
              <a:schemeClr val="dk1"/>
            </a:solidFill>
            <a:effectLst/>
            <a:latin typeface="+mn-lt"/>
            <a:ea typeface="+mn-ea"/>
            <a:cs typeface="+mn-cs"/>
          </a:endParaRPr>
        </a:p>
        <a:p>
          <a:r>
            <a:rPr lang="en-US" sz="1100" b="0" i="0">
              <a:solidFill>
                <a:schemeClr val="dk1"/>
              </a:solidFill>
              <a:effectLst/>
              <a:latin typeface="+mn-lt"/>
              <a:ea typeface="+mn-ea"/>
              <a:cs typeface="+mn-cs"/>
            </a:rPr>
            <a:t>Avista's evaluation,</a:t>
          </a:r>
          <a:r>
            <a:rPr lang="en-US" sz="1100" b="0" i="0" baseline="0">
              <a:solidFill>
                <a:schemeClr val="dk1"/>
              </a:solidFill>
              <a:effectLst/>
              <a:latin typeface="+mn-lt"/>
              <a:ea typeface="+mn-ea"/>
              <a:cs typeface="+mn-cs"/>
            </a:rPr>
            <a:t> measurement and verification (EM&amp;V) was performed by a contracted third party to calculate the verified energy savings in accordance with the Commission's Order.  The Company's 2014 DSM Annual Report and 2015 DSM Annual Report (provided under separate covers) provide more data regarding Avista's 2014 and 2015 programs and results.  Electric EM&amp;V cost $789,173 in 2014 and $483,951 in 2015. </a:t>
          </a:r>
          <a:endParaRPr lang="en-US">
            <a:effectLst/>
          </a:endParaRPr>
        </a:p>
        <a:p>
          <a:endParaRPr lang="en-US" sz="1100"/>
        </a:p>
      </xdr:txBody>
    </xdr:sp>
    <xdr:clientData/>
  </xdr:twoCellAnchor>
  <xdr:twoCellAnchor editAs="oneCell">
    <xdr:from>
      <xdr:col>0</xdr:col>
      <xdr:colOff>502105</xdr:colOff>
      <xdr:row>45</xdr:row>
      <xdr:rowOff>34019</xdr:rowOff>
    </xdr:from>
    <xdr:to>
      <xdr:col>7</xdr:col>
      <xdr:colOff>668360</xdr:colOff>
      <xdr:row>79</xdr:row>
      <xdr:rowOff>142571</xdr:rowOff>
    </xdr:to>
    <xdr:pic>
      <xdr:nvPicPr>
        <xdr:cNvPr id="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105" y="12457340"/>
          <a:ext cx="6888184" cy="56602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95</xdr:row>
      <xdr:rowOff>123825</xdr:rowOff>
    </xdr:from>
    <xdr:to>
      <xdr:col>13</xdr:col>
      <xdr:colOff>657225</xdr:colOff>
      <xdr:row>115</xdr:row>
      <xdr:rowOff>38100</xdr:rowOff>
    </xdr:to>
    <xdr:sp macro="" textlink="">
      <xdr:nvSpPr>
        <xdr:cNvPr id="3" name="TextBox 2"/>
        <xdr:cNvSpPr txBox="1"/>
      </xdr:nvSpPr>
      <xdr:spPr>
        <a:xfrm>
          <a:off x="0" y="19402425"/>
          <a:ext cx="11344275" cy="31527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Used</a:t>
          </a:r>
          <a:r>
            <a:rPr lang="en-US" sz="1100" baseline="0">
              <a:solidFill>
                <a:schemeClr val="dk1"/>
              </a:solidFill>
              <a:effectLst/>
              <a:latin typeface="+mn-lt"/>
              <a:ea typeface="+mn-ea"/>
              <a:cs typeface="+mn-cs"/>
            </a:rPr>
            <a:t> the 2015 Washington revenue requirement. 2016 revenue requirement has not been updated pending the current general rate case.</a:t>
          </a:r>
          <a:endParaRPr lang="en-US">
            <a:effectLst/>
          </a:endParaRPr>
        </a:p>
        <a:p>
          <a:endParaRPr lang="en-US"/>
        </a:p>
      </xdr:txBody>
    </xdr:sp>
    <xdr:clientData/>
  </xdr:twoCellAnchor>
  <xdr:twoCellAnchor>
    <xdr:from>
      <xdr:col>0</xdr:col>
      <xdr:colOff>0</xdr:colOff>
      <xdr:row>20</xdr:row>
      <xdr:rowOff>85725</xdr:rowOff>
    </xdr:from>
    <xdr:to>
      <xdr:col>14</xdr:col>
      <xdr:colOff>19050</xdr:colOff>
      <xdr:row>34</xdr:row>
      <xdr:rowOff>161925</xdr:rowOff>
    </xdr:to>
    <xdr:sp macro="" textlink="">
      <xdr:nvSpPr>
        <xdr:cNvPr id="4" name="TextBox 3"/>
        <xdr:cNvSpPr txBox="1"/>
      </xdr:nvSpPr>
      <xdr:spPr>
        <a:xfrm>
          <a:off x="0" y="4210050"/>
          <a:ext cx="11420475" cy="281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2016 Reporting Year:</a:t>
          </a:r>
          <a:endParaRPr lang="en-US" sz="1000">
            <a:effectLst/>
          </a:endParaRPr>
        </a:p>
        <a:p>
          <a:r>
            <a:rPr lang="en-US" sz="1100">
              <a:solidFill>
                <a:schemeClr val="dk1"/>
              </a:solidFill>
              <a:effectLst/>
              <a:latin typeface="+mn-lt"/>
              <a:ea typeface="+mn-ea"/>
              <a:cs typeface="+mn-cs"/>
            </a:rPr>
            <a:t>This renewable energy report summarizes the eligible renewables resources and renewable energy credits (RECs) that the utility has acquired by January 1, 2016 for the purpose of meeting its Energy Independence Act (EIA) renewables target for 2016. The actual resources and RECs used to comply with the 2016 EIA target may vary from those reported here. Utilities will report in June of 2018 on the actual results for 2016.</a:t>
          </a:r>
        </a:p>
        <a:p>
          <a:endParaRPr lang="en-US" sz="1000">
            <a:effectLst/>
          </a:endParaRPr>
        </a:p>
        <a:p>
          <a:r>
            <a:rPr lang="en-US" sz="1100" b="1">
              <a:solidFill>
                <a:schemeClr val="dk1"/>
              </a:solidFill>
              <a:effectLst/>
              <a:latin typeface="+mn-lt"/>
              <a:ea typeface="+mn-ea"/>
              <a:cs typeface="+mn-cs"/>
            </a:rPr>
            <a:t>Compliance Methods: </a:t>
          </a:r>
          <a:endParaRPr lang="en-US" sz="1000">
            <a:effectLst/>
          </a:endParaRPr>
        </a:p>
        <a:p>
          <a:r>
            <a:rPr lang="en-US" sz="1100">
              <a:solidFill>
                <a:schemeClr val="dk1"/>
              </a:solidFill>
              <a:effectLst/>
              <a:latin typeface="+mn-lt"/>
              <a:ea typeface="+mn-ea"/>
              <a:cs typeface="+mn-cs"/>
            </a:rPr>
            <a:t>The EIA provides three compliance methods for utilities:</a:t>
          </a:r>
          <a:endParaRPr lang="en-US" sz="1000">
            <a:effectLst/>
          </a:endParaRPr>
        </a:p>
        <a:p>
          <a:r>
            <a:rPr lang="en-US" sz="1100">
              <a:solidFill>
                <a:schemeClr val="dk1"/>
              </a:solidFill>
              <a:effectLst/>
              <a:latin typeface="+mn-lt"/>
              <a:ea typeface="+mn-ea"/>
              <a:cs typeface="+mn-cs"/>
            </a:rPr>
            <a:t>-- Meet the renewable energy target using any combination of renewable resources and RECs. The target for 2015 is 3% of the utility’s load</a:t>
          </a:r>
          <a:endParaRPr lang="en-US" sz="1000">
            <a:effectLst/>
          </a:endParaRPr>
        </a:p>
        <a:p>
          <a:r>
            <a:rPr lang="en-US" sz="1100">
              <a:solidFill>
                <a:schemeClr val="dk1"/>
              </a:solidFill>
              <a:effectLst/>
              <a:latin typeface="+mn-lt"/>
              <a:ea typeface="+mn-ea"/>
              <a:cs typeface="+mn-cs"/>
            </a:rPr>
            <a:t>-- Invest at least 4% of the utility’s annual revenue requirement in the incremental cost of renewable resources and RECs.</a:t>
          </a:r>
          <a:endParaRPr lang="en-US" sz="1000">
            <a:effectLst/>
          </a:endParaRPr>
        </a:p>
        <a:p>
          <a:r>
            <a:rPr lang="en-US" sz="1100">
              <a:solidFill>
                <a:schemeClr val="dk1"/>
              </a:solidFill>
              <a:effectLst/>
              <a:latin typeface="+mn-lt"/>
              <a:ea typeface="+mn-ea"/>
              <a:cs typeface="+mn-cs"/>
            </a:rPr>
            <a:t>-- Invest at least 1% of its annual revenue requirement in renewable resources and RECs. This option is available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only to certain utilities that are not growing.</a:t>
          </a:r>
        </a:p>
        <a:p>
          <a:endParaRPr lang="en-US" sz="1000">
            <a:effectLst/>
          </a:endParaRPr>
        </a:p>
        <a:p>
          <a:r>
            <a:rPr lang="en-US" sz="1100">
              <a:solidFill>
                <a:schemeClr val="dk1"/>
              </a:solidFill>
              <a:effectLst/>
              <a:latin typeface="+mn-lt"/>
              <a:ea typeface="+mn-ea"/>
              <a:cs typeface="+mn-cs"/>
            </a:rPr>
            <a:t>All utilities must report the renewable resources and RECs acquired for the 2016 target year. Utilities that elect to use a compliance method based on renewable investments must provide additional information demonstrating compliance with that method. Refer to WAC 194-37-110(2) and (3) for specific requirements. </a:t>
          </a:r>
        </a:p>
        <a:p>
          <a:endParaRPr lang="en-US" sz="1000">
            <a:effectLst/>
          </a:endParaRPr>
        </a:p>
        <a:p>
          <a:r>
            <a:rPr lang="en-US" sz="1100" i="1">
              <a:solidFill>
                <a:schemeClr val="dk1"/>
              </a:solidFill>
              <a:effectLst/>
              <a:latin typeface="+mn-lt"/>
              <a:ea typeface="+mn-ea"/>
              <a:cs typeface="+mn-cs"/>
            </a:rPr>
            <a:t>NOTE: This is a general explanation of the renewable energy requirements of the Energy Independence Act, intended to help members of the public understand the information reported by the utility. Consult Chapter 19.285 RCW and Chapter 194-37 WAC for details.</a:t>
          </a:r>
          <a:endParaRPr lang="en-US" sz="1000">
            <a:effectLst/>
          </a:endParaRPr>
        </a:p>
        <a:p>
          <a:pPr>
            <a:lnSpc>
              <a:spcPts val="1000"/>
            </a:lnSpc>
          </a:pPr>
          <a:r>
            <a:rPr lang="en-US" sz="1000">
              <a:effectLst/>
              <a:latin typeface="Arial" pitchFamily="34" charset="0"/>
              <a:cs typeface="Arial" pitchFamily="34" charset="0"/>
            </a:rPr>
            <a:t/>
          </a:r>
          <a:br>
            <a:rPr lang="en-US" sz="1000">
              <a:effectLst/>
              <a:latin typeface="Arial" pitchFamily="34" charset="0"/>
              <a:cs typeface="Arial" pitchFamily="34" charset="0"/>
            </a:rPr>
          </a:br>
          <a:endParaRPr lang="en-US" sz="1000">
            <a:latin typeface="Arial" pitchFamily="34" charset="0"/>
            <a:cs typeface="Arial" pitchFamily="34" charset="0"/>
          </a:endParaRPr>
        </a:p>
      </xdr:txBody>
    </xdr:sp>
    <xdr:clientData/>
  </xdr:twoCellAnchor>
  <mc:AlternateContent xmlns:mc="http://schemas.openxmlformats.org/markup-compatibility/2006">
    <mc:Choice xmlns:a14="http://schemas.microsoft.com/office/drawing/2010/main" Requires="a14">
      <xdr:twoCellAnchor>
        <xdr:from>
          <xdr:col>0</xdr:col>
          <xdr:colOff>733425</xdr:colOff>
          <xdr:row>11</xdr:row>
          <xdr:rowOff>123825</xdr:rowOff>
        </xdr:from>
        <xdr:to>
          <xdr:col>3</xdr:col>
          <xdr:colOff>428625</xdr:colOff>
          <xdr:row>15</xdr:row>
          <xdr:rowOff>123825</xdr:rowOff>
        </xdr:to>
        <xdr:grpSp>
          <xdr:nvGrpSpPr>
            <xdr:cNvPr id="2" name="Group 1"/>
            <xdr:cNvGrpSpPr/>
          </xdr:nvGrpSpPr>
          <xdr:grpSpPr>
            <a:xfrm>
              <a:off x="733425" y="2266949"/>
              <a:ext cx="3171825" cy="695323"/>
              <a:chOff x="1362075" y="2266953"/>
              <a:chExt cx="1524000" cy="533399"/>
            </a:xfrm>
          </xdr:grpSpPr>
          <xdr:sp macro="" textlink="">
            <xdr:nvSpPr>
              <xdr:cNvPr id="5453" name="Check Box 333" hidden="1">
                <a:extLst>
                  <a:ext uri="{63B3BB69-23CF-44E3-9099-C40C66FF867C}">
                    <a14:compatExt spid="_x0000_s5453"/>
                  </a:ext>
                </a:extLst>
              </xdr:cNvPr>
              <xdr:cNvSpPr/>
            </xdr:nvSpPr>
            <xdr:spPr bwMode="auto">
              <a:xfrm>
                <a:off x="1362075" y="2714627"/>
                <a:ext cx="1524000" cy="857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 Load Growth [RCW 19.285.040(2)(d)]</a:t>
                </a:r>
              </a:p>
            </xdr:txBody>
          </xdr:sp>
          <xdr:sp macro="" textlink="">
            <xdr:nvSpPr>
              <xdr:cNvPr id="5454" name="Check Box 334" hidden="1">
                <a:extLst>
                  <a:ext uri="{63B3BB69-23CF-44E3-9099-C40C66FF867C}">
                    <a14:compatExt spid="_x0000_s5454"/>
                  </a:ext>
                </a:extLst>
              </xdr:cNvPr>
              <xdr:cNvSpPr/>
            </xdr:nvSpPr>
            <xdr:spPr bwMode="auto">
              <a:xfrm>
                <a:off x="1362075" y="2447925"/>
                <a:ext cx="1447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Resource Cost [RCW 19.285.050]</a:t>
                </a:r>
              </a:p>
            </xdr:txBody>
          </xdr:sp>
          <xdr:sp macro="" textlink="">
            <xdr:nvSpPr>
              <xdr:cNvPr id="5455" name="Check Box 335" hidden="1">
                <a:extLst>
                  <a:ext uri="{63B3BB69-23CF-44E3-9099-C40C66FF867C}">
                    <a14:compatExt spid="_x0000_s5455"/>
                  </a:ext>
                </a:extLst>
              </xdr:cNvPr>
              <xdr:cNvSpPr/>
            </xdr:nvSpPr>
            <xdr:spPr bwMode="auto">
              <a:xfrm>
                <a:off x="1362075" y="2266953"/>
                <a:ext cx="1352550" cy="1333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RPS Target [RCW 19.285.040(2)(a)]</a:t>
                </a:r>
              </a:p>
            </xdr:txBody>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6</xdr:col>
      <xdr:colOff>85725</xdr:colOff>
      <xdr:row>36</xdr:row>
      <xdr:rowOff>76200</xdr:rowOff>
    </xdr:from>
    <xdr:to>
      <xdr:col>10</xdr:col>
      <xdr:colOff>1066800</xdr:colOff>
      <xdr:row>61</xdr:row>
      <xdr:rowOff>142875</xdr:rowOff>
    </xdr:to>
    <xdr:sp macro="" textlink="">
      <xdr:nvSpPr>
        <xdr:cNvPr id="3" name="TextBox 2"/>
        <xdr:cNvSpPr txBox="1"/>
      </xdr:nvSpPr>
      <xdr:spPr>
        <a:xfrm>
          <a:off x="6276975" y="7343775"/>
          <a:ext cx="4171950" cy="48291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FInal costs</a:t>
          </a:r>
          <a:r>
            <a:rPr lang="en-US" sz="1100" baseline="0">
              <a:solidFill>
                <a:schemeClr val="dk1"/>
              </a:solidFill>
              <a:effectLst/>
              <a:latin typeface="+mn-lt"/>
              <a:ea typeface="+mn-ea"/>
              <a:cs typeface="+mn-cs"/>
            </a:rPr>
            <a:t> for the upgrades to Nine Mile Units #1 and 2 will not be available until the project is completed in July 2016. </a:t>
          </a:r>
        </a:p>
        <a:p>
          <a:endParaRPr lang="en-US">
            <a:effectLst/>
          </a:endParaRPr>
        </a:p>
        <a:p>
          <a:r>
            <a:rPr lang="en-US" sz="1100" baseline="0">
              <a:solidFill>
                <a:schemeClr val="dk1"/>
              </a:solidFill>
              <a:effectLst/>
              <a:latin typeface="+mn-lt"/>
              <a:ea typeface="+mn-ea"/>
              <a:cs typeface="+mn-cs"/>
            </a:rPr>
            <a:t>Palouse Wind costs are estimated based on forecasted generation. </a:t>
          </a:r>
          <a:endParaRPr lang="en-US">
            <a:effectLst/>
          </a:endParaRP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Legacy biomass projects are considered to be zero incremental cost.</a:t>
          </a:r>
        </a:p>
        <a:p>
          <a:endParaRPr lang="en-US">
            <a:effectLst/>
          </a:endParaRPr>
        </a:p>
        <a:p>
          <a:r>
            <a:rPr lang="en-US" sz="1100" baseline="0">
              <a:solidFill>
                <a:schemeClr val="dk1"/>
              </a:solidFill>
              <a:effectLst/>
              <a:latin typeface="+mn-lt"/>
              <a:ea typeface="+mn-ea"/>
              <a:cs typeface="+mn-cs"/>
            </a:rPr>
            <a:t>CCCT plants substitute resource costs are split between energy and capacity. These costs are applied to the energy and capacity benefits of the renenwable resource</a:t>
          </a:r>
          <a:endParaRPr lang="en-US">
            <a:effectLst/>
          </a:endParaRPr>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ommerce.wa.gov/Documents/EIA_2014%20ReportWorkbook_DRAFT%203-27-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servation Report"/>
      <sheetName val="Renewables Report"/>
    </sheetNames>
    <sheetDataSet>
      <sheetData sheetId="0" refreshError="1"/>
      <sheetData sheetId="1">
        <row r="3">
          <cell r="C3" t="str">
            <v>Utility Name</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N9"/>
  <sheetViews>
    <sheetView topLeftCell="A58" workbookViewId="0">
      <selection activeCell="A11" sqref="A11"/>
    </sheetView>
  </sheetViews>
  <sheetFormatPr defaultRowHeight="15" x14ac:dyDescent="0.25"/>
  <cols>
    <col min="1" max="1" width="135.140625" customWidth="1"/>
    <col min="14" max="14" width="11.7109375" customWidth="1"/>
  </cols>
  <sheetData>
    <row r="1" spans="1:14" ht="18.75" x14ac:dyDescent="0.25">
      <c r="A1" s="70" t="s">
        <v>194</v>
      </c>
    </row>
    <row r="2" spans="1:14" x14ac:dyDescent="0.25">
      <c r="A2" s="71" t="s">
        <v>110</v>
      </c>
    </row>
    <row r="3" spans="1:14" x14ac:dyDescent="0.25">
      <c r="A3" s="70"/>
      <c r="N3" s="43"/>
    </row>
    <row r="4" spans="1:14" x14ac:dyDescent="0.25">
      <c r="A4" s="69" t="s">
        <v>111</v>
      </c>
    </row>
    <row r="5" spans="1:14" x14ac:dyDescent="0.25">
      <c r="A5" s="69" t="s">
        <v>106</v>
      </c>
      <c r="N5">
        <f>IF(REN_Load_2015+REN_Load_2014&gt;0,AVERAGE(REN_Load_2015,REN_Load_2014),0)</f>
        <v>5708991.5</v>
      </c>
    </row>
    <row r="6" spans="1:14" x14ac:dyDescent="0.25">
      <c r="A6" s="69" t="s">
        <v>197</v>
      </c>
    </row>
    <row r="8" spans="1:14" x14ac:dyDescent="0.25">
      <c r="A8" s="72" t="s">
        <v>192</v>
      </c>
    </row>
    <row r="9" spans="1:14" x14ac:dyDescent="0.25">
      <c r="A9" s="73" t="s">
        <v>193</v>
      </c>
    </row>
  </sheetData>
  <sheetProtection sheet="1" objects="1" scenarios="1"/>
  <pageMargins left="0.7" right="0.7" top="0.75" bottom="0.75" header="0.3" footer="0.3"/>
  <pageSetup scale="4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7"/>
  <sheetViews>
    <sheetView workbookViewId="0">
      <selection activeCell="A9" sqref="A9"/>
    </sheetView>
  </sheetViews>
  <sheetFormatPr defaultRowHeight="15" x14ac:dyDescent="0.25"/>
  <cols>
    <col min="1" max="1" width="107" customWidth="1"/>
    <col min="14" max="14" width="11.7109375" customWidth="1"/>
  </cols>
  <sheetData>
    <row r="1" spans="1:14" ht="18.75" x14ac:dyDescent="0.25">
      <c r="A1" s="38" t="s">
        <v>112</v>
      </c>
    </row>
    <row r="2" spans="1:14" ht="18.75" x14ac:dyDescent="0.25">
      <c r="A2" s="39"/>
    </row>
    <row r="3" spans="1:14" ht="57" x14ac:dyDescent="0.25">
      <c r="A3" s="40" t="s">
        <v>113</v>
      </c>
      <c r="N3" s="43"/>
    </row>
    <row r="4" spans="1:14" x14ac:dyDescent="0.25">
      <c r="A4" s="40"/>
      <c r="N4" s="43"/>
    </row>
    <row r="5" spans="1:14" ht="72" x14ac:dyDescent="0.25">
      <c r="A5" s="40" t="s">
        <v>114</v>
      </c>
      <c r="N5" s="43"/>
    </row>
    <row r="6" spans="1:14" x14ac:dyDescent="0.25">
      <c r="A6" s="40"/>
    </row>
    <row r="7" spans="1:14" ht="29.25" thickBot="1" x14ac:dyDescent="0.3">
      <c r="A7" s="41" t="s">
        <v>115</v>
      </c>
      <c r="N7">
        <f>IF(REN_Load_2015+REN_Load_2014&gt;0,AVERAGE(REN_Load_2015,REN_Load_2014),0)</f>
        <v>5708991.5</v>
      </c>
    </row>
  </sheetData>
  <pageMargins left="0.7" right="0.7" top="0.75" bottom="0.75" header="0.3" footer="0.3"/>
  <pageSetup scale="5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pageSetUpPr fitToPage="1"/>
  </sheetPr>
  <dimension ref="A1:K56"/>
  <sheetViews>
    <sheetView tabSelected="1" topLeftCell="A13" zoomScaleNormal="100" workbookViewId="0">
      <selection activeCell="M13" sqref="M13"/>
    </sheetView>
  </sheetViews>
  <sheetFormatPr defaultColWidth="9.140625" defaultRowHeight="12.75" x14ac:dyDescent="0.2"/>
  <cols>
    <col min="1" max="2" width="16.7109375" style="87" customWidth="1"/>
    <col min="3" max="3" width="17.140625" style="87" customWidth="1"/>
    <col min="4" max="4" width="16" style="87" customWidth="1"/>
    <col min="5" max="5" width="4.42578125" style="87" customWidth="1"/>
    <col min="6" max="6" width="14.42578125" style="87" customWidth="1"/>
    <col min="7" max="7" width="15.28515625" style="87" customWidth="1"/>
    <col min="8" max="8" width="12.28515625" style="87" customWidth="1"/>
    <col min="9" max="9" width="11.140625" style="87" customWidth="1"/>
    <col min="10" max="10" width="9.140625" style="87"/>
    <col min="11" max="11" width="11.7109375" style="87" customWidth="1"/>
    <col min="12" max="16384" width="9.140625" style="87"/>
  </cols>
  <sheetData>
    <row r="1" spans="1:11" ht="15" x14ac:dyDescent="0.2">
      <c r="A1" s="232" t="s">
        <v>192</v>
      </c>
      <c r="B1" s="232"/>
      <c r="C1" s="232"/>
      <c r="D1" s="232"/>
      <c r="E1" s="232"/>
      <c r="F1" s="232"/>
      <c r="G1" s="232"/>
      <c r="H1" s="232"/>
      <c r="I1" s="232"/>
    </row>
    <row r="2" spans="1:11" ht="15" x14ac:dyDescent="0.2">
      <c r="A2" s="233" t="s">
        <v>193</v>
      </c>
      <c r="B2" s="233"/>
      <c r="C2" s="233"/>
      <c r="D2" s="233"/>
      <c r="E2" s="233"/>
      <c r="F2" s="233"/>
      <c r="G2" s="233"/>
      <c r="H2" s="233"/>
      <c r="I2" s="233"/>
    </row>
    <row r="3" spans="1:11" s="89" customFormat="1" ht="19.5" x14ac:dyDescent="0.4">
      <c r="A3" s="88" t="s">
        <v>116</v>
      </c>
    </row>
    <row r="4" spans="1:11" ht="15" customHeight="1" x14ac:dyDescent="0.2">
      <c r="A4" s="90"/>
    </row>
    <row r="5" spans="1:11" ht="14.25" customHeight="1" thickBot="1" x14ac:dyDescent="0.25">
      <c r="A5" s="91" t="s">
        <v>4</v>
      </c>
      <c r="B5" s="242" t="s">
        <v>199</v>
      </c>
      <c r="C5" s="242"/>
      <c r="D5" s="242"/>
      <c r="F5" s="240" t="s">
        <v>124</v>
      </c>
      <c r="G5" s="240"/>
      <c r="H5" s="240"/>
      <c r="I5" s="240"/>
      <c r="K5" s="92"/>
    </row>
    <row r="6" spans="1:11" ht="15" customHeight="1" x14ac:dyDescent="0.2">
      <c r="A6" s="93" t="s">
        <v>41</v>
      </c>
      <c r="B6" s="243"/>
      <c r="C6" s="244"/>
      <c r="D6" s="244"/>
      <c r="E6" s="94"/>
      <c r="G6" s="95" t="s">
        <v>119</v>
      </c>
      <c r="H6" s="96"/>
      <c r="I6" s="95" t="s">
        <v>121</v>
      </c>
    </row>
    <row r="7" spans="1:11" ht="15" customHeight="1" x14ac:dyDescent="0.2">
      <c r="A7" s="97" t="s">
        <v>40</v>
      </c>
      <c r="B7" s="245" t="s">
        <v>200</v>
      </c>
      <c r="C7" s="246"/>
      <c r="D7" s="246"/>
      <c r="E7" s="89"/>
      <c r="G7" s="98" t="s">
        <v>120</v>
      </c>
      <c r="I7" s="98" t="s">
        <v>120</v>
      </c>
    </row>
    <row r="8" spans="1:11" ht="15" customHeight="1" thickBot="1" x14ac:dyDescent="0.25">
      <c r="A8" s="97" t="s">
        <v>1</v>
      </c>
      <c r="B8" s="246" t="s">
        <v>201</v>
      </c>
      <c r="C8" s="246"/>
      <c r="D8" s="246"/>
      <c r="E8" s="89"/>
      <c r="F8" s="99" t="s">
        <v>125</v>
      </c>
      <c r="G8" s="100">
        <f>CON_Target_2014_2015</f>
        <v>97204</v>
      </c>
      <c r="H8" s="99" t="s">
        <v>126</v>
      </c>
      <c r="I8" s="101">
        <f>CON_Target_2016_2017</f>
        <v>82477</v>
      </c>
    </row>
    <row r="9" spans="1:11" ht="15" customHeight="1" x14ac:dyDescent="0.2">
      <c r="A9" s="97" t="s">
        <v>2</v>
      </c>
      <c r="B9" s="247" t="s">
        <v>202</v>
      </c>
      <c r="C9" s="248"/>
      <c r="D9" s="248"/>
      <c r="E9" s="89"/>
      <c r="F9" s="99" t="s">
        <v>3</v>
      </c>
      <c r="G9" s="102">
        <f>CON_2014_MWH+CON_2015_MWH</f>
        <v>101356</v>
      </c>
    </row>
    <row r="10" spans="1:11" ht="15" customHeight="1" thickBot="1" x14ac:dyDescent="0.25">
      <c r="A10" s="97"/>
      <c r="B10" s="103"/>
      <c r="C10" s="89"/>
      <c r="D10" s="89"/>
      <c r="E10" s="89"/>
      <c r="F10" s="99" t="s">
        <v>195</v>
      </c>
      <c r="G10" s="104">
        <f>G9-G8</f>
        <v>4152</v>
      </c>
    </row>
    <row r="11" spans="1:11" s="89" customFormat="1" ht="13.5" thickBot="1" x14ac:dyDescent="0.25">
      <c r="A11" s="241" t="s">
        <v>33</v>
      </c>
      <c r="B11" s="241"/>
      <c r="C11" s="241"/>
      <c r="D11" s="241"/>
      <c r="E11" s="105"/>
      <c r="H11" s="87"/>
      <c r="I11" s="87"/>
    </row>
    <row r="12" spans="1:11" s="89" customFormat="1" x14ac:dyDescent="0.2">
      <c r="A12" s="235" t="s">
        <v>35</v>
      </c>
      <c r="B12" s="235"/>
      <c r="C12" s="239" t="s">
        <v>117</v>
      </c>
      <c r="D12" s="235"/>
      <c r="F12" s="87"/>
      <c r="G12" s="87"/>
      <c r="H12" s="87"/>
      <c r="I12" s="87"/>
    </row>
    <row r="13" spans="1:11" ht="38.25" x14ac:dyDescent="0.2">
      <c r="A13" s="106" t="s">
        <v>37</v>
      </c>
      <c r="B13" s="107" t="s">
        <v>36</v>
      </c>
      <c r="C13" s="107" t="s">
        <v>122</v>
      </c>
      <c r="D13" s="107" t="s">
        <v>123</v>
      </c>
    </row>
    <row r="14" spans="1:11" ht="15" customHeight="1" x14ac:dyDescent="0.2">
      <c r="A14" s="200">
        <v>394200</v>
      </c>
      <c r="B14" s="201">
        <v>97204</v>
      </c>
      <c r="C14" s="78">
        <v>383063</v>
      </c>
      <c r="D14" s="79">
        <v>82477</v>
      </c>
    </row>
    <row r="15" spans="1:11" ht="15" customHeight="1" thickBot="1" x14ac:dyDescent="0.25">
      <c r="A15" s="89"/>
      <c r="B15" s="89"/>
      <c r="C15" s="89"/>
      <c r="D15" s="89"/>
      <c r="E15" s="89"/>
      <c r="F15" s="89"/>
      <c r="G15" s="89"/>
    </row>
    <row r="16" spans="1:11" ht="13.5" thickTop="1" x14ac:dyDescent="0.2">
      <c r="A16" s="236" t="s">
        <v>3</v>
      </c>
      <c r="B16" s="236"/>
      <c r="C16" s="236"/>
      <c r="D16" s="236"/>
      <c r="E16" s="236"/>
      <c r="F16" s="236"/>
      <c r="G16" s="236"/>
    </row>
    <row r="17" spans="1:7" ht="15" customHeight="1" x14ac:dyDescent="0.2">
      <c r="A17" s="108"/>
      <c r="C17" s="235" t="s">
        <v>74</v>
      </c>
      <c r="D17" s="235"/>
      <c r="F17" s="235" t="s">
        <v>118</v>
      </c>
      <c r="G17" s="235"/>
    </row>
    <row r="18" spans="1:7" ht="30.75" customHeight="1" x14ac:dyDescent="0.2">
      <c r="B18" s="109" t="s">
        <v>24</v>
      </c>
      <c r="C18" s="110" t="s">
        <v>7</v>
      </c>
      <c r="D18" s="110" t="s">
        <v>8</v>
      </c>
      <c r="F18" s="110" t="s">
        <v>7</v>
      </c>
      <c r="G18" s="110" t="s">
        <v>8</v>
      </c>
    </row>
    <row r="19" spans="1:7" ht="15" customHeight="1" x14ac:dyDescent="0.2">
      <c r="B19" s="15" t="s">
        <v>9</v>
      </c>
      <c r="C19" s="80">
        <v>24078</v>
      </c>
      <c r="D19" s="81">
        <f>2845306+1270313</f>
        <v>4115619</v>
      </c>
      <c r="F19" s="80">
        <v>10927</v>
      </c>
      <c r="G19" s="81">
        <f>3260123+1208586</f>
        <v>4468709</v>
      </c>
    </row>
    <row r="20" spans="1:7" ht="15" customHeight="1" x14ac:dyDescent="0.2">
      <c r="B20" s="15" t="s">
        <v>10</v>
      </c>
      <c r="C20" s="80">
        <v>15024</v>
      </c>
      <c r="D20" s="81">
        <v>3781678</v>
      </c>
      <c r="F20" s="80">
        <v>19168</v>
      </c>
      <c r="G20" s="81">
        <v>4162940</v>
      </c>
    </row>
    <row r="21" spans="1:7" ht="15" customHeight="1" x14ac:dyDescent="0.2">
      <c r="B21" s="15" t="s">
        <v>11</v>
      </c>
      <c r="C21" s="80"/>
      <c r="D21" s="81"/>
      <c r="F21" s="80"/>
      <c r="G21" s="81"/>
    </row>
    <row r="22" spans="1:7" ht="15" customHeight="1" x14ac:dyDescent="0.2">
      <c r="B22" s="15" t="s">
        <v>12</v>
      </c>
      <c r="C22" s="80"/>
      <c r="D22" s="81"/>
      <c r="F22" s="80"/>
      <c r="G22" s="81"/>
    </row>
    <row r="23" spans="1:7" ht="15" customHeight="1" x14ac:dyDescent="0.2">
      <c r="B23" s="15" t="s">
        <v>20</v>
      </c>
      <c r="C23" s="80">
        <v>885</v>
      </c>
      <c r="D23" s="81"/>
      <c r="F23" s="80">
        <v>628</v>
      </c>
      <c r="G23" s="81"/>
    </row>
    <row r="24" spans="1:7" ht="15" customHeight="1" x14ac:dyDescent="0.2">
      <c r="B24" s="111" t="s">
        <v>21</v>
      </c>
      <c r="C24" s="80"/>
      <c r="D24" s="81"/>
      <c r="F24" s="80">
        <v>249</v>
      </c>
      <c r="G24" s="81"/>
    </row>
    <row r="25" spans="1:7" ht="15" customHeight="1" x14ac:dyDescent="0.2">
      <c r="B25" s="111" t="s">
        <v>5</v>
      </c>
      <c r="C25" s="82">
        <v>15198</v>
      </c>
      <c r="D25" s="81">
        <v>1445817</v>
      </c>
      <c r="F25" s="82">
        <v>15199</v>
      </c>
      <c r="G25" s="81">
        <v>1314999</v>
      </c>
    </row>
    <row r="26" spans="1:7" ht="15" customHeight="1" x14ac:dyDescent="0.2">
      <c r="B26" s="83"/>
      <c r="C26" s="82"/>
      <c r="D26" s="81"/>
      <c r="F26" s="82"/>
      <c r="G26" s="81"/>
    </row>
    <row r="27" spans="1:7" ht="15" customHeight="1" x14ac:dyDescent="0.2">
      <c r="B27" s="83"/>
      <c r="C27" s="82"/>
      <c r="D27" s="81"/>
      <c r="F27" s="82"/>
      <c r="G27" s="81"/>
    </row>
    <row r="28" spans="1:7" ht="30.75" customHeight="1" x14ac:dyDescent="0.2">
      <c r="A28" s="237" t="s">
        <v>34</v>
      </c>
      <c r="B28" s="238"/>
      <c r="D28" s="112"/>
      <c r="G28" s="112"/>
    </row>
    <row r="29" spans="1:7" ht="15" customHeight="1" x14ac:dyDescent="0.2">
      <c r="B29" s="84" t="s">
        <v>198</v>
      </c>
      <c r="C29" s="113"/>
      <c r="D29" s="81">
        <f>1639272+(16895+55746)+1</f>
        <v>1711914</v>
      </c>
      <c r="F29" s="113"/>
      <c r="G29" s="81">
        <f>2006953+3185+64377</f>
        <v>2074515</v>
      </c>
    </row>
    <row r="30" spans="1:7" ht="15" customHeight="1" x14ac:dyDescent="0.2">
      <c r="B30" s="84"/>
      <c r="C30" s="114"/>
      <c r="D30" s="81"/>
      <c r="F30" s="114"/>
      <c r="G30" s="81"/>
    </row>
    <row r="31" spans="1:7" ht="15" customHeight="1" x14ac:dyDescent="0.2">
      <c r="B31" s="115" t="s">
        <v>6</v>
      </c>
      <c r="C31" s="116">
        <f>SUM(C19:C27)</f>
        <v>55185</v>
      </c>
      <c r="D31" s="117">
        <f>SUM(D19:D30)</f>
        <v>11055028</v>
      </c>
      <c r="F31" s="116">
        <f>SUM(F19:F27)</f>
        <v>46171</v>
      </c>
      <c r="G31" s="117">
        <f>SUM(G19:G30)</f>
        <v>12021163</v>
      </c>
    </row>
    <row r="32" spans="1:7" ht="15" customHeight="1" x14ac:dyDescent="0.2">
      <c r="A32" s="118"/>
      <c r="B32" s="119"/>
      <c r="C32" s="120"/>
      <c r="D32" s="119"/>
      <c r="E32" s="120"/>
    </row>
    <row r="33" spans="1:9" s="89" customFormat="1" ht="15" customHeight="1" x14ac:dyDescent="0.2">
      <c r="A33" s="91" t="s">
        <v>4</v>
      </c>
      <c r="B33" s="234" t="str">
        <f>CON_Utility_Name</f>
        <v>Avista Corp.</v>
      </c>
      <c r="C33" s="234"/>
      <c r="D33" s="234"/>
      <c r="E33" s="234"/>
      <c r="F33" s="87"/>
      <c r="G33" s="87"/>
    </row>
    <row r="34" spans="1:9" s="89" customFormat="1" x14ac:dyDescent="0.2">
      <c r="A34" s="121" t="s">
        <v>13</v>
      </c>
      <c r="B34" s="230">
        <v>2016</v>
      </c>
      <c r="C34" s="230"/>
      <c r="D34" s="230"/>
      <c r="E34" s="230"/>
    </row>
    <row r="35" spans="1:9" s="89" customFormat="1" x14ac:dyDescent="0.2">
      <c r="A35" s="121"/>
      <c r="B35" s="122"/>
      <c r="C35" s="122"/>
      <c r="D35" s="122"/>
      <c r="E35" s="122"/>
    </row>
    <row r="36" spans="1:9" ht="28.5" customHeight="1" x14ac:dyDescent="0.2">
      <c r="A36" s="229" t="s">
        <v>191</v>
      </c>
      <c r="B36" s="229"/>
      <c r="C36" s="229"/>
      <c r="D36" s="229"/>
      <c r="E36" s="229"/>
      <c r="F36" s="229"/>
      <c r="G36" s="229"/>
      <c r="H36" s="229"/>
      <c r="I36" s="229"/>
    </row>
    <row r="37" spans="1:9" s="76" customFormat="1" ht="270.75" customHeight="1" x14ac:dyDescent="0.2">
      <c r="A37" s="231"/>
      <c r="B37" s="231"/>
      <c r="C37" s="231"/>
      <c r="D37" s="231"/>
      <c r="E37" s="231"/>
      <c r="F37" s="231"/>
      <c r="G37" s="231"/>
      <c r="H37" s="231"/>
      <c r="I37" s="231"/>
    </row>
    <row r="38" spans="1:9" s="76" customFormat="1" x14ac:dyDescent="0.2"/>
    <row r="39" spans="1:9" s="76" customFormat="1" x14ac:dyDescent="0.2"/>
    <row r="40" spans="1:9" s="76" customFormat="1" x14ac:dyDescent="0.2"/>
    <row r="41" spans="1:9" s="76" customFormat="1" x14ac:dyDescent="0.2"/>
    <row r="42" spans="1:9" s="76" customFormat="1" x14ac:dyDescent="0.2"/>
    <row r="43" spans="1:9" s="76" customFormat="1" x14ac:dyDescent="0.2"/>
    <row r="44" spans="1:9" s="76" customFormat="1" x14ac:dyDescent="0.2"/>
    <row r="45" spans="1:9" s="76" customFormat="1" x14ac:dyDescent="0.2"/>
    <row r="46" spans="1:9" s="76" customFormat="1" x14ac:dyDescent="0.2"/>
    <row r="47" spans="1:9" s="76" customFormat="1" x14ac:dyDescent="0.2"/>
    <row r="48" spans="1:9" s="76" customFormat="1" x14ac:dyDescent="0.2"/>
    <row r="49" s="76" customFormat="1" x14ac:dyDescent="0.2"/>
    <row r="50" s="76" customFormat="1" x14ac:dyDescent="0.2"/>
    <row r="51" s="76" customFormat="1" x14ac:dyDescent="0.2"/>
    <row r="52" s="76" customFormat="1" x14ac:dyDescent="0.2"/>
    <row r="53" s="76" customFormat="1" x14ac:dyDescent="0.2"/>
    <row r="54" s="76" customFormat="1" x14ac:dyDescent="0.2"/>
    <row r="55" s="76" customFormat="1" x14ac:dyDescent="0.2"/>
    <row r="56" s="76" customFormat="1" x14ac:dyDescent="0.2"/>
  </sheetData>
  <sheetProtection sheet="1" scenarios="1"/>
  <mergeCells count="20">
    <mergeCell ref="B6:D6"/>
    <mergeCell ref="B7:D7"/>
    <mergeCell ref="B8:D8"/>
    <mergeCell ref="B9:D9"/>
    <mergeCell ref="A36:I36"/>
    <mergeCell ref="B34:E34"/>
    <mergeCell ref="A37:I37"/>
    <mergeCell ref="A1:I1"/>
    <mergeCell ref="A2:I2"/>
    <mergeCell ref="B33:E33"/>
    <mergeCell ref="A12:B12"/>
    <mergeCell ref="F16:G16"/>
    <mergeCell ref="A16:E16"/>
    <mergeCell ref="A28:B28"/>
    <mergeCell ref="C17:D17"/>
    <mergeCell ref="C12:D12"/>
    <mergeCell ref="F17:G17"/>
    <mergeCell ref="F5:I5"/>
    <mergeCell ref="A11:D11"/>
    <mergeCell ref="B5:D5"/>
  </mergeCells>
  <pageMargins left="0.7" right="0.7" top="0.75" bottom="0.75" header="0.3" footer="0.3"/>
  <pageSetup scale="98" fitToHeight="0" orientation="landscape" r:id="rId1"/>
  <headerFooter>
    <oddFooter>&amp;L&amp;F  &amp;A</oddFooter>
  </headerFooter>
  <rowBreaks count="1" manualBreakCount="1">
    <brk id="31"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6"/>
    <pageSetUpPr fitToPage="1"/>
  </sheetPr>
  <dimension ref="A1:AG116"/>
  <sheetViews>
    <sheetView showGridLines="0" zoomScaleNormal="100" zoomScaleSheetLayoutView="100" workbookViewId="0">
      <selection activeCell="E13" sqref="E13"/>
    </sheetView>
  </sheetViews>
  <sheetFormatPr defaultColWidth="9.140625" defaultRowHeight="12.75" x14ac:dyDescent="0.2"/>
  <cols>
    <col min="1" max="1" width="30.140625" style="1" customWidth="1"/>
    <col min="2" max="2" width="11.7109375" style="1" customWidth="1"/>
    <col min="3" max="3" width="10.28515625" style="1" customWidth="1"/>
    <col min="4" max="12" width="10.7109375" style="1" customWidth="1"/>
    <col min="13" max="14" width="13.85546875" style="1" customWidth="1"/>
    <col min="15" max="15" width="10.5703125" style="1" customWidth="1"/>
    <col min="16" max="16" width="10.7109375" style="1" customWidth="1"/>
    <col min="17" max="16384" width="9.140625" style="1"/>
  </cols>
  <sheetData>
    <row r="1" spans="1:33" ht="15" customHeight="1" x14ac:dyDescent="0.2">
      <c r="A1" s="249" t="s">
        <v>192</v>
      </c>
      <c r="B1" s="249"/>
      <c r="C1" s="249"/>
      <c r="D1" s="249"/>
      <c r="E1" s="249"/>
      <c r="F1" s="249"/>
      <c r="G1" s="249"/>
      <c r="H1" s="249"/>
      <c r="I1" s="249"/>
      <c r="J1" s="249"/>
      <c r="K1" s="249"/>
      <c r="L1" s="249"/>
      <c r="M1" s="249"/>
      <c r="N1" s="249"/>
    </row>
    <row r="2" spans="1:33" ht="15" customHeight="1" x14ac:dyDescent="0.2">
      <c r="A2" s="250" t="s">
        <v>193</v>
      </c>
      <c r="B2" s="250"/>
      <c r="C2" s="250"/>
      <c r="D2" s="250"/>
      <c r="E2" s="250"/>
      <c r="F2" s="250"/>
      <c r="G2" s="250"/>
      <c r="H2" s="250"/>
      <c r="I2" s="250"/>
      <c r="J2" s="250"/>
      <c r="K2" s="250"/>
      <c r="L2" s="250"/>
      <c r="M2" s="250"/>
      <c r="N2" s="250"/>
    </row>
    <row r="3" spans="1:33" s="7" customFormat="1" ht="19.5" x14ac:dyDescent="0.4">
      <c r="A3" s="26" t="s">
        <v>127</v>
      </c>
      <c r="B3" s="26"/>
      <c r="C3" s="26"/>
      <c r="AB3" s="24" t="s">
        <v>27</v>
      </c>
      <c r="AG3" s="21"/>
    </row>
    <row r="4" spans="1:33" ht="14.25" x14ac:dyDescent="0.2">
      <c r="A4" s="46"/>
      <c r="B4" s="46"/>
      <c r="C4" s="46"/>
      <c r="H4" s="257" t="s">
        <v>26</v>
      </c>
      <c r="I4" s="258"/>
      <c r="J4" s="258"/>
      <c r="K4" s="258"/>
      <c r="L4" s="258"/>
      <c r="M4" s="259"/>
      <c r="AB4" s="25" t="s">
        <v>28</v>
      </c>
      <c r="AG4" s="19"/>
    </row>
    <row r="5" spans="1:33" ht="15" customHeight="1" x14ac:dyDescent="0.2">
      <c r="A5" s="3" t="s">
        <v>4</v>
      </c>
      <c r="B5" s="242" t="s">
        <v>203</v>
      </c>
      <c r="C5" s="242"/>
      <c r="D5" s="242"/>
      <c r="H5" s="29"/>
      <c r="I5" s="7"/>
      <c r="J5" s="7"/>
      <c r="K5" s="7"/>
      <c r="L5" s="28" t="s">
        <v>99</v>
      </c>
      <c r="M5" s="202">
        <v>5685958</v>
      </c>
      <c r="AB5" s="25" t="s">
        <v>29</v>
      </c>
      <c r="AG5" s="19"/>
    </row>
    <row r="6" spans="1:33" ht="15" customHeight="1" thickBot="1" x14ac:dyDescent="0.25">
      <c r="A6" s="4" t="s">
        <v>41</v>
      </c>
      <c r="B6" s="273">
        <v>42522</v>
      </c>
      <c r="C6" s="273"/>
      <c r="D6" s="273"/>
      <c r="H6" s="29"/>
      <c r="I6" s="7"/>
      <c r="J6" s="7"/>
      <c r="K6" s="7"/>
      <c r="L6" s="28" t="s">
        <v>132</v>
      </c>
      <c r="M6" s="202">
        <v>5732025</v>
      </c>
      <c r="AB6" s="25" t="s">
        <v>30</v>
      </c>
      <c r="AG6" s="20"/>
    </row>
    <row r="7" spans="1:33" ht="15" customHeight="1" x14ac:dyDescent="0.2">
      <c r="A7" s="5" t="s">
        <v>0</v>
      </c>
      <c r="B7" s="274" t="s">
        <v>204</v>
      </c>
      <c r="C7" s="274"/>
      <c r="D7" s="274"/>
      <c r="H7" s="29"/>
      <c r="I7" s="7"/>
      <c r="J7" s="7"/>
      <c r="K7" s="7"/>
      <c r="L7" s="28" t="s">
        <v>100</v>
      </c>
      <c r="M7" s="227">
        <f>IF(REN_Load_2015+REN_Load_2014&gt;0,AVERAGE(REN_Load_2015,REN_Load_2014),0)</f>
        <v>5708991.5</v>
      </c>
    </row>
    <row r="8" spans="1:33" ht="15" customHeight="1" x14ac:dyDescent="0.2">
      <c r="A8" s="5" t="s">
        <v>1</v>
      </c>
      <c r="B8" s="274" t="s">
        <v>205</v>
      </c>
      <c r="C8" s="274"/>
      <c r="D8" s="274"/>
      <c r="H8" s="29"/>
      <c r="I8" s="7"/>
      <c r="J8" s="7"/>
      <c r="K8" s="7"/>
      <c r="L8" s="28" t="s">
        <v>133</v>
      </c>
      <c r="M8" s="168">
        <v>0.09</v>
      </c>
    </row>
    <row r="9" spans="1:33" ht="15" customHeight="1" x14ac:dyDescent="0.2">
      <c r="A9" s="5" t="s">
        <v>2</v>
      </c>
      <c r="B9" s="275" t="s">
        <v>206</v>
      </c>
      <c r="C9" s="276"/>
      <c r="D9" s="276"/>
      <c r="H9" s="33"/>
      <c r="I9" s="7"/>
      <c r="J9" s="7"/>
      <c r="K9" s="7"/>
      <c r="L9" s="28" t="s">
        <v>141</v>
      </c>
      <c r="M9" s="227">
        <f>ROUND(M7*M8,0)</f>
        <v>513809</v>
      </c>
    </row>
    <row r="10" spans="1:33" ht="15" customHeight="1" x14ac:dyDescent="0.2">
      <c r="A10" s="5"/>
      <c r="B10" s="5"/>
      <c r="C10" s="5"/>
      <c r="D10" s="18"/>
      <c r="H10" s="30"/>
      <c r="I10" s="31"/>
      <c r="J10" s="31"/>
      <c r="K10" s="31"/>
      <c r="L10" s="32" t="s">
        <v>134</v>
      </c>
      <c r="M10" s="228">
        <f>SUM(C20:N20)</f>
        <v>541122</v>
      </c>
    </row>
    <row r="11" spans="1:33" ht="15" customHeight="1" x14ac:dyDescent="0.2">
      <c r="A11" s="3" t="s">
        <v>128</v>
      </c>
      <c r="B11" s="42"/>
      <c r="C11" s="42"/>
    </row>
    <row r="12" spans="1:33" ht="15" customHeight="1" x14ac:dyDescent="0.2">
      <c r="B12" s="46"/>
      <c r="C12" s="46"/>
      <c r="F12" s="260" t="s">
        <v>139</v>
      </c>
      <c r="G12" s="261"/>
      <c r="H12" s="261"/>
      <c r="I12" s="261"/>
      <c r="J12" s="261"/>
      <c r="K12" s="261"/>
      <c r="L12" s="261"/>
      <c r="M12" s="262"/>
    </row>
    <row r="13" spans="1:33" s="22" customFormat="1" ht="14.25" customHeight="1" x14ac:dyDescent="0.25">
      <c r="A13" s="1"/>
      <c r="B13" s="23"/>
      <c r="C13" s="23"/>
      <c r="F13" s="29" t="s">
        <v>72</v>
      </c>
      <c r="G13" s="36"/>
      <c r="H13" s="36"/>
      <c r="I13" s="36"/>
      <c r="J13" s="36"/>
      <c r="K13" s="36"/>
      <c r="L13" s="7"/>
      <c r="M13" s="44">
        <f>'Renewable Cost Report'!K30+'Renewable Cost Report'!E62</f>
        <v>5611409.8255928028</v>
      </c>
    </row>
    <row r="14" spans="1:33" x14ac:dyDescent="0.2">
      <c r="B14" s="46"/>
      <c r="C14" s="46"/>
      <c r="F14" s="29" t="s">
        <v>140</v>
      </c>
      <c r="G14" s="34"/>
      <c r="H14" s="34"/>
      <c r="I14" s="34"/>
      <c r="J14" s="34"/>
      <c r="K14" s="7"/>
      <c r="L14" s="7"/>
      <c r="M14" s="203">
        <v>491872000</v>
      </c>
    </row>
    <row r="15" spans="1:33" x14ac:dyDescent="0.2">
      <c r="F15" s="37" t="s">
        <v>73</v>
      </c>
      <c r="G15" s="35"/>
      <c r="H15" s="35"/>
      <c r="I15" s="35"/>
      <c r="J15" s="35"/>
      <c r="K15" s="31"/>
      <c r="L15" s="31"/>
      <c r="M15" s="45">
        <f>IF(REN_RetailRevenueRequirement_2016&gt;0,REN_Expenditure_Amount_2016/REN_RetailRevenueRequirement_2016,"")</f>
        <v>1.140827252942392E-2</v>
      </c>
    </row>
    <row r="16" spans="1:33" ht="17.45" customHeight="1" x14ac:dyDescent="0.2">
      <c r="H16" s="269"/>
      <c r="I16" s="269"/>
      <c r="J16" s="269"/>
      <c r="K16" s="269"/>
      <c r="L16" s="269"/>
      <c r="M16" s="16"/>
      <c r="N16" s="11"/>
      <c r="O16" s="11"/>
    </row>
    <row r="17" spans="1:33" ht="36" customHeight="1" x14ac:dyDescent="0.2">
      <c r="A17" s="9"/>
      <c r="C17" s="52" t="s">
        <v>14</v>
      </c>
      <c r="D17" s="53" t="s">
        <v>15</v>
      </c>
      <c r="E17" s="53" t="s">
        <v>173</v>
      </c>
      <c r="F17" s="53" t="s">
        <v>174</v>
      </c>
      <c r="G17" s="53" t="s">
        <v>16</v>
      </c>
      <c r="H17" s="53" t="s">
        <v>23</v>
      </c>
      <c r="I17" s="53" t="s">
        <v>17</v>
      </c>
      <c r="J17" s="53" t="s">
        <v>172</v>
      </c>
      <c r="K17" s="53" t="s">
        <v>176</v>
      </c>
      <c r="L17" s="60" t="s">
        <v>177</v>
      </c>
      <c r="M17" s="52" t="s">
        <v>185</v>
      </c>
      <c r="N17" s="54" t="s">
        <v>186</v>
      </c>
      <c r="O17" s="11"/>
    </row>
    <row r="18" spans="1:33" ht="15" customHeight="1" x14ac:dyDescent="0.2">
      <c r="B18" s="4" t="s">
        <v>25</v>
      </c>
      <c r="C18" s="55">
        <f t="shared" ref="C18:L18" si="0">SUMIF($C40:$C60,C$17,$E40:$E60)</f>
        <v>171482</v>
      </c>
      <c r="D18" s="49">
        <f t="shared" si="0"/>
        <v>239050</v>
      </c>
      <c r="E18" s="49">
        <f t="shared" si="0"/>
        <v>0</v>
      </c>
      <c r="F18" s="49">
        <f t="shared" si="0"/>
        <v>0</v>
      </c>
      <c r="G18" s="49">
        <f t="shared" si="0"/>
        <v>0</v>
      </c>
      <c r="H18" s="49">
        <f t="shared" si="0"/>
        <v>0</v>
      </c>
      <c r="I18" s="49">
        <f t="shared" si="0"/>
        <v>0</v>
      </c>
      <c r="J18" s="49">
        <f t="shared" si="0"/>
        <v>0</v>
      </c>
      <c r="K18" s="49">
        <f t="shared" si="0"/>
        <v>33163</v>
      </c>
      <c r="L18" s="61">
        <f t="shared" si="0"/>
        <v>0</v>
      </c>
      <c r="M18" s="55">
        <f>SUM(F40:F60)</f>
        <v>47810</v>
      </c>
      <c r="N18" s="56"/>
      <c r="O18" s="75"/>
    </row>
    <row r="19" spans="1:33" ht="16.5" customHeight="1" x14ac:dyDescent="0.2">
      <c r="B19" s="4" t="s">
        <v>18</v>
      </c>
      <c r="C19" s="57"/>
      <c r="D19" s="50">
        <f t="shared" ref="D19:L19" si="1">SUMIF($D67:$D91,D$17,$G67:$G91)</f>
        <v>49617</v>
      </c>
      <c r="E19" s="50">
        <f t="shared" si="1"/>
        <v>0</v>
      </c>
      <c r="F19" s="50">
        <f t="shared" si="1"/>
        <v>0</v>
      </c>
      <c r="G19" s="50">
        <f t="shared" si="1"/>
        <v>0</v>
      </c>
      <c r="H19" s="50">
        <f t="shared" si="1"/>
        <v>0</v>
      </c>
      <c r="I19" s="50">
        <f t="shared" si="1"/>
        <v>0</v>
      </c>
      <c r="J19" s="50">
        <f t="shared" si="1"/>
        <v>0</v>
      </c>
      <c r="K19" s="50">
        <f t="shared" si="1"/>
        <v>0</v>
      </c>
      <c r="L19" s="62">
        <f t="shared" si="1"/>
        <v>0</v>
      </c>
      <c r="M19" s="64">
        <f>SUM(H67:H91)</f>
        <v>0</v>
      </c>
      <c r="N19" s="58">
        <f>SUM(I67:I91)</f>
        <v>0</v>
      </c>
      <c r="O19" s="11"/>
    </row>
    <row r="20" spans="1:33" ht="16.5" customHeight="1" x14ac:dyDescent="0.2">
      <c r="B20" s="5" t="s">
        <v>131</v>
      </c>
      <c r="C20" s="59">
        <f>C18</f>
        <v>171482</v>
      </c>
      <c r="D20" s="51">
        <f t="shared" ref="D20:K20" si="2">D18+D19</f>
        <v>288667</v>
      </c>
      <c r="E20" s="51">
        <f t="shared" si="2"/>
        <v>0</v>
      </c>
      <c r="F20" s="51">
        <f t="shared" si="2"/>
        <v>0</v>
      </c>
      <c r="G20" s="51">
        <f t="shared" si="2"/>
        <v>0</v>
      </c>
      <c r="H20" s="51">
        <f t="shared" si="2"/>
        <v>0</v>
      </c>
      <c r="I20" s="51">
        <f t="shared" si="2"/>
        <v>0</v>
      </c>
      <c r="J20" s="51">
        <f t="shared" si="2"/>
        <v>0</v>
      </c>
      <c r="K20" s="51">
        <f t="shared" si="2"/>
        <v>33163</v>
      </c>
      <c r="L20" s="63"/>
      <c r="M20" s="59">
        <f>M18+M19</f>
        <v>47810</v>
      </c>
      <c r="N20" s="58">
        <f>N19</f>
        <v>0</v>
      </c>
      <c r="O20" s="11"/>
    </row>
    <row r="21" spans="1:33" ht="16.5" customHeight="1" x14ac:dyDescent="0.2">
      <c r="K21" s="7"/>
      <c r="L21" s="4"/>
      <c r="M21" s="17"/>
      <c r="N21" s="11"/>
      <c r="O21" s="11"/>
    </row>
    <row r="22" spans="1:33" ht="21.75" customHeight="1" x14ac:dyDescent="0.2">
      <c r="K22" s="7"/>
      <c r="L22" s="4"/>
      <c r="M22" s="17"/>
      <c r="N22" s="11"/>
      <c r="O22" s="11"/>
    </row>
    <row r="23" spans="1:33" ht="15" customHeight="1" x14ac:dyDescent="0.2">
      <c r="A23" s="28"/>
      <c r="B23" s="28"/>
      <c r="C23" s="28"/>
      <c r="D23" s="28"/>
      <c r="E23" s="28"/>
      <c r="F23" s="28"/>
      <c r="H23" s="7"/>
      <c r="I23" s="7"/>
      <c r="J23" s="7"/>
      <c r="K23" s="7"/>
      <c r="L23" s="4"/>
      <c r="M23" s="17"/>
      <c r="N23" s="11"/>
      <c r="O23" s="11"/>
    </row>
    <row r="24" spans="1:33" ht="15" customHeight="1" x14ac:dyDescent="0.2"/>
    <row r="25" spans="1:33" s="10" customFormat="1" x14ac:dyDescent="0.2">
      <c r="AG25" s="1"/>
    </row>
    <row r="26" spans="1:33" ht="15" customHeight="1" x14ac:dyDescent="0.2">
      <c r="AG26" s="10"/>
    </row>
    <row r="27" spans="1:33" ht="15" customHeight="1" x14ac:dyDescent="0.2">
      <c r="AG27" s="10"/>
    </row>
    <row r="28" spans="1:33" ht="15" customHeight="1" x14ac:dyDescent="0.2">
      <c r="AG28" s="10"/>
    </row>
    <row r="29" spans="1:33" ht="15" customHeight="1" x14ac:dyDescent="0.2">
      <c r="AG29" s="10"/>
    </row>
    <row r="30" spans="1:33" ht="15" customHeight="1" x14ac:dyDescent="0.2">
      <c r="AG30" s="10"/>
    </row>
    <row r="31" spans="1:33" ht="15" customHeight="1" x14ac:dyDescent="0.2">
      <c r="AG31" s="10"/>
    </row>
    <row r="32" spans="1:33" ht="15" customHeight="1" x14ac:dyDescent="0.2">
      <c r="AG32" s="10"/>
    </row>
    <row r="33" spans="1:33" ht="15" customHeight="1" x14ac:dyDescent="0.2"/>
    <row r="34" spans="1:33" ht="15" customHeight="1" x14ac:dyDescent="0.2"/>
    <row r="35" spans="1:33" ht="15" customHeight="1" x14ac:dyDescent="0.2"/>
    <row r="36" spans="1:33" ht="16.5" customHeight="1" x14ac:dyDescent="0.2">
      <c r="A36" s="280" t="s">
        <v>22</v>
      </c>
      <c r="B36" s="6"/>
      <c r="C36" s="6"/>
      <c r="D36" s="9" t="s">
        <v>4</v>
      </c>
      <c r="E36" s="270" t="str">
        <f>B5</f>
        <v>Avista</v>
      </c>
      <c r="F36" s="271"/>
      <c r="G36" s="272"/>
    </row>
    <row r="37" spans="1:33" ht="15" customHeight="1" x14ac:dyDescent="0.2">
      <c r="A37" s="280"/>
      <c r="D37" s="9" t="s">
        <v>13</v>
      </c>
      <c r="E37" s="277">
        <v>2016</v>
      </c>
      <c r="F37" s="278"/>
      <c r="G37" s="279"/>
    </row>
    <row r="38" spans="1:33" ht="15" customHeight="1" x14ac:dyDescent="0.2">
      <c r="D38" s="9"/>
      <c r="E38" s="42"/>
      <c r="F38" s="8"/>
      <c r="G38" s="8"/>
    </row>
    <row r="39" spans="1:33" s="10" customFormat="1" ht="52.5" customHeight="1" x14ac:dyDescent="0.2">
      <c r="A39" s="27" t="s">
        <v>19</v>
      </c>
      <c r="B39" s="65" t="s">
        <v>31</v>
      </c>
      <c r="C39" s="47" t="s">
        <v>175</v>
      </c>
      <c r="D39" s="66" t="s">
        <v>178</v>
      </c>
      <c r="E39" s="47" t="s">
        <v>190</v>
      </c>
      <c r="F39" s="47" t="s">
        <v>189</v>
      </c>
      <c r="G39" s="283" t="s">
        <v>184</v>
      </c>
      <c r="H39" s="283"/>
      <c r="I39" s="283"/>
      <c r="J39" s="283"/>
      <c r="K39" s="283"/>
      <c r="L39" s="14"/>
      <c r="M39" s="14"/>
      <c r="N39" s="14"/>
      <c r="AG39" s="7"/>
    </row>
    <row r="40" spans="1:33" ht="15" customHeight="1" x14ac:dyDescent="0.2">
      <c r="A40" s="208" t="s">
        <v>207</v>
      </c>
      <c r="B40" s="209" t="s">
        <v>208</v>
      </c>
      <c r="C40" s="213" t="s">
        <v>14</v>
      </c>
      <c r="D40" s="80" t="s">
        <v>179</v>
      </c>
      <c r="E40" s="215">
        <v>14197</v>
      </c>
      <c r="F40" s="49">
        <f>IF(D40="Yes",0.2*E40,0)</f>
        <v>0</v>
      </c>
      <c r="G40" s="254"/>
      <c r="H40" s="255"/>
      <c r="I40" s="255"/>
      <c r="J40" s="255"/>
      <c r="K40" s="256"/>
      <c r="L40" s="14"/>
      <c r="M40" s="14"/>
      <c r="N40" s="14"/>
    </row>
    <row r="41" spans="1:33" ht="15" customHeight="1" x14ac:dyDescent="0.2">
      <c r="A41" s="204" t="s">
        <v>209</v>
      </c>
      <c r="B41" s="210" t="s">
        <v>210</v>
      </c>
      <c r="C41" s="206" t="s">
        <v>14</v>
      </c>
      <c r="D41" s="80" t="s">
        <v>179</v>
      </c>
      <c r="E41" s="216">
        <v>4862</v>
      </c>
      <c r="F41" s="67">
        <f t="shared" ref="F41:F60" si="3">IF(D41="Yes",0.2*E41,0)</f>
        <v>0</v>
      </c>
      <c r="G41" s="251"/>
      <c r="H41" s="252"/>
      <c r="I41" s="252"/>
      <c r="J41" s="252"/>
      <c r="K41" s="253"/>
      <c r="L41" s="14"/>
      <c r="M41" s="14"/>
      <c r="N41" s="14"/>
    </row>
    <row r="42" spans="1:33" ht="15" customHeight="1" x14ac:dyDescent="0.2">
      <c r="A42" s="204" t="s">
        <v>211</v>
      </c>
      <c r="B42" s="210" t="s">
        <v>212</v>
      </c>
      <c r="C42" s="206" t="s">
        <v>14</v>
      </c>
      <c r="D42" s="80" t="s">
        <v>179</v>
      </c>
      <c r="E42" s="216">
        <v>29008</v>
      </c>
      <c r="F42" s="67">
        <f t="shared" si="3"/>
        <v>0</v>
      </c>
      <c r="G42" s="132"/>
      <c r="H42" s="133"/>
      <c r="I42" s="133"/>
      <c r="J42" s="133"/>
      <c r="K42" s="134"/>
      <c r="L42" s="14"/>
      <c r="M42" s="14"/>
      <c r="N42" s="14"/>
    </row>
    <row r="43" spans="1:33" ht="15" customHeight="1" x14ac:dyDescent="0.2">
      <c r="A43" s="204" t="s">
        <v>213</v>
      </c>
      <c r="B43" s="211" t="s">
        <v>214</v>
      </c>
      <c r="C43" s="214" t="s">
        <v>14</v>
      </c>
      <c r="D43" s="80" t="s">
        <v>179</v>
      </c>
      <c r="E43" s="216">
        <v>45808</v>
      </c>
      <c r="F43" s="67">
        <f t="shared" si="3"/>
        <v>0</v>
      </c>
      <c r="G43" s="251"/>
      <c r="H43" s="252"/>
      <c r="I43" s="252"/>
      <c r="J43" s="252"/>
      <c r="K43" s="253"/>
      <c r="L43" s="14"/>
      <c r="M43" s="14"/>
      <c r="N43" s="14"/>
    </row>
    <row r="44" spans="1:33" ht="15" customHeight="1" x14ac:dyDescent="0.2">
      <c r="A44" s="204" t="s">
        <v>215</v>
      </c>
      <c r="B44" s="210" t="s">
        <v>216</v>
      </c>
      <c r="C44" s="206" t="s">
        <v>14</v>
      </c>
      <c r="D44" s="80" t="s">
        <v>179</v>
      </c>
      <c r="E44" s="216">
        <v>20517</v>
      </c>
      <c r="F44" s="67">
        <f t="shared" si="3"/>
        <v>0</v>
      </c>
      <c r="G44" s="251"/>
      <c r="H44" s="252"/>
      <c r="I44" s="252"/>
      <c r="J44" s="252"/>
      <c r="K44" s="253"/>
      <c r="L44" s="14"/>
      <c r="M44" s="14"/>
      <c r="N44" s="14"/>
    </row>
    <row r="45" spans="1:33" ht="15" customHeight="1" x14ac:dyDescent="0.2">
      <c r="A45" s="205" t="s">
        <v>217</v>
      </c>
      <c r="B45" s="212" t="s">
        <v>218</v>
      </c>
      <c r="C45" s="207" t="s">
        <v>14</v>
      </c>
      <c r="D45" s="80" t="s">
        <v>179</v>
      </c>
      <c r="E45" s="216">
        <v>21435</v>
      </c>
      <c r="F45" s="67">
        <f t="shared" si="3"/>
        <v>0</v>
      </c>
      <c r="G45" s="251"/>
      <c r="H45" s="252"/>
      <c r="I45" s="252"/>
      <c r="J45" s="252"/>
      <c r="K45" s="253"/>
      <c r="L45" s="14"/>
      <c r="M45" s="14"/>
      <c r="N45" s="14"/>
    </row>
    <row r="46" spans="1:33" ht="15" customHeight="1" x14ac:dyDescent="0.2">
      <c r="A46" s="205" t="s">
        <v>219</v>
      </c>
      <c r="B46" s="212" t="s">
        <v>220</v>
      </c>
      <c r="C46" s="207" t="s">
        <v>14</v>
      </c>
      <c r="D46" s="80" t="s">
        <v>179</v>
      </c>
      <c r="E46" s="216">
        <v>7709</v>
      </c>
      <c r="F46" s="67">
        <f t="shared" si="3"/>
        <v>0</v>
      </c>
      <c r="G46" s="251"/>
      <c r="H46" s="252"/>
      <c r="I46" s="252"/>
      <c r="J46" s="252"/>
      <c r="K46" s="253"/>
      <c r="L46" s="14"/>
      <c r="M46" s="14"/>
      <c r="N46" s="14"/>
    </row>
    <row r="47" spans="1:33" ht="15" customHeight="1" x14ac:dyDescent="0.2">
      <c r="A47" s="205" t="s">
        <v>221</v>
      </c>
      <c r="B47" s="212" t="s">
        <v>222</v>
      </c>
      <c r="C47" s="207" t="s">
        <v>14</v>
      </c>
      <c r="D47" s="80" t="s">
        <v>179</v>
      </c>
      <c r="E47" s="216">
        <v>14529</v>
      </c>
      <c r="F47" s="67">
        <f t="shared" si="3"/>
        <v>0</v>
      </c>
      <c r="G47" s="251"/>
      <c r="H47" s="252"/>
      <c r="I47" s="252"/>
      <c r="J47" s="252"/>
      <c r="K47" s="253"/>
      <c r="L47" s="14"/>
      <c r="M47" s="14"/>
      <c r="N47" s="14"/>
    </row>
    <row r="48" spans="1:33" ht="15" customHeight="1" x14ac:dyDescent="0.2">
      <c r="A48" s="205" t="s">
        <v>223</v>
      </c>
      <c r="B48" s="212" t="s">
        <v>224</v>
      </c>
      <c r="C48" s="207" t="s">
        <v>14</v>
      </c>
      <c r="D48" s="80" t="s">
        <v>179</v>
      </c>
      <c r="E48" s="216">
        <v>12024</v>
      </c>
      <c r="F48" s="67">
        <f t="shared" si="3"/>
        <v>0</v>
      </c>
      <c r="G48" s="251"/>
      <c r="H48" s="252"/>
      <c r="I48" s="252"/>
      <c r="J48" s="252"/>
      <c r="K48" s="253"/>
      <c r="L48" s="14"/>
      <c r="M48" s="14"/>
      <c r="N48" s="14"/>
    </row>
    <row r="49" spans="1:14" ht="15" customHeight="1" x14ac:dyDescent="0.2">
      <c r="A49" s="205" t="s">
        <v>225</v>
      </c>
      <c r="B49" s="212" t="s">
        <v>226</v>
      </c>
      <c r="C49" s="207" t="s">
        <v>14</v>
      </c>
      <c r="D49" s="80" t="s">
        <v>179</v>
      </c>
      <c r="E49" s="216">
        <v>0</v>
      </c>
      <c r="F49" s="67">
        <f t="shared" si="3"/>
        <v>0</v>
      </c>
      <c r="G49" s="251"/>
      <c r="H49" s="252"/>
      <c r="I49" s="252"/>
      <c r="J49" s="252"/>
      <c r="K49" s="253"/>
      <c r="L49" s="14"/>
      <c r="M49" s="14"/>
      <c r="N49" s="14"/>
    </row>
    <row r="50" spans="1:14" ht="15" customHeight="1" x14ac:dyDescent="0.2">
      <c r="A50" s="205" t="s">
        <v>227</v>
      </c>
      <c r="B50" s="212" t="s">
        <v>228</v>
      </c>
      <c r="C50" s="207" t="s">
        <v>15</v>
      </c>
      <c r="D50" s="80" t="s">
        <v>235</v>
      </c>
      <c r="E50" s="216">
        <v>239050</v>
      </c>
      <c r="F50" s="67">
        <f t="shared" si="3"/>
        <v>47810</v>
      </c>
      <c r="G50" s="251"/>
      <c r="H50" s="252"/>
      <c r="I50" s="252"/>
      <c r="J50" s="252"/>
      <c r="K50" s="253"/>
      <c r="L50" s="14"/>
      <c r="M50" s="14"/>
      <c r="N50" s="14"/>
    </row>
    <row r="51" spans="1:14" ht="15" customHeight="1" x14ac:dyDescent="0.2">
      <c r="A51" s="205" t="s">
        <v>229</v>
      </c>
      <c r="B51" s="212" t="s">
        <v>230</v>
      </c>
      <c r="C51" s="207" t="s">
        <v>14</v>
      </c>
      <c r="D51" s="80" t="s">
        <v>179</v>
      </c>
      <c r="E51" s="216">
        <v>416</v>
      </c>
      <c r="F51" s="67">
        <f t="shared" si="3"/>
        <v>0</v>
      </c>
      <c r="G51" s="251"/>
      <c r="H51" s="252"/>
      <c r="I51" s="252"/>
      <c r="J51" s="252"/>
      <c r="K51" s="253"/>
      <c r="L51" s="14"/>
      <c r="M51" s="14"/>
      <c r="N51" s="14"/>
    </row>
    <row r="52" spans="1:14" ht="15" customHeight="1" x14ac:dyDescent="0.2">
      <c r="A52" s="205" t="s">
        <v>231</v>
      </c>
      <c r="B52" s="212" t="s">
        <v>232</v>
      </c>
      <c r="C52" s="207" t="s">
        <v>14</v>
      </c>
      <c r="D52" s="80" t="s">
        <v>179</v>
      </c>
      <c r="E52" s="216">
        <v>977</v>
      </c>
      <c r="F52" s="67">
        <f t="shared" si="3"/>
        <v>0</v>
      </c>
      <c r="G52" s="251"/>
      <c r="H52" s="252"/>
      <c r="I52" s="252"/>
      <c r="J52" s="252"/>
      <c r="K52" s="253"/>
      <c r="L52" s="14"/>
      <c r="M52" s="14"/>
      <c r="N52" s="14"/>
    </row>
    <row r="53" spans="1:14" ht="15" customHeight="1" x14ac:dyDescent="0.2">
      <c r="A53" s="205" t="s">
        <v>233</v>
      </c>
      <c r="B53" s="212" t="s">
        <v>234</v>
      </c>
      <c r="C53" s="207" t="s">
        <v>176</v>
      </c>
      <c r="D53" s="80" t="s">
        <v>179</v>
      </c>
      <c r="E53" s="216">
        <v>33163</v>
      </c>
      <c r="F53" s="67">
        <f t="shared" si="3"/>
        <v>0</v>
      </c>
      <c r="G53" s="251"/>
      <c r="H53" s="252"/>
      <c r="I53" s="252"/>
      <c r="J53" s="252"/>
      <c r="K53" s="253"/>
      <c r="L53" s="14"/>
      <c r="M53" s="14"/>
      <c r="N53" s="14"/>
    </row>
    <row r="54" spans="1:14" ht="15" customHeight="1" x14ac:dyDescent="0.2">
      <c r="A54" s="127"/>
      <c r="B54" s="128"/>
      <c r="C54" s="128"/>
      <c r="D54" s="80" t="s">
        <v>179</v>
      </c>
      <c r="E54" s="124"/>
      <c r="F54" s="67">
        <f t="shared" si="3"/>
        <v>0</v>
      </c>
      <c r="G54" s="251"/>
      <c r="H54" s="252"/>
      <c r="I54" s="252"/>
      <c r="J54" s="252"/>
      <c r="K54" s="253"/>
      <c r="L54" s="14"/>
      <c r="M54" s="14"/>
      <c r="N54" s="14"/>
    </row>
    <row r="55" spans="1:14" ht="15" customHeight="1" x14ac:dyDescent="0.2">
      <c r="A55" s="127"/>
      <c r="B55" s="128"/>
      <c r="C55" s="128"/>
      <c r="D55" s="80" t="s">
        <v>179</v>
      </c>
      <c r="E55" s="124"/>
      <c r="F55" s="67">
        <f t="shared" si="3"/>
        <v>0</v>
      </c>
      <c r="G55" s="251"/>
      <c r="H55" s="252"/>
      <c r="I55" s="252"/>
      <c r="J55" s="252"/>
      <c r="K55" s="253"/>
      <c r="L55" s="14"/>
      <c r="M55" s="14"/>
      <c r="N55" s="14"/>
    </row>
    <row r="56" spans="1:14" ht="15" customHeight="1" x14ac:dyDescent="0.2">
      <c r="A56" s="127"/>
      <c r="B56" s="128"/>
      <c r="C56" s="128"/>
      <c r="D56" s="80" t="s">
        <v>179</v>
      </c>
      <c r="E56" s="124"/>
      <c r="F56" s="67">
        <f t="shared" si="3"/>
        <v>0</v>
      </c>
      <c r="G56" s="251"/>
      <c r="H56" s="252"/>
      <c r="I56" s="252"/>
      <c r="J56" s="252"/>
      <c r="K56" s="253"/>
      <c r="L56" s="14"/>
      <c r="M56" s="14"/>
      <c r="N56" s="14"/>
    </row>
    <row r="57" spans="1:14" ht="15" customHeight="1" x14ac:dyDescent="0.2">
      <c r="A57" s="127"/>
      <c r="B57" s="128"/>
      <c r="C57" s="128"/>
      <c r="D57" s="80" t="s">
        <v>179</v>
      </c>
      <c r="E57" s="124"/>
      <c r="F57" s="67">
        <f t="shared" si="3"/>
        <v>0</v>
      </c>
      <c r="G57" s="251"/>
      <c r="H57" s="252"/>
      <c r="I57" s="252"/>
      <c r="J57" s="252"/>
      <c r="K57" s="253"/>
      <c r="L57" s="14"/>
      <c r="M57" s="14"/>
      <c r="N57" s="14"/>
    </row>
    <row r="58" spans="1:14" ht="15" customHeight="1" x14ac:dyDescent="0.2">
      <c r="A58" s="127"/>
      <c r="B58" s="128"/>
      <c r="C58" s="128"/>
      <c r="D58" s="80" t="s">
        <v>179</v>
      </c>
      <c r="E58" s="124"/>
      <c r="F58" s="67">
        <f t="shared" si="3"/>
        <v>0</v>
      </c>
      <c r="G58" s="251"/>
      <c r="H58" s="252"/>
      <c r="I58" s="252"/>
      <c r="J58" s="252"/>
      <c r="K58" s="253"/>
      <c r="L58" s="14"/>
      <c r="M58" s="14"/>
      <c r="N58" s="14"/>
    </row>
    <row r="59" spans="1:14" ht="15" customHeight="1" x14ac:dyDescent="0.2">
      <c r="A59" s="127"/>
      <c r="B59" s="128"/>
      <c r="C59" s="128"/>
      <c r="D59" s="80" t="s">
        <v>179</v>
      </c>
      <c r="E59" s="124"/>
      <c r="F59" s="67">
        <f t="shared" si="3"/>
        <v>0</v>
      </c>
      <c r="G59" s="251"/>
      <c r="H59" s="252"/>
      <c r="I59" s="252"/>
      <c r="J59" s="252"/>
      <c r="K59" s="253"/>
      <c r="L59" s="14"/>
      <c r="M59" s="14"/>
      <c r="N59" s="14"/>
    </row>
    <row r="60" spans="1:14" ht="15" customHeight="1" x14ac:dyDescent="0.2">
      <c r="A60" s="129"/>
      <c r="B60" s="130"/>
      <c r="C60" s="130"/>
      <c r="D60" s="131" t="s">
        <v>179</v>
      </c>
      <c r="E60" s="78"/>
      <c r="F60" s="68">
        <f t="shared" si="3"/>
        <v>0</v>
      </c>
      <c r="G60" s="263"/>
      <c r="H60" s="264"/>
      <c r="I60" s="264"/>
      <c r="J60" s="264"/>
      <c r="K60" s="265"/>
      <c r="L60" s="14"/>
      <c r="M60" s="14"/>
      <c r="N60" s="14"/>
    </row>
    <row r="61" spans="1:14" ht="15" customHeight="1" x14ac:dyDescent="0.2">
      <c r="D61" s="7"/>
      <c r="E61" s="7"/>
      <c r="F61" s="7"/>
      <c r="G61" s="7"/>
      <c r="H61" s="7"/>
      <c r="I61" s="7"/>
      <c r="J61" s="7"/>
      <c r="K61" s="7"/>
      <c r="L61" s="7"/>
      <c r="M61" s="7"/>
    </row>
    <row r="62" spans="1:14" ht="17.25" customHeight="1" x14ac:dyDescent="0.2">
      <c r="A62" s="280" t="s">
        <v>18</v>
      </c>
      <c r="B62" s="280"/>
      <c r="C62" s="6"/>
      <c r="D62" s="9" t="s">
        <v>4</v>
      </c>
      <c r="E62" s="270" t="str">
        <f>B5</f>
        <v>Avista</v>
      </c>
      <c r="F62" s="271"/>
      <c r="G62" s="272"/>
    </row>
    <row r="63" spans="1:14" ht="15" customHeight="1" x14ac:dyDescent="0.2">
      <c r="A63" s="280"/>
      <c r="B63" s="280"/>
      <c r="D63" s="9" t="s">
        <v>13</v>
      </c>
      <c r="E63" s="277">
        <v>2016</v>
      </c>
      <c r="F63" s="278"/>
      <c r="G63" s="279"/>
    </row>
    <row r="64" spans="1:14" ht="15" customHeight="1" x14ac:dyDescent="0.2">
      <c r="A64" s="9"/>
      <c r="B64" s="9"/>
      <c r="C64" s="9"/>
      <c r="D64" s="9"/>
      <c r="G64" s="13"/>
      <c r="H64" s="7"/>
    </row>
    <row r="65" spans="1:33" s="10" customFormat="1" ht="38.25" customHeight="1" x14ac:dyDescent="0.2">
      <c r="A65" s="9"/>
      <c r="B65" s="281" t="s">
        <v>31</v>
      </c>
      <c r="C65" s="281" t="s">
        <v>129</v>
      </c>
      <c r="D65" s="266" t="s">
        <v>175</v>
      </c>
      <c r="E65" s="266" t="s">
        <v>178</v>
      </c>
      <c r="F65" s="266" t="s">
        <v>181</v>
      </c>
      <c r="G65" s="74" t="s">
        <v>183</v>
      </c>
      <c r="H65" s="74" t="s">
        <v>180</v>
      </c>
      <c r="I65" s="74" t="s">
        <v>182</v>
      </c>
      <c r="J65" s="268" t="s">
        <v>184</v>
      </c>
      <c r="K65" s="268"/>
      <c r="L65" s="268"/>
      <c r="M65" s="268"/>
      <c r="N65" s="14"/>
      <c r="O65" s="14"/>
      <c r="AG65" s="7"/>
    </row>
    <row r="66" spans="1:33" ht="15" customHeight="1" x14ac:dyDescent="0.2">
      <c r="A66" s="27" t="s">
        <v>19</v>
      </c>
      <c r="B66" s="282"/>
      <c r="C66" s="282"/>
      <c r="D66" s="267"/>
      <c r="E66" s="267"/>
      <c r="F66" s="267"/>
      <c r="G66" s="12" t="s">
        <v>130</v>
      </c>
      <c r="H66" s="48" t="s">
        <v>32</v>
      </c>
      <c r="I66" s="48" t="s">
        <v>32</v>
      </c>
      <c r="J66" s="268"/>
      <c r="K66" s="268"/>
      <c r="L66" s="268"/>
      <c r="M66" s="268"/>
      <c r="N66" s="14"/>
      <c r="O66" s="14"/>
      <c r="AG66" s="10"/>
    </row>
    <row r="67" spans="1:33" ht="15" customHeight="1" x14ac:dyDescent="0.2">
      <c r="A67" s="217" t="s">
        <v>236</v>
      </c>
      <c r="B67" s="219" t="s">
        <v>230</v>
      </c>
      <c r="C67" s="220">
        <v>2015</v>
      </c>
      <c r="D67" s="218" t="s">
        <v>15</v>
      </c>
      <c r="E67" s="80" t="s">
        <v>179</v>
      </c>
      <c r="F67" s="80" t="s">
        <v>179</v>
      </c>
      <c r="G67" s="221">
        <v>49617</v>
      </c>
      <c r="H67" s="49">
        <f>IF(E67="Yes",0.2*G67,0)</f>
        <v>0</v>
      </c>
      <c r="I67" s="49">
        <f>IF(F67="Yes",G67,0)</f>
        <v>0</v>
      </c>
      <c r="J67" s="254"/>
      <c r="K67" s="255"/>
      <c r="L67" s="255"/>
      <c r="M67" s="256"/>
      <c r="N67" s="14"/>
      <c r="O67" s="14"/>
    </row>
    <row r="68" spans="1:33" ht="15" customHeight="1" x14ac:dyDescent="0.2">
      <c r="A68" s="135"/>
      <c r="B68" s="136"/>
      <c r="C68" s="137"/>
      <c r="D68" s="123"/>
      <c r="E68" s="80" t="s">
        <v>179</v>
      </c>
      <c r="F68" s="80" t="s">
        <v>179</v>
      </c>
      <c r="G68" s="138"/>
      <c r="H68" s="143">
        <f t="shared" ref="H68:H90" si="4">IF(E68="Yes",0.2*G68,0)</f>
        <v>0</v>
      </c>
      <c r="I68" s="143">
        <f>IF(F68="Yes",G68,0)</f>
        <v>0</v>
      </c>
      <c r="J68" s="251"/>
      <c r="K68" s="252"/>
      <c r="L68" s="252"/>
      <c r="M68" s="253"/>
      <c r="N68" s="14"/>
      <c r="O68" s="14"/>
    </row>
    <row r="69" spans="1:33" ht="15" customHeight="1" x14ac:dyDescent="0.2">
      <c r="A69" s="135"/>
      <c r="B69" s="136"/>
      <c r="C69" s="137"/>
      <c r="D69" s="123"/>
      <c r="E69" s="80" t="s">
        <v>179</v>
      </c>
      <c r="F69" s="80" t="s">
        <v>179</v>
      </c>
      <c r="G69" s="138"/>
      <c r="H69" s="143">
        <f t="shared" si="4"/>
        <v>0</v>
      </c>
      <c r="I69" s="143">
        <f t="shared" ref="I69:I91" si="5">IF(F69="Yes",G69,0)</f>
        <v>0</v>
      </c>
      <c r="J69" s="251"/>
      <c r="K69" s="252"/>
      <c r="L69" s="252"/>
      <c r="M69" s="253"/>
      <c r="N69" s="14"/>
      <c r="O69" s="14"/>
    </row>
    <row r="70" spans="1:33" ht="15" customHeight="1" x14ac:dyDescent="0.2">
      <c r="A70" s="135"/>
      <c r="B70" s="136"/>
      <c r="C70" s="137"/>
      <c r="D70" s="125"/>
      <c r="E70" s="80" t="s">
        <v>179</v>
      </c>
      <c r="F70" s="80" t="s">
        <v>179</v>
      </c>
      <c r="G70" s="138"/>
      <c r="H70" s="143">
        <f t="shared" si="4"/>
        <v>0</v>
      </c>
      <c r="I70" s="143">
        <f t="shared" si="5"/>
        <v>0</v>
      </c>
      <c r="J70" s="251"/>
      <c r="K70" s="252"/>
      <c r="L70" s="252"/>
      <c r="M70" s="253"/>
      <c r="N70" s="14"/>
      <c r="O70" s="14"/>
    </row>
    <row r="71" spans="1:33" ht="15" customHeight="1" x14ac:dyDescent="0.2">
      <c r="A71" s="135"/>
      <c r="B71" s="136"/>
      <c r="C71" s="137"/>
      <c r="D71" s="126"/>
      <c r="E71" s="80" t="s">
        <v>179</v>
      </c>
      <c r="F71" s="80" t="s">
        <v>179</v>
      </c>
      <c r="G71" s="138"/>
      <c r="H71" s="143">
        <f t="shared" si="4"/>
        <v>0</v>
      </c>
      <c r="I71" s="143">
        <f t="shared" si="5"/>
        <v>0</v>
      </c>
      <c r="J71" s="251"/>
      <c r="K71" s="252"/>
      <c r="L71" s="252"/>
      <c r="M71" s="253"/>
      <c r="N71" s="14"/>
      <c r="O71" s="14"/>
    </row>
    <row r="72" spans="1:33" ht="15" customHeight="1" x14ac:dyDescent="0.2">
      <c r="A72" s="135"/>
      <c r="B72" s="136"/>
      <c r="C72" s="137"/>
      <c r="D72" s="128"/>
      <c r="E72" s="80" t="s">
        <v>179</v>
      </c>
      <c r="F72" s="80" t="s">
        <v>179</v>
      </c>
      <c r="G72" s="138"/>
      <c r="H72" s="143">
        <f t="shared" si="4"/>
        <v>0</v>
      </c>
      <c r="I72" s="143">
        <f t="shared" si="5"/>
        <v>0</v>
      </c>
      <c r="J72" s="251"/>
      <c r="K72" s="252"/>
      <c r="L72" s="252"/>
      <c r="M72" s="253"/>
      <c r="N72" s="14"/>
      <c r="O72" s="14"/>
    </row>
    <row r="73" spans="1:33" ht="15" customHeight="1" x14ac:dyDescent="0.2">
      <c r="A73" s="135"/>
      <c r="B73" s="136"/>
      <c r="C73" s="137"/>
      <c r="D73" s="128"/>
      <c r="E73" s="80" t="s">
        <v>179</v>
      </c>
      <c r="F73" s="80" t="s">
        <v>179</v>
      </c>
      <c r="G73" s="138"/>
      <c r="H73" s="143">
        <f t="shared" si="4"/>
        <v>0</v>
      </c>
      <c r="I73" s="143">
        <f t="shared" si="5"/>
        <v>0</v>
      </c>
      <c r="J73" s="251"/>
      <c r="K73" s="252"/>
      <c r="L73" s="252"/>
      <c r="M73" s="253"/>
      <c r="N73" s="14"/>
      <c r="O73" s="14"/>
    </row>
    <row r="74" spans="1:33" ht="15" customHeight="1" x14ac:dyDescent="0.2">
      <c r="A74" s="135"/>
      <c r="B74" s="136"/>
      <c r="C74" s="137"/>
      <c r="D74" s="128"/>
      <c r="E74" s="80" t="s">
        <v>179</v>
      </c>
      <c r="F74" s="80" t="s">
        <v>179</v>
      </c>
      <c r="G74" s="138"/>
      <c r="H74" s="143">
        <f t="shared" si="4"/>
        <v>0</v>
      </c>
      <c r="I74" s="143">
        <f t="shared" si="5"/>
        <v>0</v>
      </c>
      <c r="J74" s="251"/>
      <c r="K74" s="252"/>
      <c r="L74" s="252"/>
      <c r="M74" s="253"/>
      <c r="N74" s="14"/>
      <c r="O74" s="14"/>
    </row>
    <row r="75" spans="1:33" ht="15" customHeight="1" x14ac:dyDescent="0.2">
      <c r="A75" s="135"/>
      <c r="B75" s="136"/>
      <c r="C75" s="137"/>
      <c r="D75" s="128"/>
      <c r="E75" s="80" t="s">
        <v>179</v>
      </c>
      <c r="F75" s="80" t="s">
        <v>179</v>
      </c>
      <c r="G75" s="138"/>
      <c r="H75" s="143">
        <f t="shared" si="4"/>
        <v>0</v>
      </c>
      <c r="I75" s="143">
        <f t="shared" si="5"/>
        <v>0</v>
      </c>
      <c r="J75" s="251"/>
      <c r="K75" s="252"/>
      <c r="L75" s="252"/>
      <c r="M75" s="253"/>
      <c r="N75" s="14"/>
      <c r="O75" s="14"/>
    </row>
    <row r="76" spans="1:33" ht="15" customHeight="1" x14ac:dyDescent="0.2">
      <c r="A76" s="135"/>
      <c r="B76" s="136"/>
      <c r="C76" s="137"/>
      <c r="D76" s="128"/>
      <c r="E76" s="80" t="s">
        <v>179</v>
      </c>
      <c r="F76" s="80" t="s">
        <v>179</v>
      </c>
      <c r="G76" s="138"/>
      <c r="H76" s="143">
        <f t="shared" si="4"/>
        <v>0</v>
      </c>
      <c r="I76" s="143">
        <f t="shared" si="5"/>
        <v>0</v>
      </c>
      <c r="J76" s="251"/>
      <c r="K76" s="252"/>
      <c r="L76" s="252"/>
      <c r="M76" s="253"/>
      <c r="N76" s="14"/>
      <c r="O76" s="14"/>
    </row>
    <row r="77" spans="1:33" ht="15" customHeight="1" x14ac:dyDescent="0.2">
      <c r="A77" s="135"/>
      <c r="B77" s="136"/>
      <c r="C77" s="137"/>
      <c r="D77" s="128"/>
      <c r="E77" s="80" t="s">
        <v>179</v>
      </c>
      <c r="F77" s="80" t="s">
        <v>179</v>
      </c>
      <c r="G77" s="138"/>
      <c r="H77" s="143">
        <f t="shared" si="4"/>
        <v>0</v>
      </c>
      <c r="I77" s="143">
        <f t="shared" si="5"/>
        <v>0</v>
      </c>
      <c r="J77" s="251"/>
      <c r="K77" s="252"/>
      <c r="L77" s="252"/>
      <c r="M77" s="253"/>
      <c r="N77" s="14"/>
      <c r="O77" s="14"/>
    </row>
    <row r="78" spans="1:33" ht="15" customHeight="1" x14ac:dyDescent="0.2">
      <c r="A78" s="135"/>
      <c r="B78" s="136"/>
      <c r="C78" s="137"/>
      <c r="D78" s="128"/>
      <c r="E78" s="80" t="s">
        <v>179</v>
      </c>
      <c r="F78" s="80" t="s">
        <v>179</v>
      </c>
      <c r="G78" s="138"/>
      <c r="H78" s="143">
        <f t="shared" si="4"/>
        <v>0</v>
      </c>
      <c r="I78" s="143">
        <f t="shared" si="5"/>
        <v>0</v>
      </c>
      <c r="J78" s="251"/>
      <c r="K78" s="252"/>
      <c r="L78" s="252"/>
      <c r="M78" s="253"/>
      <c r="N78" s="14"/>
      <c r="O78" s="14"/>
    </row>
    <row r="79" spans="1:33" ht="15" customHeight="1" x14ac:dyDescent="0.2">
      <c r="A79" s="135"/>
      <c r="B79" s="136"/>
      <c r="C79" s="137"/>
      <c r="D79" s="128"/>
      <c r="E79" s="80" t="s">
        <v>179</v>
      </c>
      <c r="F79" s="80" t="s">
        <v>179</v>
      </c>
      <c r="G79" s="138"/>
      <c r="H79" s="143">
        <f t="shared" si="4"/>
        <v>0</v>
      </c>
      <c r="I79" s="143">
        <f t="shared" si="5"/>
        <v>0</v>
      </c>
      <c r="J79" s="251"/>
      <c r="K79" s="252"/>
      <c r="L79" s="252"/>
      <c r="M79" s="253"/>
      <c r="N79" s="14"/>
      <c r="O79" s="14"/>
    </row>
    <row r="80" spans="1:33" ht="15" customHeight="1" x14ac:dyDescent="0.2">
      <c r="A80" s="135"/>
      <c r="B80" s="136"/>
      <c r="C80" s="137"/>
      <c r="D80" s="128"/>
      <c r="E80" s="80" t="s">
        <v>179</v>
      </c>
      <c r="F80" s="80" t="s">
        <v>179</v>
      </c>
      <c r="G80" s="138"/>
      <c r="H80" s="143">
        <f t="shared" si="4"/>
        <v>0</v>
      </c>
      <c r="I80" s="143">
        <f t="shared" si="5"/>
        <v>0</v>
      </c>
      <c r="J80" s="251"/>
      <c r="K80" s="252"/>
      <c r="L80" s="252"/>
      <c r="M80" s="253"/>
      <c r="N80" s="14"/>
      <c r="O80" s="14"/>
    </row>
    <row r="81" spans="1:15" ht="15" customHeight="1" x14ac:dyDescent="0.2">
      <c r="A81" s="135"/>
      <c r="B81" s="136"/>
      <c r="C81" s="137"/>
      <c r="D81" s="128"/>
      <c r="E81" s="80" t="s">
        <v>179</v>
      </c>
      <c r="F81" s="80" t="s">
        <v>179</v>
      </c>
      <c r="G81" s="138"/>
      <c r="H81" s="143">
        <f t="shared" si="4"/>
        <v>0</v>
      </c>
      <c r="I81" s="143">
        <f t="shared" si="5"/>
        <v>0</v>
      </c>
      <c r="J81" s="251"/>
      <c r="K81" s="252"/>
      <c r="L81" s="252"/>
      <c r="M81" s="253"/>
      <c r="N81" s="14"/>
      <c r="O81" s="14"/>
    </row>
    <row r="82" spans="1:15" ht="15" customHeight="1" x14ac:dyDescent="0.2">
      <c r="A82" s="135"/>
      <c r="B82" s="136"/>
      <c r="C82" s="137"/>
      <c r="D82" s="128"/>
      <c r="E82" s="80" t="s">
        <v>179</v>
      </c>
      <c r="F82" s="80" t="s">
        <v>179</v>
      </c>
      <c r="G82" s="138"/>
      <c r="H82" s="143">
        <f t="shared" si="4"/>
        <v>0</v>
      </c>
      <c r="I82" s="143">
        <f t="shared" si="5"/>
        <v>0</v>
      </c>
      <c r="J82" s="251"/>
      <c r="K82" s="252"/>
      <c r="L82" s="252"/>
      <c r="M82" s="253"/>
      <c r="N82" s="14"/>
      <c r="O82" s="14"/>
    </row>
    <row r="83" spans="1:15" ht="15" customHeight="1" x14ac:dyDescent="0.2">
      <c r="A83" s="135"/>
      <c r="B83" s="136"/>
      <c r="C83" s="137"/>
      <c r="D83" s="128"/>
      <c r="E83" s="80" t="s">
        <v>179</v>
      </c>
      <c r="F83" s="80" t="s">
        <v>179</v>
      </c>
      <c r="G83" s="138"/>
      <c r="H83" s="143">
        <f t="shared" si="4"/>
        <v>0</v>
      </c>
      <c r="I83" s="143">
        <f t="shared" si="5"/>
        <v>0</v>
      </c>
      <c r="J83" s="251"/>
      <c r="K83" s="252"/>
      <c r="L83" s="252"/>
      <c r="M83" s="253"/>
      <c r="N83" s="14"/>
      <c r="O83" s="14"/>
    </row>
    <row r="84" spans="1:15" ht="15" customHeight="1" x14ac:dyDescent="0.2">
      <c r="A84" s="135"/>
      <c r="B84" s="136"/>
      <c r="C84" s="137"/>
      <c r="D84" s="128"/>
      <c r="E84" s="80" t="s">
        <v>179</v>
      </c>
      <c r="F84" s="80" t="s">
        <v>179</v>
      </c>
      <c r="G84" s="138"/>
      <c r="H84" s="143">
        <f t="shared" si="4"/>
        <v>0</v>
      </c>
      <c r="I84" s="143">
        <f t="shared" si="5"/>
        <v>0</v>
      </c>
      <c r="J84" s="251"/>
      <c r="K84" s="252"/>
      <c r="L84" s="252"/>
      <c r="M84" s="253"/>
      <c r="N84" s="14"/>
      <c r="O84" s="14"/>
    </row>
    <row r="85" spans="1:15" ht="15" customHeight="1" x14ac:dyDescent="0.2">
      <c r="A85" s="135"/>
      <c r="B85" s="136"/>
      <c r="C85" s="137"/>
      <c r="D85" s="128"/>
      <c r="E85" s="80" t="s">
        <v>179</v>
      </c>
      <c r="F85" s="80" t="s">
        <v>179</v>
      </c>
      <c r="G85" s="138"/>
      <c r="H85" s="143">
        <f t="shared" si="4"/>
        <v>0</v>
      </c>
      <c r="I85" s="143">
        <f t="shared" si="5"/>
        <v>0</v>
      </c>
      <c r="J85" s="251"/>
      <c r="K85" s="252"/>
      <c r="L85" s="252"/>
      <c r="M85" s="253"/>
      <c r="N85" s="14"/>
      <c r="O85" s="14"/>
    </row>
    <row r="86" spans="1:15" ht="15" customHeight="1" x14ac:dyDescent="0.2">
      <c r="A86" s="135"/>
      <c r="B86" s="136"/>
      <c r="C86" s="137"/>
      <c r="D86" s="128"/>
      <c r="E86" s="80" t="s">
        <v>179</v>
      </c>
      <c r="F86" s="80" t="s">
        <v>179</v>
      </c>
      <c r="G86" s="138"/>
      <c r="H86" s="143">
        <f t="shared" si="4"/>
        <v>0</v>
      </c>
      <c r="I86" s="143">
        <f t="shared" si="5"/>
        <v>0</v>
      </c>
      <c r="J86" s="251"/>
      <c r="K86" s="252"/>
      <c r="L86" s="252"/>
      <c r="M86" s="253"/>
      <c r="N86" s="14"/>
      <c r="O86" s="14"/>
    </row>
    <row r="87" spans="1:15" ht="15" customHeight="1" x14ac:dyDescent="0.2">
      <c r="A87" s="135"/>
      <c r="B87" s="136"/>
      <c r="C87" s="137"/>
      <c r="D87" s="130"/>
      <c r="E87" s="80" t="s">
        <v>179</v>
      </c>
      <c r="F87" s="80" t="s">
        <v>179</v>
      </c>
      <c r="G87" s="138"/>
      <c r="H87" s="143">
        <f t="shared" si="4"/>
        <v>0</v>
      </c>
      <c r="I87" s="143">
        <f t="shared" si="5"/>
        <v>0</v>
      </c>
      <c r="J87" s="251"/>
      <c r="K87" s="252"/>
      <c r="L87" s="252"/>
      <c r="M87" s="253"/>
      <c r="N87" s="14"/>
      <c r="O87" s="14"/>
    </row>
    <row r="88" spans="1:15" ht="15" customHeight="1" x14ac:dyDescent="0.2">
      <c r="A88" s="135"/>
      <c r="B88" s="136"/>
      <c r="C88" s="137"/>
      <c r="D88" s="128"/>
      <c r="E88" s="80" t="s">
        <v>179</v>
      </c>
      <c r="F88" s="80" t="s">
        <v>179</v>
      </c>
      <c r="G88" s="138"/>
      <c r="H88" s="143">
        <f t="shared" si="4"/>
        <v>0</v>
      </c>
      <c r="I88" s="143">
        <f t="shared" si="5"/>
        <v>0</v>
      </c>
      <c r="J88" s="251"/>
      <c r="K88" s="252"/>
      <c r="L88" s="252"/>
      <c r="M88" s="253"/>
      <c r="N88" s="14"/>
      <c r="O88" s="14"/>
    </row>
    <row r="89" spans="1:15" ht="15" customHeight="1" x14ac:dyDescent="0.2">
      <c r="A89" s="135"/>
      <c r="B89" s="136"/>
      <c r="C89" s="137"/>
      <c r="D89" s="128"/>
      <c r="E89" s="80" t="s">
        <v>179</v>
      </c>
      <c r="F89" s="80" t="s">
        <v>179</v>
      </c>
      <c r="G89" s="138"/>
      <c r="H89" s="143">
        <f t="shared" si="4"/>
        <v>0</v>
      </c>
      <c r="I89" s="143">
        <f t="shared" si="5"/>
        <v>0</v>
      </c>
      <c r="J89" s="251"/>
      <c r="K89" s="252"/>
      <c r="L89" s="252"/>
      <c r="M89" s="253"/>
      <c r="N89" s="14"/>
      <c r="O89" s="14"/>
    </row>
    <row r="90" spans="1:15" ht="15" customHeight="1" x14ac:dyDescent="0.2">
      <c r="A90" s="135"/>
      <c r="B90" s="136"/>
      <c r="C90" s="137"/>
      <c r="D90" s="128"/>
      <c r="E90" s="80" t="s">
        <v>179</v>
      </c>
      <c r="F90" s="80" t="s">
        <v>179</v>
      </c>
      <c r="G90" s="138"/>
      <c r="H90" s="143">
        <f t="shared" si="4"/>
        <v>0</v>
      </c>
      <c r="I90" s="143">
        <f t="shared" si="5"/>
        <v>0</v>
      </c>
      <c r="J90" s="251"/>
      <c r="K90" s="252"/>
      <c r="L90" s="252"/>
      <c r="M90" s="253"/>
      <c r="N90" s="14"/>
      <c r="O90" s="14"/>
    </row>
    <row r="91" spans="1:15" ht="15" customHeight="1" x14ac:dyDescent="0.2">
      <c r="A91" s="139"/>
      <c r="B91" s="140"/>
      <c r="C91" s="141"/>
      <c r="D91" s="130"/>
      <c r="E91" s="80" t="s">
        <v>179</v>
      </c>
      <c r="F91" s="80" t="s">
        <v>179</v>
      </c>
      <c r="G91" s="142"/>
      <c r="H91" s="50">
        <f>IF(E91="Yes",0.2*G91,0)</f>
        <v>0</v>
      </c>
      <c r="I91" s="143">
        <f t="shared" si="5"/>
        <v>0</v>
      </c>
      <c r="J91" s="251"/>
      <c r="K91" s="252"/>
      <c r="L91" s="252"/>
      <c r="M91" s="253"/>
      <c r="N91" s="14"/>
      <c r="O91" s="14"/>
    </row>
    <row r="92" spans="1:15" ht="15" customHeight="1" x14ac:dyDescent="0.2">
      <c r="N92" s="14"/>
      <c r="O92" s="14"/>
    </row>
    <row r="93" spans="1:15" ht="15" customHeight="1" x14ac:dyDescent="0.2">
      <c r="A93" s="10"/>
      <c r="B93" s="10"/>
      <c r="C93" s="10"/>
      <c r="D93" s="9" t="s">
        <v>4</v>
      </c>
      <c r="E93" s="270" t="str">
        <f>B5</f>
        <v>Avista</v>
      </c>
      <c r="F93" s="271"/>
      <c r="G93" s="272"/>
      <c r="N93" s="14"/>
      <c r="O93" s="14"/>
    </row>
    <row r="94" spans="1:15" ht="15" customHeight="1" x14ac:dyDescent="0.2">
      <c r="D94" s="9" t="s">
        <v>13</v>
      </c>
      <c r="E94" s="277">
        <v>2016</v>
      </c>
      <c r="F94" s="278"/>
      <c r="G94" s="279"/>
    </row>
    <row r="95" spans="1:15" x14ac:dyDescent="0.2">
      <c r="A95" s="2" t="s">
        <v>39</v>
      </c>
      <c r="B95" s="46"/>
      <c r="C95" s="46"/>
      <c r="D95" s="46"/>
      <c r="E95" s="46"/>
      <c r="F95" s="46"/>
      <c r="G95" s="46"/>
      <c r="H95" s="46"/>
      <c r="I95" s="46"/>
      <c r="J95" s="46"/>
      <c r="K95" s="46"/>
      <c r="L95" s="46"/>
    </row>
    <row r="96" spans="1:15" x14ac:dyDescent="0.2">
      <c r="A96" s="46"/>
      <c r="B96" s="46"/>
      <c r="C96" s="46"/>
      <c r="D96" s="46"/>
      <c r="E96" s="46"/>
      <c r="F96" s="46"/>
      <c r="G96" s="46"/>
      <c r="H96" s="46"/>
      <c r="I96" s="46"/>
      <c r="J96" s="46"/>
      <c r="K96" s="46"/>
      <c r="L96" s="46"/>
    </row>
    <row r="97" spans="1:12" x14ac:dyDescent="0.2">
      <c r="A97" s="46"/>
      <c r="B97" s="46"/>
      <c r="C97" s="46"/>
      <c r="D97" s="46"/>
      <c r="E97" s="46"/>
      <c r="F97" s="46"/>
      <c r="G97" s="46"/>
      <c r="H97" s="46"/>
      <c r="I97" s="46"/>
      <c r="J97" s="46"/>
      <c r="K97" s="46"/>
      <c r="L97" s="46"/>
    </row>
    <row r="98" spans="1:12" x14ac:dyDescent="0.2">
      <c r="A98" s="46"/>
      <c r="B98" s="46"/>
      <c r="C98" s="46"/>
      <c r="D98" s="46"/>
      <c r="E98" s="46"/>
      <c r="F98" s="46"/>
      <c r="G98" s="46"/>
      <c r="H98" s="46"/>
      <c r="I98" s="46"/>
      <c r="J98" s="46"/>
      <c r="K98" s="46"/>
      <c r="L98" s="46"/>
    </row>
    <row r="99" spans="1:12" x14ac:dyDescent="0.2">
      <c r="A99" s="46"/>
      <c r="B99" s="46"/>
      <c r="C99" s="46"/>
      <c r="D99" s="46"/>
      <c r="E99" s="46"/>
      <c r="F99" s="46"/>
      <c r="G99" s="46"/>
      <c r="H99" s="46"/>
      <c r="I99" s="46"/>
      <c r="J99" s="46"/>
      <c r="K99" s="46"/>
      <c r="L99" s="46"/>
    </row>
    <row r="100" spans="1:12" x14ac:dyDescent="0.2">
      <c r="A100" s="46"/>
      <c r="B100" s="46"/>
      <c r="C100" s="46"/>
      <c r="D100" s="46"/>
      <c r="E100" s="46"/>
      <c r="F100" s="46"/>
      <c r="G100" s="46"/>
      <c r="H100" s="46"/>
      <c r="I100" s="46"/>
      <c r="J100" s="46"/>
      <c r="K100" s="46"/>
      <c r="L100" s="46"/>
    </row>
    <row r="101" spans="1:12" x14ac:dyDescent="0.2">
      <c r="A101" s="46"/>
      <c r="B101" s="46"/>
      <c r="C101" s="46"/>
      <c r="D101" s="46"/>
      <c r="E101" s="46"/>
      <c r="F101" s="46"/>
      <c r="G101" s="46"/>
      <c r="H101" s="46"/>
      <c r="I101" s="46"/>
      <c r="J101" s="46"/>
      <c r="K101" s="46"/>
      <c r="L101" s="46"/>
    </row>
    <row r="102" spans="1:12" x14ac:dyDescent="0.2">
      <c r="A102" s="46"/>
      <c r="B102" s="46"/>
      <c r="C102" s="46"/>
      <c r="D102" s="46"/>
      <c r="E102" s="46"/>
      <c r="F102" s="46"/>
      <c r="G102" s="46"/>
      <c r="H102" s="46"/>
      <c r="I102" s="46"/>
      <c r="J102" s="46"/>
      <c r="K102" s="46"/>
      <c r="L102" s="46"/>
    </row>
    <row r="103" spans="1:12" x14ac:dyDescent="0.2">
      <c r="A103" s="46"/>
      <c r="B103" s="46"/>
      <c r="C103" s="46"/>
      <c r="D103" s="46"/>
      <c r="E103" s="46"/>
      <c r="F103" s="46"/>
      <c r="G103" s="46"/>
      <c r="H103" s="46"/>
      <c r="I103" s="46"/>
      <c r="J103" s="46"/>
      <c r="K103" s="46"/>
      <c r="L103" s="46"/>
    </row>
    <row r="104" spans="1:12" x14ac:dyDescent="0.2">
      <c r="A104" s="46"/>
      <c r="B104" s="46"/>
      <c r="C104" s="46"/>
      <c r="D104" s="46"/>
      <c r="E104" s="46"/>
      <c r="F104" s="46"/>
      <c r="G104" s="46"/>
      <c r="H104" s="46"/>
      <c r="I104" s="46"/>
      <c r="J104" s="46"/>
      <c r="K104" s="46"/>
      <c r="L104" s="46"/>
    </row>
    <row r="105" spans="1:12" x14ac:dyDescent="0.2">
      <c r="A105" s="46"/>
      <c r="B105" s="46"/>
      <c r="C105" s="46"/>
      <c r="D105" s="46"/>
      <c r="E105" s="46"/>
      <c r="F105" s="46"/>
      <c r="G105" s="46"/>
      <c r="H105" s="46"/>
      <c r="I105" s="46"/>
      <c r="J105" s="46"/>
      <c r="K105" s="46"/>
      <c r="L105" s="46"/>
    </row>
    <row r="106" spans="1:12" x14ac:dyDescent="0.2">
      <c r="A106" s="46"/>
      <c r="B106" s="46"/>
      <c r="C106" s="46"/>
      <c r="D106" s="46"/>
      <c r="E106" s="46"/>
      <c r="F106" s="46"/>
      <c r="G106" s="46"/>
      <c r="H106" s="46"/>
      <c r="I106" s="46"/>
      <c r="J106" s="46"/>
      <c r="K106" s="46"/>
      <c r="L106" s="46"/>
    </row>
    <row r="107" spans="1:12" x14ac:dyDescent="0.2">
      <c r="A107" s="46"/>
      <c r="B107" s="46"/>
      <c r="C107" s="46"/>
      <c r="D107" s="46"/>
      <c r="E107" s="46"/>
      <c r="F107" s="46"/>
      <c r="G107" s="46"/>
      <c r="H107" s="46"/>
      <c r="I107" s="46"/>
      <c r="J107" s="46"/>
      <c r="K107" s="46"/>
      <c r="L107" s="46"/>
    </row>
    <row r="108" spans="1:12" x14ac:dyDescent="0.2">
      <c r="A108" s="46"/>
      <c r="B108" s="46"/>
      <c r="C108" s="46"/>
      <c r="D108" s="46"/>
      <c r="E108" s="46"/>
      <c r="F108" s="46"/>
      <c r="G108" s="46"/>
      <c r="H108" s="46"/>
      <c r="I108" s="46"/>
      <c r="J108" s="46"/>
      <c r="K108" s="46"/>
      <c r="L108" s="46"/>
    </row>
    <row r="109" spans="1:12" x14ac:dyDescent="0.2">
      <c r="A109" s="46"/>
      <c r="B109" s="46"/>
      <c r="C109" s="46"/>
      <c r="D109" s="46"/>
      <c r="E109" s="46"/>
      <c r="F109" s="46"/>
      <c r="G109" s="46"/>
      <c r="H109" s="46"/>
      <c r="I109" s="46"/>
      <c r="J109" s="46"/>
      <c r="K109" s="46"/>
      <c r="L109" s="46"/>
    </row>
    <row r="110" spans="1:12" x14ac:dyDescent="0.2">
      <c r="A110" s="46"/>
      <c r="B110" s="46"/>
      <c r="C110" s="46"/>
      <c r="D110" s="46"/>
      <c r="E110" s="46"/>
      <c r="F110" s="46"/>
      <c r="G110" s="46"/>
      <c r="H110" s="46"/>
      <c r="I110" s="46"/>
      <c r="J110" s="46"/>
      <c r="K110" s="46"/>
      <c r="L110" s="46"/>
    </row>
    <row r="111" spans="1:12" x14ac:dyDescent="0.2">
      <c r="A111" s="46"/>
      <c r="B111" s="46"/>
      <c r="C111" s="46"/>
      <c r="D111" s="46"/>
      <c r="E111" s="46"/>
      <c r="F111" s="46"/>
      <c r="G111" s="46"/>
      <c r="H111" s="46"/>
      <c r="I111" s="46"/>
      <c r="J111" s="46"/>
      <c r="K111" s="46"/>
      <c r="L111" s="46"/>
    </row>
    <row r="112" spans="1:12" x14ac:dyDescent="0.2">
      <c r="A112" s="46"/>
      <c r="B112" s="46"/>
      <c r="C112" s="46"/>
      <c r="D112" s="46"/>
      <c r="E112" s="46"/>
      <c r="F112" s="46"/>
      <c r="G112" s="46"/>
      <c r="H112" s="46"/>
      <c r="I112" s="46"/>
      <c r="J112" s="46"/>
      <c r="K112" s="46"/>
      <c r="L112" s="46"/>
    </row>
    <row r="113" spans="1:12" x14ac:dyDescent="0.2">
      <c r="A113" s="46"/>
      <c r="B113" s="46"/>
      <c r="C113" s="46"/>
      <c r="D113" s="46"/>
      <c r="E113" s="46"/>
      <c r="F113" s="46"/>
      <c r="G113" s="46"/>
      <c r="H113" s="46"/>
      <c r="I113" s="46"/>
      <c r="J113" s="46"/>
      <c r="K113" s="46"/>
      <c r="L113" s="46"/>
    </row>
    <row r="114" spans="1:12" x14ac:dyDescent="0.2">
      <c r="A114" s="46"/>
      <c r="B114" s="46"/>
      <c r="C114" s="46"/>
      <c r="D114" s="46"/>
      <c r="E114" s="46"/>
      <c r="F114" s="46"/>
      <c r="G114" s="46"/>
      <c r="H114" s="46"/>
      <c r="I114" s="46"/>
      <c r="J114" s="46"/>
      <c r="K114" s="46"/>
      <c r="L114" s="46"/>
    </row>
    <row r="115" spans="1:12" x14ac:dyDescent="0.2">
      <c r="A115" s="46"/>
      <c r="B115" s="46"/>
      <c r="C115" s="46"/>
      <c r="D115" s="46"/>
      <c r="E115" s="46"/>
      <c r="F115" s="46"/>
      <c r="G115" s="46"/>
      <c r="H115" s="46"/>
      <c r="I115" s="46"/>
      <c r="J115" s="46"/>
      <c r="K115" s="46"/>
      <c r="L115" s="46"/>
    </row>
    <row r="116" spans="1:12" x14ac:dyDescent="0.2">
      <c r="A116" s="46"/>
      <c r="B116" s="46"/>
      <c r="C116" s="46"/>
      <c r="D116" s="46"/>
      <c r="E116" s="46"/>
      <c r="F116" s="46"/>
      <c r="G116" s="46"/>
      <c r="H116" s="46"/>
      <c r="I116" s="46"/>
      <c r="J116" s="46"/>
      <c r="K116" s="46"/>
      <c r="L116" s="46"/>
    </row>
  </sheetData>
  <mergeCells count="70">
    <mergeCell ref="E93:G93"/>
    <mergeCell ref="E94:G94"/>
    <mergeCell ref="E36:G36"/>
    <mergeCell ref="E37:G37"/>
    <mergeCell ref="A36:A37"/>
    <mergeCell ref="A62:B63"/>
    <mergeCell ref="C65:C66"/>
    <mergeCell ref="B65:B66"/>
    <mergeCell ref="D65:D66"/>
    <mergeCell ref="E65:E66"/>
    <mergeCell ref="E63:G63"/>
    <mergeCell ref="G52:K52"/>
    <mergeCell ref="G53:K53"/>
    <mergeCell ref="G54:K54"/>
    <mergeCell ref="G39:K39"/>
    <mergeCell ref="J71:M71"/>
    <mergeCell ref="B5:D5"/>
    <mergeCell ref="B6:D6"/>
    <mergeCell ref="B7:D7"/>
    <mergeCell ref="B8:D8"/>
    <mergeCell ref="B9:D9"/>
    <mergeCell ref="H4:M4"/>
    <mergeCell ref="F12:M12"/>
    <mergeCell ref="J68:M68"/>
    <mergeCell ref="J69:M69"/>
    <mergeCell ref="J70:M70"/>
    <mergeCell ref="G60:K60"/>
    <mergeCell ref="G55:K55"/>
    <mergeCell ref="G56:K56"/>
    <mergeCell ref="G57:K57"/>
    <mergeCell ref="G58:K58"/>
    <mergeCell ref="G59:K59"/>
    <mergeCell ref="F65:F66"/>
    <mergeCell ref="J65:M66"/>
    <mergeCell ref="J67:M67"/>
    <mergeCell ref="H16:L16"/>
    <mergeCell ref="E62:G62"/>
    <mergeCell ref="J72:M72"/>
    <mergeCell ref="J73:M73"/>
    <mergeCell ref="J74:M74"/>
    <mergeCell ref="J75:M75"/>
    <mergeCell ref="J76:M76"/>
    <mergeCell ref="J77:M77"/>
    <mergeCell ref="J78:M78"/>
    <mergeCell ref="J79:M79"/>
    <mergeCell ref="J80:M80"/>
    <mergeCell ref="J88:M88"/>
    <mergeCell ref="J89:M89"/>
    <mergeCell ref="J90:M90"/>
    <mergeCell ref="J81:M81"/>
    <mergeCell ref="J82:M82"/>
    <mergeCell ref="J83:M83"/>
    <mergeCell ref="J84:M84"/>
    <mergeCell ref="J85:M85"/>
    <mergeCell ref="A1:N1"/>
    <mergeCell ref="A2:N2"/>
    <mergeCell ref="J91:M91"/>
    <mergeCell ref="G40:K40"/>
    <mergeCell ref="G41:K41"/>
    <mergeCell ref="G43:K43"/>
    <mergeCell ref="G44:K44"/>
    <mergeCell ref="G45:K45"/>
    <mergeCell ref="G46:K46"/>
    <mergeCell ref="G47:K47"/>
    <mergeCell ref="G48:K48"/>
    <mergeCell ref="G49:K49"/>
    <mergeCell ref="G50:K50"/>
    <mergeCell ref="G51:K51"/>
    <mergeCell ref="J86:M86"/>
    <mergeCell ref="J87:M87"/>
  </mergeCells>
  <dataValidations count="5">
    <dataValidation type="list" allowBlank="1" showInputMessage="1" showErrorMessage="1" promptTitle="Distributed Generation Eligibili" prompt="Use the drop down box to select &quot;Yes&quot; if the resource is eligible for the distributed generation additional credit. The amount is equal to 100 percent of the MWh reported and will be calculated." sqref="F67:F91">
      <formula1>"Yes,No"</formula1>
    </dataValidation>
    <dataValidation type="list" allowBlank="1" showInputMessage="1" showErrorMessage="1" error="REC Vintage must be 2015, 2016, or 2017. List each vintage year separately." sqref="C67:C91">
      <formula1>"2015,2016,2017"</formula1>
    </dataValidation>
    <dataValidation type="list" allowBlank="1" showInputMessage="1" showErrorMessage="1" promptTitle="Resource Type" prompt="Select from the drop down menu. Use scroll bar on the right side of the box to see the entire list of eligible resource types." sqref="C40:C60 D67:D91">
      <formula1>ResourceType</formula1>
    </dataValidation>
    <dataValidation type="list" allowBlank="1" showInputMessage="1" showErrorMessage="1" promptTitle="Apprentice Labor Eligibility" prompt="Use the drop down box to select &quot;Yes&quot; if the resource is eligible for the apprentice labor additional credit. The amount is equal to 20 percent of the MWh reported and will be calculated." sqref="D40:D60 E67:E91">
      <formula1>"Yes,No"</formula1>
    </dataValidation>
    <dataValidation allowBlank="1" showErrorMessage="1" sqref="A14"/>
  </dataValidations>
  <pageMargins left="0.7" right="0.7" top="0.75" bottom="0.75" header="0.3" footer="0.3"/>
  <pageSetup scale="71" fitToHeight="0" orientation="landscape" r:id="rId1"/>
  <rowBreaks count="3" manualBreakCount="3">
    <brk id="34" max="13" man="1"/>
    <brk id="61" max="13" man="1"/>
    <brk id="91"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5453" r:id="rId4" name="Check Box 333">
              <controlPr defaultSize="0" autoFill="0" autoLine="0" autoPict="0">
                <anchor moveWithCells="1" sizeWithCells="1">
                  <from>
                    <xdr:col>0</xdr:col>
                    <xdr:colOff>733425</xdr:colOff>
                    <xdr:row>15</xdr:row>
                    <xdr:rowOff>9525</xdr:rowOff>
                  </from>
                  <to>
                    <xdr:col>3</xdr:col>
                    <xdr:colOff>428625</xdr:colOff>
                    <xdr:row>15</xdr:row>
                    <xdr:rowOff>123825</xdr:rowOff>
                  </to>
                </anchor>
              </controlPr>
            </control>
          </mc:Choice>
        </mc:AlternateContent>
        <mc:AlternateContent xmlns:mc="http://schemas.openxmlformats.org/markup-compatibility/2006">
          <mc:Choice Requires="x14">
            <control shapeId="5454" r:id="rId5" name="Check Box 334">
              <controlPr defaultSize="0" autoFill="0" autoLine="0" autoPict="0">
                <anchor moveWithCells="1" sizeWithCells="1">
                  <from>
                    <xdr:col>0</xdr:col>
                    <xdr:colOff>733425</xdr:colOff>
                    <xdr:row>12</xdr:row>
                    <xdr:rowOff>171450</xdr:rowOff>
                  </from>
                  <to>
                    <xdr:col>3</xdr:col>
                    <xdr:colOff>266700</xdr:colOff>
                    <xdr:row>14</xdr:row>
                    <xdr:rowOff>95250</xdr:rowOff>
                  </to>
                </anchor>
              </controlPr>
            </control>
          </mc:Choice>
        </mc:AlternateContent>
        <mc:AlternateContent xmlns:mc="http://schemas.openxmlformats.org/markup-compatibility/2006">
          <mc:Choice Requires="x14">
            <control shapeId="5455" r:id="rId6" name="Check Box 335">
              <controlPr defaultSize="0" autoFill="0" autoLine="0" autoPict="0">
                <anchor moveWithCells="1" sizeWithCells="1">
                  <from>
                    <xdr:col>0</xdr:col>
                    <xdr:colOff>733425</xdr:colOff>
                    <xdr:row>11</xdr:row>
                    <xdr:rowOff>123825</xdr:rowOff>
                  </from>
                  <to>
                    <xdr:col>3</xdr:col>
                    <xdr:colOff>76200</xdr:colOff>
                    <xdr:row>12</xdr:row>
                    <xdr:rowOff>104775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N62"/>
  <sheetViews>
    <sheetView showGridLines="0" zoomScaleNormal="100" zoomScaleSheetLayoutView="100" workbookViewId="0">
      <selection activeCell="N41" sqref="N41"/>
    </sheetView>
  </sheetViews>
  <sheetFormatPr defaultColWidth="9.140625" defaultRowHeight="12.75" x14ac:dyDescent="0.2"/>
  <cols>
    <col min="1" max="1" width="30.140625" style="76" customWidth="1"/>
    <col min="2" max="2" width="10.85546875" style="76" customWidth="1"/>
    <col min="3" max="3" width="10.28515625" style="76" customWidth="1"/>
    <col min="4" max="4" width="14" style="76" customWidth="1"/>
    <col min="5" max="5" width="14.140625" style="76" customWidth="1"/>
    <col min="6" max="8" width="10.7109375" style="76" customWidth="1"/>
    <col min="9" max="9" width="15.7109375" style="76" customWidth="1"/>
    <col min="10" max="10" width="10.7109375" style="76" customWidth="1"/>
    <col min="11" max="11" width="16.5703125" style="76" customWidth="1"/>
    <col min="12" max="16384" width="9.140625" style="76"/>
  </cols>
  <sheetData>
    <row r="1" spans="1:14" ht="15" customHeight="1" x14ac:dyDescent="0.2">
      <c r="A1" s="287" t="s">
        <v>192</v>
      </c>
      <c r="B1" s="287"/>
      <c r="C1" s="287"/>
      <c r="D1" s="287"/>
      <c r="E1" s="287"/>
      <c r="F1" s="287"/>
      <c r="G1" s="287"/>
      <c r="H1" s="287"/>
      <c r="I1" s="287"/>
      <c r="J1" s="287"/>
      <c r="K1" s="287"/>
      <c r="L1" s="77"/>
      <c r="M1" s="77"/>
      <c r="N1" s="77"/>
    </row>
    <row r="2" spans="1:14" ht="15" customHeight="1" x14ac:dyDescent="0.2">
      <c r="A2" s="288" t="s">
        <v>193</v>
      </c>
      <c r="B2" s="288"/>
      <c r="C2" s="288"/>
      <c r="D2" s="288"/>
      <c r="E2" s="288"/>
      <c r="F2" s="288"/>
      <c r="G2" s="288"/>
      <c r="H2" s="288"/>
      <c r="I2" s="288"/>
      <c r="J2" s="288"/>
      <c r="K2" s="288"/>
      <c r="L2" s="77"/>
      <c r="M2" s="77"/>
      <c r="N2" s="77"/>
    </row>
    <row r="3" spans="1:14" s="77" customFormat="1" ht="19.5" x14ac:dyDescent="0.4">
      <c r="A3" s="145" t="s">
        <v>138</v>
      </c>
      <c r="B3" s="145"/>
      <c r="C3" s="145"/>
    </row>
    <row r="4" spans="1:14" ht="15" customHeight="1" x14ac:dyDescent="0.2">
      <c r="L4" s="77"/>
      <c r="M4" s="77"/>
      <c r="N4" s="77"/>
    </row>
    <row r="5" spans="1:14" ht="16.5" customHeight="1" x14ac:dyDescent="0.25">
      <c r="A5" s="146" t="s">
        <v>101</v>
      </c>
      <c r="B5" s="147"/>
      <c r="C5" s="147"/>
      <c r="D5" s="85" t="s">
        <v>4</v>
      </c>
      <c r="E5" s="289" t="str">
        <f>'Renewables Report'!$B$5</f>
        <v>Avista</v>
      </c>
      <c r="F5" s="290"/>
      <c r="G5" s="291"/>
      <c r="L5" s="77"/>
      <c r="M5" s="77"/>
      <c r="N5" s="77"/>
    </row>
    <row r="6" spans="1:14" ht="15" customHeight="1" x14ac:dyDescent="0.2">
      <c r="D6" s="85" t="s">
        <v>13</v>
      </c>
      <c r="E6" s="292">
        <v>2016</v>
      </c>
      <c r="F6" s="293"/>
      <c r="G6" s="294"/>
    </row>
    <row r="7" spans="1:14" ht="15" customHeight="1" x14ac:dyDescent="0.2">
      <c r="D7" s="85"/>
      <c r="E7" s="86"/>
      <c r="F7" s="148"/>
      <c r="G7" s="148"/>
    </row>
    <row r="8" spans="1:14" ht="48" x14ac:dyDescent="0.2">
      <c r="A8" s="149" t="s">
        <v>19</v>
      </c>
      <c r="B8" s="150" t="s">
        <v>31</v>
      </c>
      <c r="C8" s="151" t="s">
        <v>7</v>
      </c>
      <c r="D8" s="152" t="s">
        <v>137</v>
      </c>
      <c r="E8" s="152" t="s">
        <v>96</v>
      </c>
      <c r="F8" s="295" t="s">
        <v>95</v>
      </c>
      <c r="G8" s="295"/>
      <c r="H8" s="295"/>
      <c r="I8" s="152" t="s">
        <v>136</v>
      </c>
      <c r="J8" s="152" t="s">
        <v>97</v>
      </c>
      <c r="K8" s="152" t="s">
        <v>135</v>
      </c>
    </row>
    <row r="9" spans="1:14" ht="15" customHeight="1" x14ac:dyDescent="0.2">
      <c r="A9" s="169" t="str">
        <f>'Renewables Report'!A40</f>
        <v>Long Lake #3</v>
      </c>
      <c r="B9" s="170" t="str">
        <f>'Renewables Report'!B40</f>
        <v>W2103</v>
      </c>
      <c r="C9" s="171">
        <f>SUM('Renewables Report'!E40)</f>
        <v>14197</v>
      </c>
      <c r="D9" s="222">
        <v>92282</v>
      </c>
      <c r="E9" s="180">
        <f>IF(C9&gt;0,D9/C9,"")</f>
        <v>6.5001056561245329</v>
      </c>
      <c r="F9" s="254" t="s">
        <v>237</v>
      </c>
      <c r="G9" s="255"/>
      <c r="H9" s="256"/>
      <c r="I9" s="224">
        <v>1141013</v>
      </c>
      <c r="J9" s="180">
        <f>IF(C9&gt;0,I9/C9,"")</f>
        <v>80.370007748115796</v>
      </c>
      <c r="K9" s="180">
        <f>MAX(0,D9-I9)</f>
        <v>0</v>
      </c>
    </row>
    <row r="10" spans="1:14" ht="15" customHeight="1" x14ac:dyDescent="0.2">
      <c r="A10" s="172" t="str">
        <f>'Renewables Report'!A41</f>
        <v>Little Falls #4</v>
      </c>
      <c r="B10" s="173" t="str">
        <f>'Renewables Report'!B41</f>
        <v>W2102</v>
      </c>
      <c r="C10" s="174">
        <f>SUM('Renewables Report'!E41)</f>
        <v>4862</v>
      </c>
      <c r="D10" s="223">
        <v>112198</v>
      </c>
      <c r="E10" s="181">
        <f t="shared" ref="E10:E29" si="0">IF(C10&gt;0,D10/C10,"")</f>
        <v>23.076511723570547</v>
      </c>
      <c r="F10" s="254" t="s">
        <v>237</v>
      </c>
      <c r="G10" s="255"/>
      <c r="H10" s="256"/>
      <c r="I10" s="224">
        <v>269451</v>
      </c>
      <c r="J10" s="181">
        <f t="shared" ref="J10:J29" si="1">IF(C10&gt;0,I10/C10,"")</f>
        <v>55.419786096256686</v>
      </c>
      <c r="K10" s="181">
        <f t="shared" ref="K10:K29" si="2">MAX(0,D10-I10)</f>
        <v>0</v>
      </c>
    </row>
    <row r="11" spans="1:14" ht="15" customHeight="1" x14ac:dyDescent="0.2">
      <c r="A11" s="172" t="str">
        <f>'Renewables Report'!A42</f>
        <v>Cabinet Gorge #2</v>
      </c>
      <c r="B11" s="173" t="str">
        <f>'Renewables Report'!B42</f>
        <v>W1560</v>
      </c>
      <c r="C11" s="174">
        <f>SUM('Renewables Report'!E42)</f>
        <v>29008</v>
      </c>
      <c r="D11" s="223">
        <v>663840</v>
      </c>
      <c r="E11" s="181">
        <f t="shared" si="0"/>
        <v>22.884721456150029</v>
      </c>
      <c r="F11" s="254" t="s">
        <v>237</v>
      </c>
      <c r="G11" s="255"/>
      <c r="H11" s="256"/>
      <c r="I11" s="225">
        <v>3233260</v>
      </c>
      <c r="J11" s="181">
        <f t="shared" si="1"/>
        <v>111.46097628240486</v>
      </c>
      <c r="K11" s="181">
        <f t="shared" si="2"/>
        <v>0</v>
      </c>
    </row>
    <row r="12" spans="1:14" ht="15" customHeight="1" x14ac:dyDescent="0.2">
      <c r="A12" s="172" t="str">
        <f>'Renewables Report'!A43</f>
        <v>Cabinet Gorge #3</v>
      </c>
      <c r="B12" s="173" t="str">
        <f>'Renewables Report'!B43</f>
        <v>W1561</v>
      </c>
      <c r="C12" s="174">
        <f>SUM('Renewables Report'!E43)</f>
        <v>45808</v>
      </c>
      <c r="D12" s="223">
        <v>861603</v>
      </c>
      <c r="E12" s="181">
        <f t="shared" si="0"/>
        <v>18.80900716032134</v>
      </c>
      <c r="F12" s="254" t="s">
        <v>237</v>
      </c>
      <c r="G12" s="255"/>
      <c r="H12" s="256"/>
      <c r="I12" s="225">
        <v>3663667</v>
      </c>
      <c r="J12" s="181">
        <f t="shared" si="1"/>
        <v>79.978759168704158</v>
      </c>
      <c r="K12" s="181">
        <f t="shared" si="2"/>
        <v>0</v>
      </c>
    </row>
    <row r="13" spans="1:14" ht="15" customHeight="1" x14ac:dyDescent="0.2">
      <c r="A13" s="172" t="str">
        <f>'Renewables Report'!A44</f>
        <v>Cabinet Gorge #4</v>
      </c>
      <c r="B13" s="173" t="str">
        <f>'Renewables Report'!B44</f>
        <v>W1562</v>
      </c>
      <c r="C13" s="174">
        <f>SUM('Renewables Report'!E44)</f>
        <v>20517</v>
      </c>
      <c r="D13" s="223">
        <v>494522</v>
      </c>
      <c r="E13" s="181">
        <f t="shared" si="0"/>
        <v>24.103036506311838</v>
      </c>
      <c r="F13" s="254" t="s">
        <v>237</v>
      </c>
      <c r="G13" s="255"/>
      <c r="H13" s="256"/>
      <c r="I13" s="225">
        <v>2451932</v>
      </c>
      <c r="J13" s="181">
        <f t="shared" si="1"/>
        <v>119.50733538041624</v>
      </c>
      <c r="K13" s="181">
        <f t="shared" si="2"/>
        <v>0</v>
      </c>
    </row>
    <row r="14" spans="1:14" ht="15" customHeight="1" x14ac:dyDescent="0.2">
      <c r="A14" s="172" t="str">
        <f>'Renewables Report'!A45</f>
        <v>Noxon Rapids #1</v>
      </c>
      <c r="B14" s="173" t="str">
        <f>'Renewables Report'!B45</f>
        <v>W1530</v>
      </c>
      <c r="C14" s="174">
        <f>SUM('Renewables Report'!E45)</f>
        <v>21435</v>
      </c>
      <c r="D14" s="223">
        <v>1780183</v>
      </c>
      <c r="E14" s="181">
        <f t="shared" si="0"/>
        <v>83.050291579192915</v>
      </c>
      <c r="F14" s="254" t="s">
        <v>237</v>
      </c>
      <c r="G14" s="255"/>
      <c r="H14" s="256"/>
      <c r="I14" s="225">
        <v>2367977</v>
      </c>
      <c r="J14" s="181">
        <f t="shared" si="1"/>
        <v>110.47245159785398</v>
      </c>
      <c r="K14" s="181">
        <f t="shared" si="2"/>
        <v>0</v>
      </c>
    </row>
    <row r="15" spans="1:14" ht="15" customHeight="1" x14ac:dyDescent="0.2">
      <c r="A15" s="172" t="str">
        <f>'Renewables Report'!A46</f>
        <v>Noxon Rapids #2</v>
      </c>
      <c r="B15" s="173" t="str">
        <f>'Renewables Report'!B46</f>
        <v>W1552</v>
      </c>
      <c r="C15" s="174">
        <f>SUM('Renewables Report'!E46)</f>
        <v>7709</v>
      </c>
      <c r="D15" s="223">
        <v>887937</v>
      </c>
      <c r="E15" s="181">
        <f t="shared" si="0"/>
        <v>115.18186535218575</v>
      </c>
      <c r="F15" s="254" t="s">
        <v>237</v>
      </c>
      <c r="G15" s="255"/>
      <c r="H15" s="256"/>
      <c r="I15" s="225">
        <v>1570262</v>
      </c>
      <c r="J15" s="181">
        <f t="shared" si="1"/>
        <v>203.69204825528604</v>
      </c>
      <c r="K15" s="181">
        <f t="shared" si="2"/>
        <v>0</v>
      </c>
    </row>
    <row r="16" spans="1:14" ht="15" customHeight="1" x14ac:dyDescent="0.2">
      <c r="A16" s="172" t="str">
        <f>'Renewables Report'!A47</f>
        <v>Noxon Rapids #3</v>
      </c>
      <c r="B16" s="173" t="str">
        <f>'Renewables Report'!B47</f>
        <v>W1554</v>
      </c>
      <c r="C16" s="174">
        <f>SUM('Renewables Report'!E47)</f>
        <v>14529</v>
      </c>
      <c r="D16" s="223">
        <v>867560</v>
      </c>
      <c r="E16" s="181">
        <f t="shared" si="0"/>
        <v>59.71229953885333</v>
      </c>
      <c r="F16" s="254" t="s">
        <v>237</v>
      </c>
      <c r="G16" s="255"/>
      <c r="H16" s="256"/>
      <c r="I16" s="225">
        <v>1982089</v>
      </c>
      <c r="J16" s="181">
        <f t="shared" si="1"/>
        <v>136.42294720903021</v>
      </c>
      <c r="K16" s="181">
        <f t="shared" si="2"/>
        <v>0</v>
      </c>
    </row>
    <row r="17" spans="1:11" ht="15" customHeight="1" x14ac:dyDescent="0.2">
      <c r="A17" s="172" t="str">
        <f>'Renewables Report'!A48</f>
        <v>Noxon Rapids #4</v>
      </c>
      <c r="B17" s="173" t="str">
        <f>'Renewables Report'!B48</f>
        <v>W1555</v>
      </c>
      <c r="C17" s="174">
        <f>SUM('Renewables Report'!E48)</f>
        <v>12024</v>
      </c>
      <c r="D17" s="223">
        <v>782277</v>
      </c>
      <c r="E17" s="181">
        <f t="shared" si="0"/>
        <v>65.059630738522955</v>
      </c>
      <c r="F17" s="254" t="s">
        <v>237</v>
      </c>
      <c r="G17" s="255"/>
      <c r="H17" s="256"/>
      <c r="I17" s="225">
        <v>1948060</v>
      </c>
      <c r="J17" s="181">
        <f t="shared" si="1"/>
        <v>162.01430472388557</v>
      </c>
      <c r="K17" s="181">
        <f t="shared" si="2"/>
        <v>0</v>
      </c>
    </row>
    <row r="18" spans="1:11" ht="15" customHeight="1" x14ac:dyDescent="0.2">
      <c r="A18" s="172" t="str">
        <f>'Renewables Report'!A49</f>
        <v>Wanapum Fish Bypass</v>
      </c>
      <c r="B18" s="173" t="str">
        <f>'Renewables Report'!B49</f>
        <v>N/A</v>
      </c>
      <c r="C18" s="174">
        <f>SUM('Renewables Report'!E49)</f>
        <v>0</v>
      </c>
      <c r="D18" s="223"/>
      <c r="E18" s="181"/>
      <c r="F18" s="254"/>
      <c r="G18" s="255"/>
      <c r="H18" s="256"/>
      <c r="I18" s="225"/>
      <c r="J18" s="181" t="str">
        <f t="shared" si="1"/>
        <v/>
      </c>
      <c r="K18" s="181">
        <f t="shared" si="2"/>
        <v>0</v>
      </c>
    </row>
    <row r="19" spans="1:11" ht="15" customHeight="1" x14ac:dyDescent="0.2">
      <c r="A19" s="172" t="str">
        <f>'Renewables Report'!A50</f>
        <v>Palouse Wind</v>
      </c>
      <c r="B19" s="173" t="str">
        <f>'Renewables Report'!B50</f>
        <v>W2906</v>
      </c>
      <c r="C19" s="174">
        <f>SUM('Renewables Report'!E50)</f>
        <v>239050</v>
      </c>
      <c r="D19" s="223">
        <v>18727177</v>
      </c>
      <c r="E19" s="181"/>
      <c r="F19" s="254" t="s">
        <v>238</v>
      </c>
      <c r="G19" s="255"/>
      <c r="H19" s="256"/>
      <c r="I19" s="225">
        <v>13835213.674407197</v>
      </c>
      <c r="J19" s="181">
        <f t="shared" si="1"/>
        <v>57.875815412705279</v>
      </c>
      <c r="K19" s="181">
        <f t="shared" si="2"/>
        <v>4891963.3255928028</v>
      </c>
    </row>
    <row r="20" spans="1:11" ht="15" customHeight="1" x14ac:dyDescent="0.2">
      <c r="A20" s="172" t="str">
        <f>'Renewables Report'!A51</f>
        <v>Nine Mile #1</v>
      </c>
      <c r="B20" s="173" t="str">
        <f>'Renewables Report'!B51</f>
        <v>W249</v>
      </c>
      <c r="C20" s="174">
        <f>SUM('Renewables Report'!E51)</f>
        <v>416</v>
      </c>
      <c r="D20" s="223"/>
      <c r="E20" s="181">
        <f t="shared" si="0"/>
        <v>0</v>
      </c>
      <c r="F20" s="254"/>
      <c r="G20" s="255"/>
      <c r="H20" s="256"/>
      <c r="I20" s="225"/>
      <c r="J20" s="181">
        <f t="shared" si="1"/>
        <v>0</v>
      </c>
      <c r="K20" s="181">
        <f t="shared" si="2"/>
        <v>0</v>
      </c>
    </row>
    <row r="21" spans="1:11" ht="15" customHeight="1" x14ac:dyDescent="0.2">
      <c r="A21" s="172" t="str">
        <f>'Renewables Report'!A52</f>
        <v>Nine Mile #2</v>
      </c>
      <c r="B21" s="173" t="str">
        <f>'Renewables Report'!B52</f>
        <v>W216</v>
      </c>
      <c r="C21" s="174">
        <f>SUM('Renewables Report'!E52)</f>
        <v>977</v>
      </c>
      <c r="D21" s="223"/>
      <c r="E21" s="181">
        <f t="shared" si="0"/>
        <v>0</v>
      </c>
      <c r="F21" s="254"/>
      <c r="G21" s="255"/>
      <c r="H21" s="256"/>
      <c r="I21" s="225"/>
      <c r="J21" s="181">
        <f t="shared" si="1"/>
        <v>0</v>
      </c>
      <c r="K21" s="181">
        <f t="shared" si="2"/>
        <v>0</v>
      </c>
    </row>
    <row r="22" spans="1:11" ht="15" customHeight="1" x14ac:dyDescent="0.2">
      <c r="A22" s="172" t="str">
        <f>'Renewables Report'!A53</f>
        <v>Kettle Falls</v>
      </c>
      <c r="B22" s="173" t="str">
        <f>'Renewables Report'!B53</f>
        <v>W130</v>
      </c>
      <c r="C22" s="174">
        <f>SUM('Renewables Report'!E53)</f>
        <v>33163</v>
      </c>
      <c r="D22" s="223">
        <v>0</v>
      </c>
      <c r="E22" s="181">
        <f t="shared" si="0"/>
        <v>0</v>
      </c>
      <c r="F22" s="254"/>
      <c r="G22" s="255"/>
      <c r="H22" s="256"/>
      <c r="I22" s="225">
        <v>0</v>
      </c>
      <c r="J22" s="181">
        <f t="shared" si="1"/>
        <v>0</v>
      </c>
      <c r="K22" s="181">
        <f t="shared" si="2"/>
        <v>0</v>
      </c>
    </row>
    <row r="23" spans="1:11" ht="15" customHeight="1" x14ac:dyDescent="0.2">
      <c r="A23" s="172">
        <f>'Renewables Report'!A54</f>
        <v>0</v>
      </c>
      <c r="B23" s="173">
        <f>'Renewables Report'!B54</f>
        <v>0</v>
      </c>
      <c r="C23" s="174">
        <f>SUM('Renewables Report'!E54)</f>
        <v>0</v>
      </c>
      <c r="D23" s="153"/>
      <c r="E23" s="181" t="str">
        <f t="shared" si="0"/>
        <v/>
      </c>
      <c r="F23" s="251"/>
      <c r="G23" s="252"/>
      <c r="H23" s="253"/>
      <c r="I23" s="153"/>
      <c r="J23" s="181" t="str">
        <f t="shared" si="1"/>
        <v/>
      </c>
      <c r="K23" s="181">
        <f t="shared" si="2"/>
        <v>0</v>
      </c>
    </row>
    <row r="24" spans="1:11" ht="15" customHeight="1" x14ac:dyDescent="0.2">
      <c r="A24" s="172">
        <f>'Renewables Report'!A55</f>
        <v>0</v>
      </c>
      <c r="B24" s="173">
        <f>'Renewables Report'!B55</f>
        <v>0</v>
      </c>
      <c r="C24" s="174">
        <f>SUM('Renewables Report'!E55)</f>
        <v>0</v>
      </c>
      <c r="D24" s="153"/>
      <c r="E24" s="181" t="str">
        <f t="shared" si="0"/>
        <v/>
      </c>
      <c r="F24" s="251"/>
      <c r="G24" s="252"/>
      <c r="H24" s="253"/>
      <c r="I24" s="153"/>
      <c r="J24" s="181" t="str">
        <f t="shared" si="1"/>
        <v/>
      </c>
      <c r="K24" s="181">
        <f t="shared" si="2"/>
        <v>0</v>
      </c>
    </row>
    <row r="25" spans="1:11" ht="15" customHeight="1" x14ac:dyDescent="0.2">
      <c r="A25" s="172">
        <f>'Renewables Report'!A56</f>
        <v>0</v>
      </c>
      <c r="B25" s="173">
        <f>'Renewables Report'!B56</f>
        <v>0</v>
      </c>
      <c r="C25" s="174">
        <f>SUM('Renewables Report'!E56)</f>
        <v>0</v>
      </c>
      <c r="D25" s="153"/>
      <c r="E25" s="181" t="str">
        <f t="shared" si="0"/>
        <v/>
      </c>
      <c r="F25" s="251"/>
      <c r="G25" s="252"/>
      <c r="H25" s="253"/>
      <c r="I25" s="153"/>
      <c r="J25" s="181" t="str">
        <f t="shared" si="1"/>
        <v/>
      </c>
      <c r="K25" s="181">
        <f t="shared" si="2"/>
        <v>0</v>
      </c>
    </row>
    <row r="26" spans="1:11" ht="15" customHeight="1" x14ac:dyDescent="0.2">
      <c r="A26" s="172">
        <f>'Renewables Report'!A57</f>
        <v>0</v>
      </c>
      <c r="B26" s="173">
        <f>'Renewables Report'!B57</f>
        <v>0</v>
      </c>
      <c r="C26" s="174">
        <f>SUM('Renewables Report'!E57)</f>
        <v>0</v>
      </c>
      <c r="D26" s="153"/>
      <c r="E26" s="181" t="str">
        <f t="shared" si="0"/>
        <v/>
      </c>
      <c r="F26" s="251"/>
      <c r="G26" s="252"/>
      <c r="H26" s="253"/>
      <c r="I26" s="153"/>
      <c r="J26" s="181" t="str">
        <f t="shared" si="1"/>
        <v/>
      </c>
      <c r="K26" s="181">
        <f t="shared" si="2"/>
        <v>0</v>
      </c>
    </row>
    <row r="27" spans="1:11" ht="15" customHeight="1" x14ac:dyDescent="0.2">
      <c r="A27" s="172">
        <f>'Renewables Report'!A58</f>
        <v>0</v>
      </c>
      <c r="B27" s="173">
        <f>'Renewables Report'!B58</f>
        <v>0</v>
      </c>
      <c r="C27" s="174">
        <f>SUM('Renewables Report'!E58)</f>
        <v>0</v>
      </c>
      <c r="D27" s="153"/>
      <c r="E27" s="181" t="str">
        <f t="shared" si="0"/>
        <v/>
      </c>
      <c r="F27" s="251"/>
      <c r="G27" s="252"/>
      <c r="H27" s="253"/>
      <c r="I27" s="153"/>
      <c r="J27" s="181" t="str">
        <f t="shared" si="1"/>
        <v/>
      </c>
      <c r="K27" s="181">
        <f t="shared" si="2"/>
        <v>0</v>
      </c>
    </row>
    <row r="28" spans="1:11" ht="15" customHeight="1" x14ac:dyDescent="0.2">
      <c r="A28" s="172">
        <f>'Renewables Report'!A59</f>
        <v>0</v>
      </c>
      <c r="B28" s="173">
        <f>'Renewables Report'!B59</f>
        <v>0</v>
      </c>
      <c r="C28" s="174">
        <f>SUM('Renewables Report'!E59)</f>
        <v>0</v>
      </c>
      <c r="D28" s="153"/>
      <c r="E28" s="181" t="str">
        <f t="shared" si="0"/>
        <v/>
      </c>
      <c r="F28" s="251"/>
      <c r="G28" s="252"/>
      <c r="H28" s="253"/>
      <c r="I28" s="153"/>
      <c r="J28" s="181" t="str">
        <f t="shared" si="1"/>
        <v/>
      </c>
      <c r="K28" s="181">
        <f t="shared" si="2"/>
        <v>0</v>
      </c>
    </row>
    <row r="29" spans="1:11" ht="15" customHeight="1" x14ac:dyDescent="0.2">
      <c r="A29" s="175">
        <f>'Renewables Report'!A60</f>
        <v>0</v>
      </c>
      <c r="B29" s="176">
        <f>'Renewables Report'!B60</f>
        <v>0</v>
      </c>
      <c r="C29" s="177">
        <f>SUM('Renewables Report'!E60)</f>
        <v>0</v>
      </c>
      <c r="D29" s="154"/>
      <c r="E29" s="182" t="str">
        <f t="shared" si="0"/>
        <v/>
      </c>
      <c r="F29" s="263"/>
      <c r="G29" s="264"/>
      <c r="H29" s="265"/>
      <c r="I29" s="154"/>
      <c r="J29" s="182" t="str">
        <f t="shared" si="1"/>
        <v/>
      </c>
      <c r="K29" s="182">
        <f t="shared" si="2"/>
        <v>0</v>
      </c>
    </row>
    <row r="30" spans="1:11" ht="15" customHeight="1" x14ac:dyDescent="0.2">
      <c r="A30" s="178" t="s">
        <v>98</v>
      </c>
      <c r="B30" s="178"/>
      <c r="C30" s="179">
        <f>SUM(C9:C29)</f>
        <v>443695</v>
      </c>
      <c r="D30" s="183">
        <f>SUM(D9:D29)</f>
        <v>25269579</v>
      </c>
      <c r="E30" s="183"/>
      <c r="F30" s="183"/>
      <c r="G30" s="183"/>
      <c r="H30" s="183"/>
      <c r="I30" s="183">
        <f>SUM(I9:I29)</f>
        <v>32462924.674407199</v>
      </c>
      <c r="J30" s="184"/>
      <c r="K30" s="183">
        <f>SUM(K9:K29)</f>
        <v>4891963.3255928028</v>
      </c>
    </row>
    <row r="31" spans="1:11" ht="15" customHeight="1" x14ac:dyDescent="0.2">
      <c r="D31" s="77"/>
      <c r="E31" s="77"/>
      <c r="F31" s="77"/>
      <c r="G31" s="77"/>
      <c r="H31" s="77"/>
      <c r="I31" s="77"/>
      <c r="J31" s="77"/>
      <c r="K31" s="77"/>
    </row>
    <row r="32" spans="1:11" ht="17.25" customHeight="1" x14ac:dyDescent="0.25">
      <c r="A32" s="146" t="s">
        <v>102</v>
      </c>
      <c r="B32" s="155"/>
      <c r="C32" s="147"/>
      <c r="D32" s="85" t="s">
        <v>4</v>
      </c>
      <c r="E32" s="289" t="str">
        <f>E5</f>
        <v>Avista</v>
      </c>
      <c r="F32" s="290"/>
      <c r="G32" s="291"/>
    </row>
    <row r="33" spans="1:11" ht="15" customHeight="1" x14ac:dyDescent="0.2">
      <c r="A33" s="155"/>
      <c r="B33" s="155"/>
      <c r="D33" s="85" t="s">
        <v>13</v>
      </c>
      <c r="E33" s="292">
        <v>2016</v>
      </c>
      <c r="F33" s="293"/>
      <c r="G33" s="294"/>
    </row>
    <row r="34" spans="1:11" ht="15" customHeight="1" x14ac:dyDescent="0.2">
      <c r="A34" s="85"/>
      <c r="B34" s="85"/>
      <c r="C34" s="85"/>
      <c r="D34" s="144"/>
      <c r="G34" s="156"/>
      <c r="H34" s="77"/>
    </row>
    <row r="35" spans="1:11" s="158" customFormat="1" x14ac:dyDescent="0.2">
      <c r="A35" s="85"/>
      <c r="B35" s="85"/>
      <c r="C35" s="85"/>
      <c r="D35" s="157"/>
      <c r="E35" s="157"/>
      <c r="F35" s="157"/>
      <c r="H35" s="157"/>
      <c r="I35" s="157"/>
      <c r="J35" s="157"/>
      <c r="K35" s="157"/>
    </row>
    <row r="36" spans="1:11" ht="38.25" x14ac:dyDescent="0.2">
      <c r="A36" s="149" t="s">
        <v>19</v>
      </c>
      <c r="B36" s="159" t="s">
        <v>31</v>
      </c>
      <c r="C36" s="160" t="s">
        <v>129</v>
      </c>
      <c r="D36" s="160" t="s">
        <v>107</v>
      </c>
      <c r="E36" s="152" t="s">
        <v>108</v>
      </c>
      <c r="F36" s="152" t="s">
        <v>109</v>
      </c>
      <c r="G36" s="284" t="s">
        <v>38</v>
      </c>
      <c r="H36" s="285"/>
      <c r="I36" s="285"/>
      <c r="J36" s="285"/>
      <c r="K36" s="286"/>
    </row>
    <row r="37" spans="1:11" ht="15" customHeight="1" x14ac:dyDescent="0.2">
      <c r="A37" s="185" t="str">
        <f>'Renewables Report'!A67</f>
        <v>EWEB (Stateline) Wind RECs</v>
      </c>
      <c r="B37" s="186" t="str">
        <f>'Renewables Report'!B67</f>
        <v>W249</v>
      </c>
      <c r="C37" s="187">
        <f>'Renewables Report'!C67</f>
        <v>2015</v>
      </c>
      <c r="D37" s="171">
        <f>'Renewables Report'!G67</f>
        <v>49617</v>
      </c>
      <c r="E37" s="226">
        <v>719446.5</v>
      </c>
      <c r="F37" s="197">
        <f>IF(D37&gt;0,E37/D37,"")</f>
        <v>14.5</v>
      </c>
      <c r="G37" s="161"/>
      <c r="H37" s="77"/>
      <c r="I37" s="77"/>
      <c r="J37" s="77"/>
      <c r="K37" s="162"/>
    </row>
    <row r="38" spans="1:11" ht="15" customHeight="1" x14ac:dyDescent="0.2">
      <c r="A38" s="188">
        <f>'Renewables Report'!A68</f>
        <v>0</v>
      </c>
      <c r="B38" s="189">
        <f>'Renewables Report'!B68</f>
        <v>0</v>
      </c>
      <c r="C38" s="190">
        <f>'Renewables Report'!C68</f>
        <v>0</v>
      </c>
      <c r="D38" s="174">
        <f>'Renewables Report'!G68</f>
        <v>0</v>
      </c>
      <c r="E38" s="166"/>
      <c r="F38" s="198" t="str">
        <f t="shared" ref="F38:F61" si="3">IF(D38&gt;0,E38/D38,"")</f>
        <v/>
      </c>
      <c r="G38" s="161"/>
      <c r="H38" s="77"/>
      <c r="I38" s="77"/>
      <c r="J38" s="77"/>
      <c r="K38" s="162"/>
    </row>
    <row r="39" spans="1:11" ht="15" customHeight="1" x14ac:dyDescent="0.2">
      <c r="A39" s="188">
        <f>'Renewables Report'!A69</f>
        <v>0</v>
      </c>
      <c r="B39" s="189">
        <f>'Renewables Report'!B69</f>
        <v>0</v>
      </c>
      <c r="C39" s="190">
        <f>'Renewables Report'!C69</f>
        <v>0</v>
      </c>
      <c r="D39" s="174">
        <f>'Renewables Report'!G69</f>
        <v>0</v>
      </c>
      <c r="E39" s="166"/>
      <c r="F39" s="198" t="str">
        <f t="shared" si="3"/>
        <v/>
      </c>
      <c r="G39" s="161"/>
      <c r="H39" s="77"/>
      <c r="I39" s="77"/>
      <c r="J39" s="77"/>
      <c r="K39" s="162"/>
    </row>
    <row r="40" spans="1:11" ht="15" customHeight="1" x14ac:dyDescent="0.2">
      <c r="A40" s="188">
        <f>'Renewables Report'!A70</f>
        <v>0</v>
      </c>
      <c r="B40" s="189">
        <f>'Renewables Report'!B70</f>
        <v>0</v>
      </c>
      <c r="C40" s="190">
        <f>'Renewables Report'!C70</f>
        <v>0</v>
      </c>
      <c r="D40" s="174">
        <f>'Renewables Report'!G70</f>
        <v>0</v>
      </c>
      <c r="E40" s="166"/>
      <c r="F40" s="198" t="str">
        <f t="shared" si="3"/>
        <v/>
      </c>
      <c r="G40" s="161"/>
      <c r="H40" s="77"/>
      <c r="I40" s="77"/>
      <c r="J40" s="77"/>
      <c r="K40" s="162"/>
    </row>
    <row r="41" spans="1:11" ht="15" customHeight="1" x14ac:dyDescent="0.2">
      <c r="A41" s="188">
        <f>'Renewables Report'!A71</f>
        <v>0</v>
      </c>
      <c r="B41" s="189">
        <f>'Renewables Report'!B71</f>
        <v>0</v>
      </c>
      <c r="C41" s="190">
        <f>'Renewables Report'!C71</f>
        <v>0</v>
      </c>
      <c r="D41" s="174">
        <f>'Renewables Report'!G71</f>
        <v>0</v>
      </c>
      <c r="E41" s="166"/>
      <c r="F41" s="198" t="str">
        <f t="shared" si="3"/>
        <v/>
      </c>
      <c r="G41" s="161"/>
      <c r="H41" s="77"/>
      <c r="I41" s="77"/>
      <c r="J41" s="77"/>
      <c r="K41" s="162"/>
    </row>
    <row r="42" spans="1:11" ht="15" customHeight="1" x14ac:dyDescent="0.2">
      <c r="A42" s="188">
        <f>'Renewables Report'!A72</f>
        <v>0</v>
      </c>
      <c r="B42" s="189">
        <f>'Renewables Report'!B72</f>
        <v>0</v>
      </c>
      <c r="C42" s="190">
        <f>'Renewables Report'!C72</f>
        <v>0</v>
      </c>
      <c r="D42" s="174">
        <f>'Renewables Report'!G72</f>
        <v>0</v>
      </c>
      <c r="E42" s="166"/>
      <c r="F42" s="198" t="str">
        <f t="shared" si="3"/>
        <v/>
      </c>
      <c r="G42" s="161"/>
      <c r="H42" s="77"/>
      <c r="I42" s="77"/>
      <c r="J42" s="77"/>
      <c r="K42" s="162"/>
    </row>
    <row r="43" spans="1:11" ht="15" customHeight="1" x14ac:dyDescent="0.2">
      <c r="A43" s="188">
        <f>'Renewables Report'!A73</f>
        <v>0</v>
      </c>
      <c r="B43" s="189">
        <f>'Renewables Report'!B73</f>
        <v>0</v>
      </c>
      <c r="C43" s="190">
        <f>'Renewables Report'!C73</f>
        <v>0</v>
      </c>
      <c r="D43" s="174">
        <f>'Renewables Report'!G73</f>
        <v>0</v>
      </c>
      <c r="E43" s="166"/>
      <c r="F43" s="198" t="str">
        <f t="shared" si="3"/>
        <v/>
      </c>
      <c r="G43" s="161"/>
      <c r="H43" s="77"/>
      <c r="I43" s="77"/>
      <c r="J43" s="77"/>
      <c r="K43" s="162"/>
    </row>
    <row r="44" spans="1:11" ht="15" customHeight="1" x14ac:dyDescent="0.2">
      <c r="A44" s="188">
        <f>'Renewables Report'!A74</f>
        <v>0</v>
      </c>
      <c r="B44" s="189">
        <f>'Renewables Report'!B74</f>
        <v>0</v>
      </c>
      <c r="C44" s="190">
        <f>'Renewables Report'!C74</f>
        <v>0</v>
      </c>
      <c r="D44" s="174">
        <f>'Renewables Report'!G74</f>
        <v>0</v>
      </c>
      <c r="E44" s="166"/>
      <c r="F44" s="198" t="str">
        <f t="shared" si="3"/>
        <v/>
      </c>
      <c r="G44" s="161"/>
      <c r="H44" s="77"/>
      <c r="I44" s="77"/>
      <c r="J44" s="77"/>
      <c r="K44" s="162"/>
    </row>
    <row r="45" spans="1:11" ht="15" customHeight="1" x14ac:dyDescent="0.2">
      <c r="A45" s="188">
        <f>'Renewables Report'!A75</f>
        <v>0</v>
      </c>
      <c r="B45" s="189">
        <f>'Renewables Report'!B75</f>
        <v>0</v>
      </c>
      <c r="C45" s="190">
        <f>'Renewables Report'!C75</f>
        <v>0</v>
      </c>
      <c r="D45" s="174">
        <f>'Renewables Report'!G75</f>
        <v>0</v>
      </c>
      <c r="E45" s="166"/>
      <c r="F45" s="198" t="str">
        <f t="shared" si="3"/>
        <v/>
      </c>
      <c r="G45" s="161"/>
      <c r="H45" s="77"/>
      <c r="I45" s="77"/>
      <c r="J45" s="77"/>
      <c r="K45" s="162"/>
    </row>
    <row r="46" spans="1:11" ht="15" customHeight="1" x14ac:dyDescent="0.2">
      <c r="A46" s="188">
        <f>'Renewables Report'!A76</f>
        <v>0</v>
      </c>
      <c r="B46" s="189">
        <f>'Renewables Report'!B76</f>
        <v>0</v>
      </c>
      <c r="C46" s="190">
        <f>'Renewables Report'!C76</f>
        <v>0</v>
      </c>
      <c r="D46" s="174">
        <f>'Renewables Report'!G76</f>
        <v>0</v>
      </c>
      <c r="E46" s="166"/>
      <c r="F46" s="198" t="str">
        <f t="shared" si="3"/>
        <v/>
      </c>
      <c r="G46" s="161"/>
      <c r="H46" s="77"/>
      <c r="I46" s="77"/>
      <c r="J46" s="77"/>
      <c r="K46" s="162"/>
    </row>
    <row r="47" spans="1:11" ht="15" customHeight="1" x14ac:dyDescent="0.2">
      <c r="A47" s="188">
        <f>'Renewables Report'!A77</f>
        <v>0</v>
      </c>
      <c r="B47" s="189">
        <f>'Renewables Report'!B77</f>
        <v>0</v>
      </c>
      <c r="C47" s="190">
        <f>'Renewables Report'!C77</f>
        <v>0</v>
      </c>
      <c r="D47" s="174">
        <f>'Renewables Report'!G77</f>
        <v>0</v>
      </c>
      <c r="E47" s="166"/>
      <c r="F47" s="198" t="str">
        <f t="shared" si="3"/>
        <v/>
      </c>
      <c r="G47" s="161"/>
      <c r="H47" s="77"/>
      <c r="I47" s="77"/>
      <c r="J47" s="77"/>
      <c r="K47" s="162"/>
    </row>
    <row r="48" spans="1:11" ht="15" customHeight="1" x14ac:dyDescent="0.2">
      <c r="A48" s="188">
        <f>'Renewables Report'!A78</f>
        <v>0</v>
      </c>
      <c r="B48" s="189">
        <f>'Renewables Report'!B78</f>
        <v>0</v>
      </c>
      <c r="C48" s="190">
        <f>'Renewables Report'!C78</f>
        <v>0</v>
      </c>
      <c r="D48" s="174">
        <f>'Renewables Report'!G78</f>
        <v>0</v>
      </c>
      <c r="E48" s="166"/>
      <c r="F48" s="198" t="str">
        <f t="shared" si="3"/>
        <v/>
      </c>
      <c r="G48" s="161"/>
      <c r="H48" s="77"/>
      <c r="I48" s="77"/>
      <c r="J48" s="77"/>
      <c r="K48" s="162"/>
    </row>
    <row r="49" spans="1:11" ht="15" customHeight="1" x14ac:dyDescent="0.2">
      <c r="A49" s="188">
        <f>'Renewables Report'!A79</f>
        <v>0</v>
      </c>
      <c r="B49" s="189">
        <f>'Renewables Report'!B79</f>
        <v>0</v>
      </c>
      <c r="C49" s="190">
        <f>'Renewables Report'!C79</f>
        <v>0</v>
      </c>
      <c r="D49" s="174">
        <f>'Renewables Report'!G79</f>
        <v>0</v>
      </c>
      <c r="E49" s="166"/>
      <c r="F49" s="198" t="str">
        <f t="shared" si="3"/>
        <v/>
      </c>
      <c r="G49" s="161"/>
      <c r="H49" s="77"/>
      <c r="I49" s="77"/>
      <c r="J49" s="77"/>
      <c r="K49" s="162"/>
    </row>
    <row r="50" spans="1:11" ht="15" customHeight="1" x14ac:dyDescent="0.2">
      <c r="A50" s="188">
        <f>'Renewables Report'!A80</f>
        <v>0</v>
      </c>
      <c r="B50" s="189">
        <f>'Renewables Report'!B80</f>
        <v>0</v>
      </c>
      <c r="C50" s="190">
        <f>'Renewables Report'!C80</f>
        <v>0</v>
      </c>
      <c r="D50" s="174">
        <f>'Renewables Report'!G80</f>
        <v>0</v>
      </c>
      <c r="E50" s="166"/>
      <c r="F50" s="198" t="str">
        <f t="shared" si="3"/>
        <v/>
      </c>
      <c r="G50" s="161"/>
      <c r="H50" s="77"/>
      <c r="I50" s="77"/>
      <c r="J50" s="77"/>
      <c r="K50" s="162"/>
    </row>
    <row r="51" spans="1:11" ht="15" customHeight="1" x14ac:dyDescent="0.2">
      <c r="A51" s="188">
        <f>'Renewables Report'!A81</f>
        <v>0</v>
      </c>
      <c r="B51" s="189">
        <f>'Renewables Report'!B81</f>
        <v>0</v>
      </c>
      <c r="C51" s="190">
        <f>'Renewables Report'!C81</f>
        <v>0</v>
      </c>
      <c r="D51" s="174">
        <f>'Renewables Report'!G81</f>
        <v>0</v>
      </c>
      <c r="E51" s="166"/>
      <c r="F51" s="198" t="str">
        <f t="shared" si="3"/>
        <v/>
      </c>
      <c r="G51" s="161"/>
      <c r="H51" s="77"/>
      <c r="I51" s="77"/>
      <c r="J51" s="77"/>
      <c r="K51" s="162"/>
    </row>
    <row r="52" spans="1:11" ht="15" customHeight="1" x14ac:dyDescent="0.2">
      <c r="A52" s="188">
        <f>'Renewables Report'!A82</f>
        <v>0</v>
      </c>
      <c r="B52" s="189">
        <f>'Renewables Report'!B82</f>
        <v>0</v>
      </c>
      <c r="C52" s="190">
        <f>'Renewables Report'!C82</f>
        <v>0</v>
      </c>
      <c r="D52" s="174">
        <f>'Renewables Report'!G82</f>
        <v>0</v>
      </c>
      <c r="E52" s="166"/>
      <c r="F52" s="198" t="str">
        <f t="shared" si="3"/>
        <v/>
      </c>
      <c r="G52" s="161"/>
      <c r="H52" s="77"/>
      <c r="I52" s="77"/>
      <c r="J52" s="77"/>
      <c r="K52" s="162"/>
    </row>
    <row r="53" spans="1:11" ht="15" customHeight="1" x14ac:dyDescent="0.2">
      <c r="A53" s="188">
        <f>'Renewables Report'!A83</f>
        <v>0</v>
      </c>
      <c r="B53" s="189">
        <f>'Renewables Report'!B83</f>
        <v>0</v>
      </c>
      <c r="C53" s="190">
        <f>'Renewables Report'!C83</f>
        <v>0</v>
      </c>
      <c r="D53" s="174">
        <f>'Renewables Report'!G83</f>
        <v>0</v>
      </c>
      <c r="E53" s="166"/>
      <c r="F53" s="198" t="str">
        <f t="shared" si="3"/>
        <v/>
      </c>
      <c r="G53" s="161"/>
      <c r="H53" s="77"/>
      <c r="I53" s="77"/>
      <c r="J53" s="77"/>
      <c r="K53" s="162"/>
    </row>
    <row r="54" spans="1:11" ht="15" customHeight="1" x14ac:dyDescent="0.2">
      <c r="A54" s="188">
        <f>'Renewables Report'!A84</f>
        <v>0</v>
      </c>
      <c r="B54" s="189">
        <f>'Renewables Report'!B84</f>
        <v>0</v>
      </c>
      <c r="C54" s="190">
        <f>'Renewables Report'!C84</f>
        <v>0</v>
      </c>
      <c r="D54" s="174">
        <f>'Renewables Report'!G84</f>
        <v>0</v>
      </c>
      <c r="E54" s="166"/>
      <c r="F54" s="198" t="str">
        <f t="shared" si="3"/>
        <v/>
      </c>
      <c r="G54" s="161"/>
      <c r="H54" s="77"/>
      <c r="I54" s="77"/>
      <c r="J54" s="77"/>
      <c r="K54" s="162"/>
    </row>
    <row r="55" spans="1:11" ht="15" customHeight="1" x14ac:dyDescent="0.2">
      <c r="A55" s="188">
        <f>'Renewables Report'!A85</f>
        <v>0</v>
      </c>
      <c r="B55" s="189">
        <f>'Renewables Report'!B85</f>
        <v>0</v>
      </c>
      <c r="C55" s="190">
        <f>'Renewables Report'!C85</f>
        <v>0</v>
      </c>
      <c r="D55" s="174">
        <f>'Renewables Report'!G85</f>
        <v>0</v>
      </c>
      <c r="E55" s="166"/>
      <c r="F55" s="198" t="str">
        <f t="shared" si="3"/>
        <v/>
      </c>
      <c r="G55" s="161"/>
      <c r="H55" s="77"/>
      <c r="I55" s="77"/>
      <c r="J55" s="77"/>
      <c r="K55" s="162"/>
    </row>
    <row r="56" spans="1:11" ht="15" customHeight="1" x14ac:dyDescent="0.2">
      <c r="A56" s="188">
        <f>'Renewables Report'!A86</f>
        <v>0</v>
      </c>
      <c r="B56" s="189">
        <f>'Renewables Report'!B86</f>
        <v>0</v>
      </c>
      <c r="C56" s="190">
        <f>'Renewables Report'!C86</f>
        <v>0</v>
      </c>
      <c r="D56" s="174">
        <f>'Renewables Report'!G86</f>
        <v>0</v>
      </c>
      <c r="E56" s="166"/>
      <c r="F56" s="198" t="str">
        <f t="shared" si="3"/>
        <v/>
      </c>
      <c r="G56" s="161"/>
      <c r="H56" s="77"/>
      <c r="I56" s="77"/>
      <c r="J56" s="77"/>
      <c r="K56" s="162"/>
    </row>
    <row r="57" spans="1:11" ht="15" customHeight="1" x14ac:dyDescent="0.2">
      <c r="A57" s="188">
        <f>'Renewables Report'!A87</f>
        <v>0</v>
      </c>
      <c r="B57" s="189">
        <f>'Renewables Report'!B87</f>
        <v>0</v>
      </c>
      <c r="C57" s="190">
        <f>'Renewables Report'!C87</f>
        <v>0</v>
      </c>
      <c r="D57" s="174">
        <f>'Renewables Report'!G87</f>
        <v>0</v>
      </c>
      <c r="E57" s="166"/>
      <c r="F57" s="198" t="str">
        <f t="shared" si="3"/>
        <v/>
      </c>
      <c r="G57" s="161"/>
      <c r="H57" s="77"/>
      <c r="I57" s="77"/>
      <c r="J57" s="77"/>
      <c r="K57" s="162"/>
    </row>
    <row r="58" spans="1:11" ht="15" customHeight="1" x14ac:dyDescent="0.2">
      <c r="A58" s="188">
        <f>'Renewables Report'!A88</f>
        <v>0</v>
      </c>
      <c r="B58" s="189">
        <f>'Renewables Report'!B88</f>
        <v>0</v>
      </c>
      <c r="C58" s="190">
        <f>'Renewables Report'!C88</f>
        <v>0</v>
      </c>
      <c r="D58" s="174">
        <f>'Renewables Report'!G88</f>
        <v>0</v>
      </c>
      <c r="E58" s="166"/>
      <c r="F58" s="198" t="str">
        <f t="shared" si="3"/>
        <v/>
      </c>
      <c r="G58" s="161"/>
      <c r="H58" s="77"/>
      <c r="I58" s="77"/>
      <c r="J58" s="77"/>
      <c r="K58" s="162"/>
    </row>
    <row r="59" spans="1:11" ht="15" customHeight="1" x14ac:dyDescent="0.2">
      <c r="A59" s="188">
        <f>'Renewables Report'!A89</f>
        <v>0</v>
      </c>
      <c r="B59" s="189">
        <f>'Renewables Report'!B89</f>
        <v>0</v>
      </c>
      <c r="C59" s="190">
        <f>'Renewables Report'!C89</f>
        <v>0</v>
      </c>
      <c r="D59" s="174">
        <f>'Renewables Report'!G89</f>
        <v>0</v>
      </c>
      <c r="E59" s="166"/>
      <c r="F59" s="198" t="str">
        <f t="shared" si="3"/>
        <v/>
      </c>
      <c r="G59" s="161"/>
      <c r="H59" s="77"/>
      <c r="I59" s="77"/>
      <c r="J59" s="77"/>
      <c r="K59" s="162"/>
    </row>
    <row r="60" spans="1:11" ht="15" customHeight="1" x14ac:dyDescent="0.2">
      <c r="A60" s="188">
        <f>'Renewables Report'!A90</f>
        <v>0</v>
      </c>
      <c r="B60" s="189">
        <f>'Renewables Report'!B90</f>
        <v>0</v>
      </c>
      <c r="C60" s="190">
        <f>'Renewables Report'!C90</f>
        <v>0</v>
      </c>
      <c r="D60" s="174">
        <f>'Renewables Report'!G90</f>
        <v>0</v>
      </c>
      <c r="E60" s="166"/>
      <c r="F60" s="198" t="str">
        <f t="shared" si="3"/>
        <v/>
      </c>
      <c r="G60" s="161"/>
      <c r="H60" s="77"/>
      <c r="I60" s="77"/>
      <c r="J60" s="77"/>
      <c r="K60" s="162"/>
    </row>
    <row r="61" spans="1:11" ht="15" customHeight="1" x14ac:dyDescent="0.2">
      <c r="A61" s="191">
        <f>'Renewables Report'!A91</f>
        <v>0</v>
      </c>
      <c r="B61" s="192">
        <f>'Renewables Report'!B91</f>
        <v>0</v>
      </c>
      <c r="C61" s="193">
        <f>'Renewables Report'!C91</f>
        <v>0</v>
      </c>
      <c r="D61" s="194">
        <f>'Renewables Report'!G91</f>
        <v>0</v>
      </c>
      <c r="E61" s="167"/>
      <c r="F61" s="199" t="str">
        <f t="shared" si="3"/>
        <v/>
      </c>
      <c r="G61" s="161"/>
      <c r="H61" s="77"/>
      <c r="I61" s="77"/>
      <c r="J61" s="77"/>
      <c r="K61" s="162"/>
    </row>
    <row r="62" spans="1:11" ht="15" customHeight="1" x14ac:dyDescent="0.2">
      <c r="A62" s="178" t="s">
        <v>6</v>
      </c>
      <c r="B62" s="195"/>
      <c r="C62" s="195"/>
      <c r="D62" s="196"/>
      <c r="E62" s="183">
        <f>SUM(E37:E61)</f>
        <v>719446.5</v>
      </c>
      <c r="F62" s="196"/>
      <c r="G62" s="163"/>
      <c r="H62" s="164"/>
      <c r="I62" s="164"/>
      <c r="J62" s="164"/>
      <c r="K62" s="165"/>
    </row>
  </sheetData>
  <mergeCells count="29">
    <mergeCell ref="F10:H10"/>
    <mergeCell ref="F11:H11"/>
    <mergeCell ref="F12:H12"/>
    <mergeCell ref="F13:H13"/>
    <mergeCell ref="F22:H22"/>
    <mergeCell ref="F19:H19"/>
    <mergeCell ref="F20:H20"/>
    <mergeCell ref="F21:H21"/>
    <mergeCell ref="F14:H14"/>
    <mergeCell ref="F15:H15"/>
    <mergeCell ref="F16:H16"/>
    <mergeCell ref="F17:H17"/>
    <mergeCell ref="F18:H18"/>
    <mergeCell ref="G36:K36"/>
    <mergeCell ref="A1:K1"/>
    <mergeCell ref="A2:K2"/>
    <mergeCell ref="E32:G32"/>
    <mergeCell ref="E33:G33"/>
    <mergeCell ref="E5:G5"/>
    <mergeCell ref="E6:G6"/>
    <mergeCell ref="F23:H23"/>
    <mergeCell ref="F24:H24"/>
    <mergeCell ref="F25:H25"/>
    <mergeCell ref="F26:H26"/>
    <mergeCell ref="F27:H27"/>
    <mergeCell ref="F28:H28"/>
    <mergeCell ref="F29:H29"/>
    <mergeCell ref="F8:H8"/>
    <mergeCell ref="F9:H9"/>
  </mergeCells>
  <pageMargins left="0.7" right="0.7" top="0.75" bottom="0.75" header="0.3" footer="0.3"/>
  <pageSetup scale="79" fitToHeight="0" orientation="landscape" r:id="rId1"/>
  <rowBreaks count="1" manualBreakCount="1">
    <brk id="30"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15"/>
  <sheetViews>
    <sheetView workbookViewId="0"/>
  </sheetViews>
  <sheetFormatPr defaultRowHeight="15" x14ac:dyDescent="0.25"/>
  <cols>
    <col min="1" max="1" width="36.140625" bestFit="1" customWidth="1"/>
    <col min="3" max="3" width="36.140625" bestFit="1" customWidth="1"/>
    <col min="12" max="12" width="10.5703125" customWidth="1"/>
  </cols>
  <sheetData>
    <row r="1" spans="1:86" x14ac:dyDescent="0.25">
      <c r="A1" t="s">
        <v>196</v>
      </c>
      <c r="B1" t="s">
        <v>75</v>
      </c>
      <c r="C1" t="s">
        <v>76</v>
      </c>
      <c r="D1" t="s">
        <v>77</v>
      </c>
      <c r="E1" t="s">
        <v>78</v>
      </c>
      <c r="F1" t="s">
        <v>79</v>
      </c>
      <c r="G1" t="s">
        <v>80</v>
      </c>
      <c r="H1" t="s">
        <v>81</v>
      </c>
      <c r="I1" t="s">
        <v>82</v>
      </c>
      <c r="J1" t="s">
        <v>83</v>
      </c>
      <c r="K1" t="s">
        <v>84</v>
      </c>
      <c r="L1" t="s">
        <v>103</v>
      </c>
      <c r="M1" t="s">
        <v>104</v>
      </c>
      <c r="N1" t="s">
        <v>85</v>
      </c>
      <c r="O1" t="s">
        <v>86</v>
      </c>
      <c r="P1" t="s">
        <v>87</v>
      </c>
      <c r="Q1" t="s">
        <v>88</v>
      </c>
      <c r="R1" t="s">
        <v>89</v>
      </c>
      <c r="S1" t="s">
        <v>90</v>
      </c>
      <c r="T1" t="s">
        <v>91</v>
      </c>
      <c r="U1" t="s">
        <v>92</v>
      </c>
      <c r="V1" t="s">
        <v>93</v>
      </c>
      <c r="W1" t="s">
        <v>94</v>
      </c>
      <c r="X1" t="s">
        <v>162</v>
      </c>
      <c r="Y1" t="s">
        <v>163</v>
      </c>
      <c r="Z1" t="s">
        <v>153</v>
      </c>
      <c r="AA1" t="s">
        <v>142</v>
      </c>
      <c r="AB1" t="s">
        <v>164</v>
      </c>
      <c r="AC1" t="s">
        <v>165</v>
      </c>
      <c r="AD1" t="s">
        <v>166</v>
      </c>
      <c r="AE1" t="s">
        <v>167</v>
      </c>
      <c r="AF1" t="s">
        <v>143</v>
      </c>
      <c r="AG1" t="s">
        <v>168</v>
      </c>
      <c r="AH1" t="s">
        <v>169</v>
      </c>
      <c r="AI1" t="s">
        <v>170</v>
      </c>
      <c r="AJ1" t="s">
        <v>154</v>
      </c>
      <c r="AK1" t="s">
        <v>155</v>
      </c>
      <c r="AL1" t="s">
        <v>156</v>
      </c>
      <c r="AM1" t="s">
        <v>157</v>
      </c>
      <c r="AN1" t="s">
        <v>158</v>
      </c>
      <c r="AO1" t="s">
        <v>159</v>
      </c>
      <c r="AP1" t="s">
        <v>160</v>
      </c>
      <c r="AQ1" t="s">
        <v>161</v>
      </c>
      <c r="AR1" t="s">
        <v>171</v>
      </c>
      <c r="AS1" t="s">
        <v>144</v>
      </c>
      <c r="AT1" t="s">
        <v>42</v>
      </c>
      <c r="AU1" t="s">
        <v>43</v>
      </c>
      <c r="AV1" t="s">
        <v>44</v>
      </c>
      <c r="AW1" t="s">
        <v>145</v>
      </c>
      <c r="AX1" t="s">
        <v>146</v>
      </c>
      <c r="AY1" t="s">
        <v>45</v>
      </c>
      <c r="AZ1" t="s">
        <v>51</v>
      </c>
      <c r="BA1" t="s">
        <v>147</v>
      </c>
      <c r="BB1" t="s">
        <v>46</v>
      </c>
      <c r="BC1" t="s">
        <v>47</v>
      </c>
      <c r="BD1" t="s">
        <v>48</v>
      </c>
      <c r="BE1" t="s">
        <v>52</v>
      </c>
      <c r="BF1" t="s">
        <v>53</v>
      </c>
      <c r="BG1" t="s">
        <v>54</v>
      </c>
      <c r="BH1" t="s">
        <v>55</v>
      </c>
      <c r="BI1" t="s">
        <v>56</v>
      </c>
      <c r="BJ1" t="s">
        <v>188</v>
      </c>
      <c r="BK1" t="s">
        <v>57</v>
      </c>
      <c r="BL1" t="s">
        <v>58</v>
      </c>
      <c r="BM1" t="s">
        <v>59</v>
      </c>
      <c r="BN1" t="s">
        <v>60</v>
      </c>
      <c r="BO1" t="s">
        <v>61</v>
      </c>
      <c r="BP1" t="s">
        <v>148</v>
      </c>
      <c r="BQ1" t="s">
        <v>149</v>
      </c>
      <c r="BR1" t="s">
        <v>105</v>
      </c>
      <c r="BS1" t="s">
        <v>150</v>
      </c>
      <c r="BT1" t="s">
        <v>62</v>
      </c>
      <c r="BU1" t="s">
        <v>63</v>
      </c>
      <c r="BV1" t="s">
        <v>64</v>
      </c>
      <c r="BW1" t="s">
        <v>65</v>
      </c>
      <c r="BX1" t="s">
        <v>66</v>
      </c>
      <c r="BY1" t="s">
        <v>67</v>
      </c>
      <c r="BZ1" t="s">
        <v>187</v>
      </c>
      <c r="CA1" t="s">
        <v>68</v>
      </c>
      <c r="CB1" t="s">
        <v>69</v>
      </c>
      <c r="CC1" t="s">
        <v>70</v>
      </c>
      <c r="CD1" t="s">
        <v>71</v>
      </c>
      <c r="CE1" t="s">
        <v>151</v>
      </c>
      <c r="CF1" t="s">
        <v>49</v>
      </c>
      <c r="CG1" t="s">
        <v>152</v>
      </c>
      <c r="CH1" t="s">
        <v>50</v>
      </c>
    </row>
    <row r="2" spans="1:86" x14ac:dyDescent="0.25">
      <c r="A2" t="str">
        <f>REN_Utility_Name</f>
        <v>Avista</v>
      </c>
      <c r="B2">
        <f>+CON_2014_Agriculture_Expend</f>
        <v>0</v>
      </c>
      <c r="C2">
        <f>+CON_2014_Agriculture_MWH</f>
        <v>0</v>
      </c>
      <c r="D2">
        <f>+CON_2014_Commercial_Expend</f>
        <v>3781678</v>
      </c>
      <c r="E2">
        <f>+CON_2014_Commercial_MWH</f>
        <v>15024</v>
      </c>
      <c r="F2">
        <f>+CON_2014_Distribution_Expend</f>
        <v>0</v>
      </c>
      <c r="G2">
        <f>+CON_2014_Distribution_MWH</f>
        <v>885</v>
      </c>
      <c r="H2">
        <f>+CON_2014_Expenditures</f>
        <v>11055028</v>
      </c>
      <c r="I2">
        <f>+CON_2014_Industrial_Expend</f>
        <v>0</v>
      </c>
      <c r="J2">
        <f>+CON_2014_Industrial_MWH</f>
        <v>0</v>
      </c>
      <c r="K2">
        <f>+CON_2014_MWH</f>
        <v>55185</v>
      </c>
      <c r="L2">
        <f>+CON_2014_NEEA_Expend</f>
        <v>1445817</v>
      </c>
      <c r="M2">
        <f>+CON_2014_NEEA_MWH</f>
        <v>15198</v>
      </c>
      <c r="N2">
        <f>+CON_2014_OtherSector1_Expend</f>
        <v>0</v>
      </c>
      <c r="O2">
        <f>+CON_2014_OtherSector1_MWH</f>
        <v>0</v>
      </c>
      <c r="P2">
        <f>+CON_2014_OtherSector2_Expend</f>
        <v>0</v>
      </c>
      <c r="Q2">
        <f>+CON_2014_OtherSector2_MWH</f>
        <v>0</v>
      </c>
      <c r="R2">
        <f>+CON_2014_Production_Expend</f>
        <v>0</v>
      </c>
      <c r="S2">
        <f>+CON_2014_Production_MWH</f>
        <v>0</v>
      </c>
      <c r="T2">
        <f>+CON_2014_Program1_Expend</f>
        <v>1711914</v>
      </c>
      <c r="U2">
        <f>+CON_2014_Program2_Expend</f>
        <v>0</v>
      </c>
      <c r="V2">
        <f>+CON_2014_Residential_Expend</f>
        <v>4115619</v>
      </c>
      <c r="W2">
        <f>+CON_2014_Residential_MWH</f>
        <v>24078</v>
      </c>
      <c r="X2">
        <f>+CON_2015_Agriculture_Expend</f>
        <v>0</v>
      </c>
      <c r="Y2">
        <f>+CON_2015_Agriculture_MWH</f>
        <v>0</v>
      </c>
      <c r="Z2">
        <f>+CON_2015_Commercial_Expend</f>
        <v>4162940</v>
      </c>
      <c r="AA2">
        <f>+CON_2015_Commercial_MWH</f>
        <v>19168</v>
      </c>
      <c r="AB2">
        <f>+CON_2015_Distribution_Expend</f>
        <v>0</v>
      </c>
      <c r="AC2">
        <f>+CON_2015_Distribution_MWH</f>
        <v>628</v>
      </c>
      <c r="AD2">
        <f>+CON_2015_Expenditures</f>
        <v>12021163</v>
      </c>
      <c r="AE2">
        <f>+CON_2015_Industrial_Expend</f>
        <v>0</v>
      </c>
      <c r="AF2">
        <f>+CON_2015_Industrial_MWH</f>
        <v>0</v>
      </c>
      <c r="AG2">
        <f>+CON_2015_MWH</f>
        <v>46171</v>
      </c>
      <c r="AH2">
        <f>+CON_2015_NEEA_Expend</f>
        <v>1314999</v>
      </c>
      <c r="AI2">
        <f>+CON_2015_NEEA_MWH</f>
        <v>15199</v>
      </c>
      <c r="AJ2">
        <f>+CON_2015_OtherSector1_Expend</f>
        <v>0</v>
      </c>
      <c r="AK2">
        <f>+CON_2015_OtherSector1_MWH</f>
        <v>0</v>
      </c>
      <c r="AL2">
        <f>+CON_2015_OtherSector2_Expend</f>
        <v>0</v>
      </c>
      <c r="AM2">
        <f>+CON_2015_OtherSector2_MWH</f>
        <v>0</v>
      </c>
      <c r="AN2">
        <f>+CON_2015_Production_Expend</f>
        <v>0</v>
      </c>
      <c r="AO2">
        <f>+CON_2015_Production_MWH</f>
        <v>249</v>
      </c>
      <c r="AP2">
        <f>+CON_2015_Program1_Expend</f>
        <v>2074515</v>
      </c>
      <c r="AQ2">
        <f>+CON_2015_Program2_Expend</f>
        <v>0</v>
      </c>
      <c r="AR2">
        <f>+CON_2015_Residential_Expend</f>
        <v>4468709</v>
      </c>
      <c r="AS2">
        <f>+CON_2015_Residential_MWH</f>
        <v>10927</v>
      </c>
      <c r="AT2" t="str">
        <f>+CON_Contact_Name</f>
        <v>Mark Baker, Demand Side Management</v>
      </c>
      <c r="AU2" t="str">
        <f>+CON_Email</f>
        <v>mark.baker@avistacorp.com</v>
      </c>
      <c r="AV2" t="str">
        <f>+CON_Phone</f>
        <v>(509) 495-4864</v>
      </c>
      <c r="AW2">
        <f>+CON_Potential_2015_2023</f>
        <v>394200</v>
      </c>
      <c r="AX2">
        <f>+CON_Potential_2016_2025</f>
        <v>383063</v>
      </c>
      <c r="AY2">
        <f>+CON_Report_Date</f>
        <v>0</v>
      </c>
      <c r="AZ2">
        <f>+CON_Target_2014_2015</f>
        <v>97204</v>
      </c>
      <c r="BA2">
        <f>+CON_Target_2016_2017</f>
        <v>82477</v>
      </c>
      <c r="BB2" t="str">
        <f>+CON_Utility_Name</f>
        <v>Avista Corp.</v>
      </c>
      <c r="BC2" t="str">
        <f>+REN_Contact_Name</f>
        <v>John Lyons, Energy Resources</v>
      </c>
      <c r="BD2" t="str">
        <f>+REN_Email</f>
        <v>John.Lyons@avistacorp.com</v>
      </c>
      <c r="BE2">
        <f>+REN_ERR_ApprenticeLabor</f>
        <v>47810</v>
      </c>
      <c r="BF2">
        <f>+REN_ERR_Biodiesel</f>
        <v>0</v>
      </c>
      <c r="BG2">
        <f>+REN_ERR_Biomass</f>
        <v>33163</v>
      </c>
      <c r="BH2">
        <f>+REN_ERR_Geothermal</f>
        <v>0</v>
      </c>
      <c r="BI2">
        <f>+REN_ERR_LandfillGas</f>
        <v>0</v>
      </c>
      <c r="BJ2">
        <f>REN_ERR_QBE</f>
        <v>0</v>
      </c>
      <c r="BK2">
        <f>+REN_ERR_SewageGas</f>
        <v>0</v>
      </c>
      <c r="BL2">
        <f>+REN_ERR_Solar</f>
        <v>0</v>
      </c>
      <c r="BM2">
        <f>+REN_ERR_Water</f>
        <v>171482</v>
      </c>
      <c r="BN2">
        <f>+REN_ERR_Wind</f>
        <v>239050</v>
      </c>
      <c r="BO2">
        <f>+REN_ERR_WOT</f>
        <v>0</v>
      </c>
      <c r="BP2">
        <f>+REN_Expenditure_Amount_2016</f>
        <v>5611409.8255928028</v>
      </c>
      <c r="BQ2">
        <f>+REN_Expenditure_Percent_2016</f>
        <v>1.140827252942392E-2</v>
      </c>
      <c r="BR2">
        <f>+REN_Load_2014</f>
        <v>5685958</v>
      </c>
      <c r="BS2">
        <f>+REN_Load_2015</f>
        <v>5732025</v>
      </c>
      <c r="BT2">
        <f>+REN_REC_ApprenticeLabor</f>
        <v>0</v>
      </c>
      <c r="BU2">
        <f>+REN_REC_Biodiesel</f>
        <v>0</v>
      </c>
      <c r="BV2">
        <f>+REN_REC_Biomass</f>
        <v>0</v>
      </c>
      <c r="BW2">
        <f>+REN_REC_DistributedGeneration</f>
        <v>0</v>
      </c>
      <c r="BX2">
        <f>+REN_REC_Geothermal</f>
        <v>0</v>
      </c>
      <c r="BY2">
        <f>+REN_REC_LandfillGas</f>
        <v>0</v>
      </c>
      <c r="BZ2">
        <f>REN_REC_QBE</f>
        <v>0</v>
      </c>
      <c r="CA2">
        <f>+REN_REC_SewageGas</f>
        <v>0</v>
      </c>
      <c r="CB2">
        <f>+REN_REC_Solar</f>
        <v>0</v>
      </c>
      <c r="CC2">
        <f>+REN_REC_Wind</f>
        <v>49617</v>
      </c>
      <c r="CD2">
        <f>+REN_REC_WOT</f>
        <v>0</v>
      </c>
      <c r="CE2">
        <f>+REN_RetailRevenueRequirement_2016</f>
        <v>491872000</v>
      </c>
      <c r="CF2">
        <f>+REN_Submittal_Date</f>
        <v>42522</v>
      </c>
      <c r="CG2">
        <f>+REN_Total_2016</f>
        <v>541122</v>
      </c>
      <c r="CH2" t="str">
        <f>+REN_Utility_Name</f>
        <v>Avista</v>
      </c>
    </row>
    <row r="6" spans="1:86" x14ac:dyDescent="0.25">
      <c r="A6" s="14" t="s">
        <v>14</v>
      </c>
    </row>
    <row r="7" spans="1:86" x14ac:dyDescent="0.25">
      <c r="A7" s="14" t="s">
        <v>15</v>
      </c>
    </row>
    <row r="8" spans="1:86" x14ac:dyDescent="0.25">
      <c r="A8" s="14" t="s">
        <v>173</v>
      </c>
    </row>
    <row r="9" spans="1:86" x14ac:dyDescent="0.25">
      <c r="A9" s="14" t="s">
        <v>176</v>
      </c>
    </row>
    <row r="10" spans="1:86" x14ac:dyDescent="0.25">
      <c r="A10" s="14" t="s">
        <v>177</v>
      </c>
    </row>
    <row r="11" spans="1:86" x14ac:dyDescent="0.25">
      <c r="A11" s="14" t="s">
        <v>174</v>
      </c>
    </row>
    <row r="12" spans="1:86" x14ac:dyDescent="0.25">
      <c r="A12" s="14" t="s">
        <v>16</v>
      </c>
    </row>
    <row r="13" spans="1:86" x14ac:dyDescent="0.25">
      <c r="A13" s="14" t="s">
        <v>23</v>
      </c>
    </row>
    <row r="14" spans="1:86" x14ac:dyDescent="0.25">
      <c r="A14" s="14" t="s">
        <v>17</v>
      </c>
    </row>
    <row r="15" spans="1:86" x14ac:dyDescent="0.25">
      <c r="A15" s="14" t="s">
        <v>172</v>
      </c>
    </row>
  </sheetData>
  <sheetProtection sheet="1" objects="1" scenarios="1"/>
  <dataValidations count="1">
    <dataValidation type="list" allowBlank="1" showInputMessage="1" showErrorMessage="1" sqref="D8">
      <formula1>$A$6:$A$15</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Document</DocumentSetType>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2013-11-01T07:00:00+00:00</OpenedDate>
    <Date1 xmlns="dc463f71-b30c-4ab2-9473-d307f9d35888">2016-08-09T07:00:00+00:00</Date1>
    <IsDocumentOrder xmlns="dc463f71-b30c-4ab2-9473-d307f9d35888" xsi:nil="true"/>
    <IsHighlyConfidential xmlns="dc463f71-b30c-4ab2-9473-d307f9d35888">false</IsHighlyConfidential>
    <CaseCompanyNames xmlns="dc463f71-b30c-4ab2-9473-d307f9d35888">Avista Corporation</CaseCompanyNames>
    <DocketNumber xmlns="dc463f71-b30c-4ab2-9473-d307f9d35888">132045</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5484C3D528A17488D27A5D9C2B2194E" ma:contentTypeVersion="135" ma:contentTypeDescription="" ma:contentTypeScope="" ma:versionID="83918252d30f6c4e156ba90d75337541">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4EF345-C7A3-4312-A2DA-7A75ECC155C4}"/>
</file>

<file path=customXml/itemProps2.xml><?xml version="1.0" encoding="utf-8"?>
<ds:datastoreItem xmlns:ds="http://schemas.openxmlformats.org/officeDocument/2006/customXml" ds:itemID="{B5134EF7-F04D-4218-953F-7A835D8EE7C1}"/>
</file>

<file path=customXml/itemProps3.xml><?xml version="1.0" encoding="utf-8"?>
<ds:datastoreItem xmlns:ds="http://schemas.openxmlformats.org/officeDocument/2006/customXml" ds:itemID="{EC2A1945-A0E0-45A8-A3FE-1DD1FFD011AF}"/>
</file>

<file path=customXml/itemProps4.xml><?xml version="1.0" encoding="utf-8"?>
<ds:datastoreItem xmlns:ds="http://schemas.openxmlformats.org/officeDocument/2006/customXml" ds:itemID="{C43887D1-DF1A-4B79-94CB-7AE89E8A9E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90</vt:i4>
      </vt:variant>
    </vt:vector>
  </HeadingPairs>
  <TitlesOfParts>
    <vt:vector size="96" baseType="lpstr">
      <vt:lpstr>Background</vt:lpstr>
      <vt:lpstr>Instructions - Revise 2014</vt:lpstr>
      <vt:lpstr>Conservation Report</vt:lpstr>
      <vt:lpstr>Renewables Report</vt:lpstr>
      <vt:lpstr>Renewable Cost Report</vt:lpstr>
      <vt:lpstr>Data</vt:lpstr>
      <vt:lpstr>CON_2014_Agriculture_Expend</vt:lpstr>
      <vt:lpstr>CON_2014_Agriculture_MWH</vt:lpstr>
      <vt:lpstr>CON_2014_Commercial_Expend</vt:lpstr>
      <vt:lpstr>CON_2014_Commercial_MWH</vt:lpstr>
      <vt:lpstr>CON_2014_Distribution_Expend</vt:lpstr>
      <vt:lpstr>CON_2014_Distribution_MWH</vt:lpstr>
      <vt:lpstr>CON_2014_Expenditures</vt:lpstr>
      <vt:lpstr>CON_2014_Industrial_Expend</vt:lpstr>
      <vt:lpstr>CON_2014_Industrial_MWH</vt:lpstr>
      <vt:lpstr>CON_2014_MWH</vt:lpstr>
      <vt:lpstr>CON_2014_NEEA_Expend</vt:lpstr>
      <vt:lpstr>CON_2014_NEEA_MWH</vt:lpstr>
      <vt:lpstr>CON_2014_OtherSector1_Expend</vt:lpstr>
      <vt:lpstr>CON_2014_OtherSector1_MWH</vt:lpstr>
      <vt:lpstr>CON_2014_OtherSector2_Expend</vt:lpstr>
      <vt:lpstr>CON_2014_OtherSector2_MWH</vt:lpstr>
      <vt:lpstr>CON_2014_Production_Expend</vt:lpstr>
      <vt:lpstr>CON_2014_Production_MWH</vt:lpstr>
      <vt:lpstr>CON_2014_Program1_Expend</vt:lpstr>
      <vt:lpstr>CON_2014_Program2_Expend</vt:lpstr>
      <vt:lpstr>CON_2014_Residential_Expend</vt:lpstr>
      <vt:lpstr>CON_2014_Residential_MWH</vt:lpstr>
      <vt:lpstr>CON_2015_Agriculture_Expend</vt:lpstr>
      <vt:lpstr>CON_2015_Agriculture_MWH</vt:lpstr>
      <vt:lpstr>CON_2015_Commercial_Expend</vt:lpstr>
      <vt:lpstr>CON_2015_Commercial_MWH</vt:lpstr>
      <vt:lpstr>CON_2015_Distribution_Expend</vt:lpstr>
      <vt:lpstr>CON_2015_Distribution_MWH</vt:lpstr>
      <vt:lpstr>CON_2015_Expenditures</vt:lpstr>
      <vt:lpstr>CON_2015_Industrial_Expend</vt:lpstr>
      <vt:lpstr>CON_2015_Industrial_MWH</vt:lpstr>
      <vt:lpstr>CON_2015_MWH</vt:lpstr>
      <vt:lpstr>CON_2015_NEEA_Expend</vt:lpstr>
      <vt:lpstr>CON_2015_NEEA_MWH</vt:lpstr>
      <vt:lpstr>CON_2015_OtherSector1_Expend</vt:lpstr>
      <vt:lpstr>CON_2015_OtherSector1_MWH</vt:lpstr>
      <vt:lpstr>CON_2015_OtherSector2_Expend</vt:lpstr>
      <vt:lpstr>CON_2015_OtherSector2_MWH</vt:lpstr>
      <vt:lpstr>CON_2015_Production_Expend</vt:lpstr>
      <vt:lpstr>CON_2015_Production_MWH</vt:lpstr>
      <vt:lpstr>CON_2015_Program1_Expend</vt:lpstr>
      <vt:lpstr>CON_2015_Program2_Expend</vt:lpstr>
      <vt:lpstr>CON_2015_Residential_Expend</vt:lpstr>
      <vt:lpstr>CON_2015_Residential_MWH</vt:lpstr>
      <vt:lpstr>CON_Contact_Name</vt:lpstr>
      <vt:lpstr>CON_Email</vt:lpstr>
      <vt:lpstr>CON_Phone</vt:lpstr>
      <vt:lpstr>CON_Potential_2015_2023</vt:lpstr>
      <vt:lpstr>CON_Potential_2016_2025</vt:lpstr>
      <vt:lpstr>CON_Report_Date</vt:lpstr>
      <vt:lpstr>CON_Target_2014_2015</vt:lpstr>
      <vt:lpstr>CON_Target_2016_2017</vt:lpstr>
      <vt:lpstr>CON_Utility_Name</vt:lpstr>
      <vt:lpstr>'Conservation Report'!Print_Area</vt:lpstr>
      <vt:lpstr>'Renewable Cost Report'!Print_Area</vt:lpstr>
      <vt:lpstr>'Renewables Report'!Print_Area</vt:lpstr>
      <vt:lpstr>REN_Contact_Name</vt:lpstr>
      <vt:lpstr>REN_Email</vt:lpstr>
      <vt:lpstr>REN_ERR_ApprenticeLabor</vt:lpstr>
      <vt:lpstr>REN_ERR_Biodiesel</vt:lpstr>
      <vt:lpstr>REN_ERR_Biomass</vt:lpstr>
      <vt:lpstr>REN_ERR_Geothermal</vt:lpstr>
      <vt:lpstr>REN_ERR_LandfillGas</vt:lpstr>
      <vt:lpstr>REN_ERR_QBE</vt:lpstr>
      <vt:lpstr>REN_ERR_SewageGas</vt:lpstr>
      <vt:lpstr>REN_ERR_Solar</vt:lpstr>
      <vt:lpstr>REN_ERR_Water</vt:lpstr>
      <vt:lpstr>REN_ERR_Wind</vt:lpstr>
      <vt:lpstr>REN_ERR_WOT</vt:lpstr>
      <vt:lpstr>REN_Expenditure_Amount_2016</vt:lpstr>
      <vt:lpstr>REN_Expenditure_Percent_2016</vt:lpstr>
      <vt:lpstr>REN_Load_2014</vt:lpstr>
      <vt:lpstr>REN_Load_2015</vt:lpstr>
      <vt:lpstr>REN_REC_ApprenticeLabor</vt:lpstr>
      <vt:lpstr>REN_REC_Biodiesel</vt:lpstr>
      <vt:lpstr>REN_REC_Biomass</vt:lpstr>
      <vt:lpstr>REN_REC_DistributedGeneration</vt:lpstr>
      <vt:lpstr>REN_REC_Geothermal</vt:lpstr>
      <vt:lpstr>REN_REC_LandfillGas</vt:lpstr>
      <vt:lpstr>REN_REC_QBE</vt:lpstr>
      <vt:lpstr>REN_REC_SewageGas</vt:lpstr>
      <vt:lpstr>REN_REC_Solar</vt:lpstr>
      <vt:lpstr>REN_REC_Wind</vt:lpstr>
      <vt:lpstr>REN_REC_WOT</vt:lpstr>
      <vt:lpstr>REN_RetailRevenueRequirement_2016</vt:lpstr>
      <vt:lpstr>REN_Submittal_Date</vt:lpstr>
      <vt:lpstr>REN_Total_2016</vt:lpstr>
      <vt:lpstr>REN_Utility_Name</vt:lpstr>
      <vt:lpstr>ResourceType</vt:lpstr>
      <vt:lpstr>ResourceType_REC</vt:lpstr>
    </vt:vector>
  </TitlesOfParts>
  <Company>CTED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 2015 Report Workbook for Utilities</dc:title>
  <dc:creator>Glenn Blackmon</dc:creator>
  <cp:keywords>EIA 2014 Report Workbook for Utilities</cp:keywords>
  <cp:lastModifiedBy>Kredel, Ashley (UTC)</cp:lastModifiedBy>
  <cp:lastPrinted>2016-05-24T17:48:43Z</cp:lastPrinted>
  <dcterms:created xsi:type="dcterms:W3CDTF">2012-03-20T21:01:26Z</dcterms:created>
  <dcterms:modified xsi:type="dcterms:W3CDTF">2016-08-09T17:40:17Z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0x0101006E56B4D1795A2E4DB2F0B01679ED314A0045484C3D528A17488D27A5D9C2B2194E</vt:lpwstr>
  </property>
  <property fmtid="{D5CDD505-2E9C-101B-9397-08002B2CF9AE}" pid="3" name="Tags">
    <vt:lpwstr/>
  </property>
  <property fmtid="{D5CDD505-2E9C-101B-9397-08002B2CF9AE}" pid="4" name="Order">
    <vt:r8>360100</vt:r8>
  </property>
  <property fmtid="{D5CDD505-2E9C-101B-9397-08002B2CF9AE}" pid="5" name="xd_Signature">
    <vt:bool>false</vt:bool>
  </property>
  <property fmtid="{D5CDD505-2E9C-101B-9397-08002B2CF9AE}" pid="6" name="xd_ProgID">
    <vt:lpwstr/>
  </property>
  <property fmtid="{D5CDD505-2E9C-101B-9397-08002B2CF9AE}" pid="7" name="TemplateUrl">
    <vt:lpwstr/>
  </property>
  <property fmtid="{D5CDD505-2E9C-101B-9397-08002B2CF9AE}" pid="8" name="_docset_NoMedatataSyncRequired">
    <vt:lpwstr>False</vt:lpwstr>
  </property>
</Properties>
</file>